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updateLinks="never" codeName="ThisWorkbook" defaultThemeVersion="166925"/>
  <mc:AlternateContent xmlns:mc="http://schemas.openxmlformats.org/markup-compatibility/2006">
    <mc:Choice Requires="x15">
      <x15ac:absPath xmlns:x15ac="http://schemas.microsoft.com/office/spreadsheetml/2010/11/ac" url="C:\Users\hardik.malhotra\Desktop\NEW Opal\"/>
    </mc:Choice>
  </mc:AlternateContent>
  <xr:revisionPtr revIDLastSave="0" documentId="13_ncr:1_{9917C344-CD3A-47F8-9A2D-63253A2FC9E8}" xr6:coauthVersionLast="47" xr6:coauthVersionMax="47" xr10:uidLastSave="{00000000-0000-0000-0000-000000000000}"/>
  <bookViews>
    <workbookView xWindow="-120" yWindow="-120" windowWidth="20730" windowHeight="11160" tabRatio="917" firstSheet="12" activeTab="17" xr2:uid="{00000000-000D-0000-FFFF-FFFF00000000}"/>
  </bookViews>
  <sheets>
    <sheet name="Sheet2" sheetId="81" r:id="rId1"/>
    <sheet name="Cover Page" sheetId="20" r:id="rId2"/>
    <sheet name="Dashboard" sheetId="80" r:id="rId3"/>
    <sheet name="Background and Option Evaluated" sheetId="74" r:id="rId4"/>
    <sheet name="Opex PVC" sheetId="86" state="hidden" r:id="rId5"/>
    <sheet name="Price Table" sheetId="90" r:id="rId6"/>
    <sheet name="Scenario" sheetId="19" r:id="rId7"/>
    <sheet name="Feed" sheetId="47" r:id="rId8"/>
    <sheet name="Cracker Yields" sheetId="52" r:id="rId9"/>
    <sheet name="Financial Model (84 Months)" sheetId="50" state="hidden" r:id="rId10"/>
    <sheet name="Financial Model Base Case" sheetId="73" r:id="rId11"/>
    <sheet name="Financial Model Prop. Furn. Add" sheetId="72" r:id="rId12"/>
    <sheet name="Financial Model Eth. Furn. Add." sheetId="83" r:id="rId13"/>
    <sheet name="Products Output" sheetId="48" r:id="rId14"/>
    <sheet name="Raw Material -Pricing Sheet" sheetId="35" state="hidden" r:id="rId15"/>
    <sheet name="Annual COP" sheetId="17" r:id="rId16"/>
    <sheet name="Capex" sheetId="16" r:id="rId17"/>
    <sheet name="Opex" sheetId="13" r:id="rId18"/>
    <sheet name="Cashflow Option 1" sheetId="39" r:id="rId19"/>
    <sheet name="Cashflow Option 2" sheetId="68" r:id="rId20"/>
    <sheet name="Cashflow Option 3" sheetId="69" r:id="rId21"/>
    <sheet name="Cashflow Phenol Option 1" sheetId="87" state="hidden" r:id="rId22"/>
    <sheet name="Cashflow - PVC Phenol Propane" sheetId="82" r:id="rId23"/>
    <sheet name="Financial Model_OPaL" sheetId="61" state="hidden" r:id="rId24"/>
    <sheet name="Opex Phenol" sheetId="70" state="hidden" r:id="rId25"/>
    <sheet name="Working Sheet" sheetId="9" state="hidden" r:id="rId26"/>
    <sheet name="Cashflow PhenolOption1-Propane" sheetId="88" state="hidden" r:id="rId27"/>
    <sheet name="Cashflow Phenol Option 1-Ethane" sheetId="89" state="hidden" r:id="rId28"/>
    <sheet name="Cashflow - PVC Phenol Ethane" sheetId="84" r:id="rId29"/>
    <sheet name="Net Change in Margin" sheetId="75" r:id="rId30"/>
    <sheet name="Profitability" sheetId="56" r:id="rId31"/>
    <sheet name="Sensitivity-Profitability" sheetId="71" r:id="rId32"/>
    <sheet name=" Break EvenPoint" sheetId="55" r:id="rId33"/>
    <sheet name="BEP Sensitivity" sheetId="67" r:id="rId34"/>
    <sheet name="Cashflow Current" sheetId="76" r:id="rId35"/>
    <sheet name="Profitability Current" sheetId="77" r:id="rId36"/>
    <sheet name="Sensitivity-Current" sheetId="78" r:id="rId37"/>
    <sheet name=" Break Evenpoint Current" sheetId="79" r:id="rId38"/>
    <sheet name="Salaries &amp; Wages Calculations" sheetId="12" r:id="rId39"/>
    <sheet name="PVC Sales" sheetId="85" state="hidden" r:id="rId40"/>
    <sheet name="Sales" sheetId="51" r:id="rId41"/>
    <sheet name="DSCR" sheetId="57" r:id="rId42"/>
    <sheet name=" Means of Fin" sheetId="58" r:id="rId43"/>
    <sheet name="Interest Calculation" sheetId="59" r:id="rId44"/>
    <sheet name="Basis" sheetId="66" r:id="rId45"/>
  </sheets>
  <externalReferences>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s>
  <definedNames>
    <definedName name="_Order1" hidden="1">255</definedName>
    <definedName name="anscount" hidden="1">3</definedName>
    <definedName name="ColumnAttributes1" localSheetId="3">#REF!</definedName>
    <definedName name="ColumnAttributes1" localSheetId="22">#REF!</definedName>
    <definedName name="ColumnAttributes1" localSheetId="21">#REF!</definedName>
    <definedName name="ColumnAttributes1" localSheetId="27">#REF!</definedName>
    <definedName name="ColumnAttributes1" localSheetId="26">#REF!</definedName>
    <definedName name="ColumnAttributes1" localSheetId="9">#REF!</definedName>
    <definedName name="ColumnAttributes1" localSheetId="10">#REF!</definedName>
    <definedName name="ColumnAttributes1" localSheetId="12">#REF!</definedName>
    <definedName name="ColumnAttributes1" localSheetId="11">#REF!</definedName>
    <definedName name="ColumnAttributes1" localSheetId="23">#REF!</definedName>
    <definedName name="ColumnAttributes1" localSheetId="29">#REF!</definedName>
    <definedName name="ColumnAttributes1" localSheetId="13">#REF!</definedName>
    <definedName name="ColumnAttributes1" localSheetId="39">#REF!</definedName>
    <definedName name="ColumnAttributes1" localSheetId="40">#REF!</definedName>
    <definedName name="ColumnAttributes1">#REF!</definedName>
    <definedName name="ColumnHeadings1" localSheetId="3">#REF!</definedName>
    <definedName name="ColumnHeadings1" localSheetId="22">#REF!</definedName>
    <definedName name="ColumnHeadings1" localSheetId="21">#REF!</definedName>
    <definedName name="ColumnHeadings1" localSheetId="27">#REF!</definedName>
    <definedName name="ColumnHeadings1" localSheetId="26">#REF!</definedName>
    <definedName name="ColumnHeadings1" localSheetId="9">#REF!</definedName>
    <definedName name="ColumnHeadings1" localSheetId="10">#REF!</definedName>
    <definedName name="ColumnHeadings1" localSheetId="12">#REF!</definedName>
    <definedName name="ColumnHeadings1" localSheetId="11">#REF!</definedName>
    <definedName name="ColumnHeadings1" localSheetId="23">#REF!</definedName>
    <definedName name="ColumnHeadings1" localSheetId="29">#REF!</definedName>
    <definedName name="ColumnHeadings1" localSheetId="13">#REF!</definedName>
    <definedName name="ColumnHeadings1">#REF!</definedName>
    <definedName name="cracker" localSheetId="3">#REF!</definedName>
    <definedName name="cracker" localSheetId="22">#REF!</definedName>
    <definedName name="cracker" localSheetId="21">#REF!</definedName>
    <definedName name="cracker" localSheetId="27">#REF!</definedName>
    <definedName name="cracker" localSheetId="26">#REF!</definedName>
    <definedName name="cracker" localSheetId="9">#REF!</definedName>
    <definedName name="cracker" localSheetId="10">#REF!</definedName>
    <definedName name="cracker" localSheetId="12">#REF!</definedName>
    <definedName name="cracker" localSheetId="11">#REF!</definedName>
    <definedName name="cracker" localSheetId="23">#REF!</definedName>
    <definedName name="cracker" localSheetId="29">#REF!</definedName>
    <definedName name="cracker" localSheetId="13">#REF!</definedName>
    <definedName name="cracker">#REF!</definedName>
    <definedName name="crackertblock" localSheetId="22">#REF!</definedName>
    <definedName name="crackertblock" localSheetId="21">#REF!</definedName>
    <definedName name="crackertblock" localSheetId="27">#REF!</definedName>
    <definedName name="crackertblock" localSheetId="26">#REF!</definedName>
    <definedName name="crackertblock" localSheetId="10">#REF!</definedName>
    <definedName name="crackertblock" localSheetId="12">#REF!</definedName>
    <definedName name="crackertblock" localSheetId="11">#REF!</definedName>
    <definedName name="crackertblock" localSheetId="23">#REF!</definedName>
    <definedName name="crackertblock" localSheetId="29">#REF!</definedName>
    <definedName name="crackertblock">#REF!</definedName>
    <definedName name="DATA1" localSheetId="22">#REF!</definedName>
    <definedName name="DATA1" localSheetId="21">#REF!</definedName>
    <definedName name="DATA1" localSheetId="27">#REF!</definedName>
    <definedName name="DATA1" localSheetId="26">#REF!</definedName>
    <definedName name="DATA1" localSheetId="9">#REF!</definedName>
    <definedName name="DATA1" localSheetId="10">#REF!</definedName>
    <definedName name="DATA1" localSheetId="12">#REF!</definedName>
    <definedName name="DATA1" localSheetId="11">#REF!</definedName>
    <definedName name="DATA1" localSheetId="29">#REF!</definedName>
    <definedName name="DATA1">#REF!</definedName>
    <definedName name="DATA10" localSheetId="22">#REF!</definedName>
    <definedName name="DATA10" localSheetId="21">#REF!</definedName>
    <definedName name="DATA10" localSheetId="27">#REF!</definedName>
    <definedName name="DATA10" localSheetId="26">#REF!</definedName>
    <definedName name="DATA10" localSheetId="9">#REF!</definedName>
    <definedName name="DATA10" localSheetId="10">#REF!</definedName>
    <definedName name="DATA10" localSheetId="12">#REF!</definedName>
    <definedName name="DATA10" localSheetId="11">#REF!</definedName>
    <definedName name="DATA10" localSheetId="29">#REF!</definedName>
    <definedName name="DATA10">#REF!</definedName>
    <definedName name="DATA11" localSheetId="22">#REF!</definedName>
    <definedName name="DATA11" localSheetId="21">#REF!</definedName>
    <definedName name="DATA11" localSheetId="27">#REF!</definedName>
    <definedName name="DATA11" localSheetId="26">#REF!</definedName>
    <definedName name="DATA11" localSheetId="9">#REF!</definedName>
    <definedName name="DATA11" localSheetId="10">#REF!</definedName>
    <definedName name="DATA11" localSheetId="12">#REF!</definedName>
    <definedName name="DATA11" localSheetId="11">#REF!</definedName>
    <definedName name="DATA11" localSheetId="29">#REF!</definedName>
    <definedName name="DATA11">#REF!</definedName>
    <definedName name="DATA12" localSheetId="22">#REF!</definedName>
    <definedName name="DATA12" localSheetId="21">#REF!</definedName>
    <definedName name="DATA12" localSheetId="27">#REF!</definedName>
    <definedName name="DATA12" localSheetId="26">#REF!</definedName>
    <definedName name="DATA12" localSheetId="9">#REF!</definedName>
    <definedName name="DATA12" localSheetId="10">#REF!</definedName>
    <definedName name="DATA12" localSheetId="12">#REF!</definedName>
    <definedName name="DATA12" localSheetId="11">#REF!</definedName>
    <definedName name="DATA12" localSheetId="29">#REF!</definedName>
    <definedName name="DATA12">#REF!</definedName>
    <definedName name="DATA13" localSheetId="22">#REF!</definedName>
    <definedName name="DATA13" localSheetId="21">#REF!</definedName>
    <definedName name="DATA13" localSheetId="27">#REF!</definedName>
    <definedName name="DATA13" localSheetId="26">#REF!</definedName>
    <definedName name="DATA13" localSheetId="9">#REF!</definedName>
    <definedName name="DATA13" localSheetId="10">#REF!</definedName>
    <definedName name="DATA13" localSheetId="12">#REF!</definedName>
    <definedName name="DATA13" localSheetId="11">#REF!</definedName>
    <definedName name="DATA13" localSheetId="29">#REF!</definedName>
    <definedName name="DATA13">#REF!</definedName>
    <definedName name="DATA14" localSheetId="22">#REF!</definedName>
    <definedName name="DATA14" localSheetId="21">#REF!</definedName>
    <definedName name="DATA14" localSheetId="27">#REF!</definedName>
    <definedName name="DATA14" localSheetId="26">#REF!</definedName>
    <definedName name="DATA14" localSheetId="9">#REF!</definedName>
    <definedName name="DATA14" localSheetId="10">#REF!</definedName>
    <definedName name="DATA14" localSheetId="12">#REF!</definedName>
    <definedName name="DATA14" localSheetId="11">#REF!</definedName>
    <definedName name="DATA14" localSheetId="29">#REF!</definedName>
    <definedName name="DATA14">#REF!</definedName>
    <definedName name="DATA15" localSheetId="22">#REF!</definedName>
    <definedName name="DATA15" localSheetId="21">#REF!</definedName>
    <definedName name="DATA15" localSheetId="27">#REF!</definedName>
    <definedName name="DATA15" localSheetId="26">#REF!</definedName>
    <definedName name="DATA15" localSheetId="9">#REF!</definedName>
    <definedName name="DATA15" localSheetId="10">#REF!</definedName>
    <definedName name="DATA15" localSheetId="12">#REF!</definedName>
    <definedName name="DATA15" localSheetId="11">#REF!</definedName>
    <definedName name="DATA15" localSheetId="29">#REF!</definedName>
    <definedName name="DATA15">#REF!</definedName>
    <definedName name="DATA16" localSheetId="22">#REF!</definedName>
    <definedName name="DATA16" localSheetId="21">#REF!</definedName>
    <definedName name="DATA16" localSheetId="27">#REF!</definedName>
    <definedName name="DATA16" localSheetId="26">#REF!</definedName>
    <definedName name="DATA16" localSheetId="9">#REF!</definedName>
    <definedName name="DATA16" localSheetId="10">#REF!</definedName>
    <definedName name="DATA16" localSheetId="12">#REF!</definedName>
    <definedName name="DATA16" localSheetId="11">#REF!</definedName>
    <definedName name="DATA16" localSheetId="29">#REF!</definedName>
    <definedName name="DATA16">#REF!</definedName>
    <definedName name="DATA17" localSheetId="22">#REF!</definedName>
    <definedName name="DATA17" localSheetId="21">#REF!</definedName>
    <definedName name="DATA17" localSheetId="27">#REF!</definedName>
    <definedName name="DATA17" localSheetId="26">#REF!</definedName>
    <definedName name="DATA17" localSheetId="9">#REF!</definedName>
    <definedName name="DATA17" localSheetId="10">#REF!</definedName>
    <definedName name="DATA17" localSheetId="12">#REF!</definedName>
    <definedName name="DATA17" localSheetId="11">#REF!</definedName>
    <definedName name="DATA17" localSheetId="29">#REF!</definedName>
    <definedName name="DATA17">#REF!</definedName>
    <definedName name="DATA2" localSheetId="22">#REF!</definedName>
    <definedName name="DATA2" localSheetId="21">#REF!</definedName>
    <definedName name="DATA2" localSheetId="27">#REF!</definedName>
    <definedName name="DATA2" localSheetId="26">#REF!</definedName>
    <definedName name="DATA2" localSheetId="9">#REF!</definedName>
    <definedName name="DATA2" localSheetId="10">#REF!</definedName>
    <definedName name="DATA2" localSheetId="12">#REF!</definedName>
    <definedName name="DATA2" localSheetId="11">#REF!</definedName>
    <definedName name="DATA2" localSheetId="29">#REF!</definedName>
    <definedName name="DATA2">#REF!</definedName>
    <definedName name="DATA3" localSheetId="22">#REF!</definedName>
    <definedName name="DATA3" localSheetId="21">#REF!</definedName>
    <definedName name="DATA3" localSheetId="27">#REF!</definedName>
    <definedName name="DATA3" localSheetId="26">#REF!</definedName>
    <definedName name="DATA3" localSheetId="9">#REF!</definedName>
    <definedName name="DATA3" localSheetId="10">#REF!</definedName>
    <definedName name="DATA3" localSheetId="12">#REF!</definedName>
    <definedName name="DATA3" localSheetId="11">#REF!</definedName>
    <definedName name="DATA3" localSheetId="29">#REF!</definedName>
    <definedName name="DATA3">#REF!</definedName>
    <definedName name="DATA4" localSheetId="22">#REF!</definedName>
    <definedName name="DATA4" localSheetId="21">#REF!</definedName>
    <definedName name="DATA4" localSheetId="27">#REF!</definedName>
    <definedName name="DATA4" localSheetId="26">#REF!</definedName>
    <definedName name="DATA4" localSheetId="9">#REF!</definedName>
    <definedName name="DATA4" localSheetId="10">#REF!</definedName>
    <definedName name="DATA4" localSheetId="12">#REF!</definedName>
    <definedName name="DATA4" localSheetId="11">#REF!</definedName>
    <definedName name="DATA4" localSheetId="29">#REF!</definedName>
    <definedName name="DATA4">#REF!</definedName>
    <definedName name="DATA5" localSheetId="22">#REF!</definedName>
    <definedName name="DATA5" localSheetId="21">#REF!</definedName>
    <definedName name="DATA5" localSheetId="27">#REF!</definedName>
    <definedName name="DATA5" localSheetId="26">#REF!</definedName>
    <definedName name="DATA5" localSheetId="9">#REF!</definedName>
    <definedName name="DATA5" localSheetId="10">#REF!</definedName>
    <definedName name="DATA5" localSheetId="12">#REF!</definedName>
    <definedName name="DATA5" localSheetId="11">#REF!</definedName>
    <definedName name="DATA5" localSheetId="29">#REF!</definedName>
    <definedName name="DATA5">#REF!</definedName>
    <definedName name="DATA6" localSheetId="22">#REF!</definedName>
    <definedName name="DATA6" localSheetId="21">#REF!</definedName>
    <definedName name="DATA6" localSheetId="27">#REF!</definedName>
    <definedName name="DATA6" localSheetId="26">#REF!</definedName>
    <definedName name="DATA6" localSheetId="9">#REF!</definedName>
    <definedName name="DATA6" localSheetId="10">#REF!</definedName>
    <definedName name="DATA6" localSheetId="12">#REF!</definedName>
    <definedName name="DATA6" localSheetId="11">#REF!</definedName>
    <definedName name="DATA6" localSheetId="29">#REF!</definedName>
    <definedName name="DATA6">#REF!</definedName>
    <definedName name="DATA7" localSheetId="22">#REF!</definedName>
    <definedName name="DATA7" localSheetId="21">#REF!</definedName>
    <definedName name="DATA7" localSheetId="27">#REF!</definedName>
    <definedName name="DATA7" localSheetId="26">#REF!</definedName>
    <definedName name="DATA7" localSheetId="9">#REF!</definedName>
    <definedName name="DATA7" localSheetId="10">#REF!</definedName>
    <definedName name="DATA7" localSheetId="12">#REF!</definedName>
    <definedName name="DATA7" localSheetId="11">#REF!</definedName>
    <definedName name="DATA7" localSheetId="29">#REF!</definedName>
    <definedName name="DATA7">#REF!</definedName>
    <definedName name="DATA8" localSheetId="22">#REF!</definedName>
    <definedName name="DATA8" localSheetId="21">#REF!</definedName>
    <definedName name="DATA8" localSheetId="27">#REF!</definedName>
    <definedName name="DATA8" localSheetId="26">#REF!</definedName>
    <definedName name="DATA8" localSheetId="9">#REF!</definedName>
    <definedName name="DATA8" localSheetId="10">#REF!</definedName>
    <definedName name="DATA8" localSheetId="12">#REF!</definedName>
    <definedName name="DATA8" localSheetId="11">#REF!</definedName>
    <definedName name="DATA8" localSheetId="29">#REF!</definedName>
    <definedName name="DATA8">#REF!</definedName>
    <definedName name="DATA9" localSheetId="22">#REF!</definedName>
    <definedName name="DATA9" localSheetId="21">#REF!</definedName>
    <definedName name="DATA9" localSheetId="27">#REF!</definedName>
    <definedName name="DATA9" localSheetId="26">#REF!</definedName>
    <definedName name="DATA9" localSheetId="9">#REF!</definedName>
    <definedName name="DATA9" localSheetId="10">#REF!</definedName>
    <definedName name="DATA9" localSheetId="12">#REF!</definedName>
    <definedName name="DATA9" localSheetId="11">#REF!</definedName>
    <definedName name="DATA9" localSheetId="29">#REF!</definedName>
    <definedName name="DATA9">#REF!</definedName>
    <definedName name="Excel_BuiltIn__FilterDatabase_2" localSheetId="22">#REF!</definedName>
    <definedName name="Excel_BuiltIn__FilterDatabase_2" localSheetId="21">#REF!</definedName>
    <definedName name="Excel_BuiltIn__FilterDatabase_2" localSheetId="27">#REF!</definedName>
    <definedName name="Excel_BuiltIn__FilterDatabase_2" localSheetId="26">#REF!</definedName>
    <definedName name="Excel_BuiltIn__FilterDatabase_2" localSheetId="10">#REF!</definedName>
    <definedName name="Excel_BuiltIn__FilterDatabase_2" localSheetId="12">#REF!</definedName>
    <definedName name="Excel_BuiltIn__FilterDatabase_2" localSheetId="11">#REF!</definedName>
    <definedName name="Excel_BuiltIn__FilterDatabase_2" localSheetId="29">#REF!</definedName>
    <definedName name="Excel_BuiltIn__FilterDatabase_2" localSheetId="4">#REF!</definedName>
    <definedName name="Excel_BuiltIn__FilterDatabase_2">#REF!</definedName>
    <definedName name="financialcalcs" localSheetId="3">#REF!</definedName>
    <definedName name="financialcalcs" localSheetId="22">#REF!</definedName>
    <definedName name="financialcalcs" localSheetId="21">#REF!</definedName>
    <definedName name="financialcalcs" localSheetId="27">#REF!</definedName>
    <definedName name="financialcalcs" localSheetId="26">#REF!</definedName>
    <definedName name="financialcalcs" localSheetId="9">#REF!</definedName>
    <definedName name="financialcalcs" localSheetId="10">#REF!</definedName>
    <definedName name="financialcalcs" localSheetId="12">#REF!</definedName>
    <definedName name="financialcalcs" localSheetId="11">#REF!</definedName>
    <definedName name="financialcalcs" localSheetId="23">#REF!</definedName>
    <definedName name="financialcalcs" localSheetId="29">#REF!</definedName>
    <definedName name="financialcalcs" localSheetId="13">#REF!</definedName>
    <definedName name="financialcalcs" localSheetId="39">#REF!</definedName>
    <definedName name="financialcalcs" localSheetId="40">#REF!</definedName>
    <definedName name="financialcalcs">#REF!</definedName>
    <definedName name="leverage" localSheetId="22">#REF!</definedName>
    <definedName name="leverage" localSheetId="21">#REF!</definedName>
    <definedName name="leverage" localSheetId="27">#REF!</definedName>
    <definedName name="leverage" localSheetId="26">#REF!</definedName>
    <definedName name="leverage" localSheetId="10">#REF!</definedName>
    <definedName name="leverage" localSheetId="12">#REF!</definedName>
    <definedName name="leverage" localSheetId="11">#REF!</definedName>
    <definedName name="leverage" localSheetId="23">#REF!</definedName>
    <definedName name="leverage" localSheetId="29">#REF!</definedName>
    <definedName name="leverage">#REF!</definedName>
    <definedName name="limcount" hidden="1">2</definedName>
    <definedName name="MOD_prices">'[1]Pricing - Current'!$3:$74</definedName>
    <definedName name="PortionInDeal" localSheetId="3">#REF!</definedName>
    <definedName name="PortionInDeal" localSheetId="22">#REF!</definedName>
    <definedName name="PortionInDeal" localSheetId="21">#REF!</definedName>
    <definedName name="PortionInDeal" localSheetId="27">#REF!</definedName>
    <definedName name="PortionInDeal" localSheetId="26">#REF!</definedName>
    <definedName name="PortionInDeal" localSheetId="9">#REF!</definedName>
    <definedName name="PortionInDeal" localSheetId="10">#REF!</definedName>
    <definedName name="PortionInDeal" localSheetId="12">#REF!</definedName>
    <definedName name="PortionInDeal" localSheetId="11">#REF!</definedName>
    <definedName name="PortionInDeal" localSheetId="23">#REF!</definedName>
    <definedName name="PortionInDeal" localSheetId="29">#REF!</definedName>
    <definedName name="PortionInDeal" localSheetId="13">#REF!</definedName>
    <definedName name="PortionInDeal" localSheetId="39">#REF!</definedName>
    <definedName name="PortionInDeal" localSheetId="40">#REF!</definedName>
    <definedName name="PortionInDeal">#REF!</definedName>
    <definedName name="Price_chart" localSheetId="3">#REF!</definedName>
    <definedName name="Price_chart" localSheetId="22">#REF!</definedName>
    <definedName name="Price_chart" localSheetId="21">#REF!</definedName>
    <definedName name="Price_chart" localSheetId="27">#REF!</definedName>
    <definedName name="Price_chart" localSheetId="26">#REF!</definedName>
    <definedName name="Price_chart" localSheetId="9">#REF!</definedName>
    <definedName name="Price_chart" localSheetId="10">#REF!</definedName>
    <definedName name="Price_chart" localSheetId="12">#REF!</definedName>
    <definedName name="Price_chart" localSheetId="11">#REF!</definedName>
    <definedName name="Price_chart" localSheetId="23">#REF!</definedName>
    <definedName name="Price_chart" localSheetId="29">#REF!</definedName>
    <definedName name="Price_chart" localSheetId="13">#REF!</definedName>
    <definedName name="Price_chart">#REF!</definedName>
    <definedName name="Prices_cmai" localSheetId="3">#REF!</definedName>
    <definedName name="Prices_cmai" localSheetId="22">#REF!</definedName>
    <definedName name="Prices_cmai" localSheetId="21">#REF!</definedName>
    <definedName name="Prices_cmai" localSheetId="27">#REF!</definedName>
    <definedName name="Prices_cmai" localSheetId="26">#REF!</definedName>
    <definedName name="Prices_cmai" localSheetId="9">#REF!</definedName>
    <definedName name="Prices_cmai" localSheetId="10">#REF!</definedName>
    <definedName name="Prices_cmai" localSheetId="12">#REF!</definedName>
    <definedName name="Prices_cmai" localSheetId="11">#REF!</definedName>
    <definedName name="Prices_cmai" localSheetId="23">#REF!</definedName>
    <definedName name="Prices_cmai" localSheetId="29">#REF!</definedName>
    <definedName name="Prices_cmai" localSheetId="13">#REF!</definedName>
    <definedName name="Prices_cmai">#REF!</definedName>
    <definedName name="_xlnm.Print_Area" localSheetId="32">' Break EvenPoint'!$A$1:$B$16</definedName>
    <definedName name="_xlnm.Print_Area" localSheetId="37">' Break Evenpoint Current'!$A$1:$B$16</definedName>
    <definedName name="_xlnm.Print_Area" localSheetId="42">' Means of Fin'!$A$1:$C$5</definedName>
    <definedName name="_xlnm.Print_Area" localSheetId="33">'BEP Sensitivity'!$A$1:$B$16</definedName>
    <definedName name="_xlnm.Print_Area" localSheetId="41">DSCR!$A$1:$K$17</definedName>
    <definedName name="_xlnm.Print_Area" localSheetId="43">'Interest Calculation'!$A$1:$K$13</definedName>
    <definedName name="_xlnm.Print_Area" localSheetId="30">Profitability!$A$1:$K$15</definedName>
    <definedName name="_xlnm.Print_Area" localSheetId="35">'Profitability Current'!$A$1:$K$15</definedName>
    <definedName name="product" localSheetId="22">#REF!</definedName>
    <definedName name="product" localSheetId="21">#REF!</definedName>
    <definedName name="product" localSheetId="27">#REF!</definedName>
    <definedName name="product" localSheetId="26">#REF!</definedName>
    <definedName name="product" localSheetId="9">#REF!</definedName>
    <definedName name="product" localSheetId="10">#REF!</definedName>
    <definedName name="product" localSheetId="12">#REF!</definedName>
    <definedName name="product" localSheetId="11">#REF!</definedName>
    <definedName name="product" localSheetId="23">#REF!</definedName>
    <definedName name="product" localSheetId="29">#REF!</definedName>
    <definedName name="product">#REF!</definedName>
    <definedName name="Product2" localSheetId="22">#REF!</definedName>
    <definedName name="Product2" localSheetId="21">#REF!</definedName>
    <definedName name="Product2" localSheetId="27">#REF!</definedName>
    <definedName name="Product2" localSheetId="26">#REF!</definedName>
    <definedName name="Product2" localSheetId="10">#REF!</definedName>
    <definedName name="Product2" localSheetId="12">#REF!</definedName>
    <definedName name="Product2" localSheetId="11">#REF!</definedName>
    <definedName name="Product2" localSheetId="29">#REF!</definedName>
    <definedName name="Product2">#REF!</definedName>
    <definedName name="product25" localSheetId="22">#REF!</definedName>
    <definedName name="product25" localSheetId="21">#REF!</definedName>
    <definedName name="product25" localSheetId="27">#REF!</definedName>
    <definedName name="product25" localSheetId="26">#REF!</definedName>
    <definedName name="product25" localSheetId="10">#REF!</definedName>
    <definedName name="product25" localSheetId="12">#REF!</definedName>
    <definedName name="product25" localSheetId="11">#REF!</definedName>
    <definedName name="product25" localSheetId="29">#REF!</definedName>
    <definedName name="product25">#REF!</definedName>
    <definedName name="quantity">[2]Terms!$C$1</definedName>
    <definedName name="rate" localSheetId="3">#REF!</definedName>
    <definedName name="rate" localSheetId="22">#REF!</definedName>
    <definedName name="rate" localSheetId="21">#REF!</definedName>
    <definedName name="rate" localSheetId="27">#REF!</definedName>
    <definedName name="rate" localSheetId="26">#REF!</definedName>
    <definedName name="rate" localSheetId="9">#REF!</definedName>
    <definedName name="rate" localSheetId="10">#REF!</definedName>
    <definedName name="rate" localSheetId="12">#REF!</definedName>
    <definedName name="rate" localSheetId="11">#REF!</definedName>
    <definedName name="rate" localSheetId="23">#REF!</definedName>
    <definedName name="rate" localSheetId="29">#REF!</definedName>
    <definedName name="rate" localSheetId="13">#REF!</definedName>
    <definedName name="rate" localSheetId="39">#REF!</definedName>
    <definedName name="rate" localSheetId="40">#REF!</definedName>
    <definedName name="rate">#REF!</definedName>
    <definedName name="ReportTitle1" localSheetId="3">#REF!</definedName>
    <definedName name="ReportTitle1" localSheetId="22">#REF!</definedName>
    <definedName name="ReportTitle1" localSheetId="21">#REF!</definedName>
    <definedName name="ReportTitle1" localSheetId="27">#REF!</definedName>
    <definedName name="ReportTitle1" localSheetId="26">#REF!</definedName>
    <definedName name="ReportTitle1" localSheetId="9">#REF!</definedName>
    <definedName name="ReportTitle1" localSheetId="10">#REF!</definedName>
    <definedName name="ReportTitle1" localSheetId="12">#REF!</definedName>
    <definedName name="ReportTitle1" localSheetId="11">#REF!</definedName>
    <definedName name="ReportTitle1" localSheetId="23">#REF!</definedName>
    <definedName name="ReportTitle1" localSheetId="29">#REF!</definedName>
    <definedName name="ReportTitle1" localSheetId="13">#REF!</definedName>
    <definedName name="ReportTitle1">#REF!</definedName>
    <definedName name="RowDetails1" localSheetId="3">#REF!</definedName>
    <definedName name="RowDetails1" localSheetId="22">#REF!</definedName>
    <definedName name="RowDetails1" localSheetId="21">#REF!</definedName>
    <definedName name="RowDetails1" localSheetId="27">#REF!</definedName>
    <definedName name="RowDetails1" localSheetId="26">#REF!</definedName>
    <definedName name="RowDetails1" localSheetId="9">#REF!</definedName>
    <definedName name="RowDetails1" localSheetId="10">#REF!</definedName>
    <definedName name="RowDetails1" localSheetId="12">#REF!</definedName>
    <definedName name="RowDetails1" localSheetId="11">#REF!</definedName>
    <definedName name="RowDetails1" localSheetId="23">#REF!</definedName>
    <definedName name="RowDetails1" localSheetId="29">#REF!</definedName>
    <definedName name="RowDetails1" localSheetId="13">#REF!</definedName>
    <definedName name="RowDetails1">#REF!</definedName>
    <definedName name="sencount" hidden="1">2</definedName>
    <definedName name="Site" localSheetId="3">#REF!</definedName>
    <definedName name="Site" localSheetId="22">#REF!</definedName>
    <definedName name="Site" localSheetId="21">#REF!</definedName>
    <definedName name="Site" localSheetId="27">#REF!</definedName>
    <definedName name="Site" localSheetId="26">#REF!</definedName>
    <definedName name="Site" localSheetId="9">#REF!</definedName>
    <definedName name="Site" localSheetId="10">#REF!</definedName>
    <definedName name="Site" localSheetId="12">#REF!</definedName>
    <definedName name="Site" localSheetId="11">#REF!</definedName>
    <definedName name="Site" localSheetId="23">#REF!</definedName>
    <definedName name="Site" localSheetId="29">#REF!</definedName>
    <definedName name="Site" localSheetId="13">#REF!</definedName>
    <definedName name="Site">#REF!</definedName>
    <definedName name="Table" localSheetId="3">#REF!</definedName>
    <definedName name="Table" localSheetId="22">#REF!</definedName>
    <definedName name="Table" localSheetId="21">#REF!</definedName>
    <definedName name="Table" localSheetId="27">#REF!</definedName>
    <definedName name="Table" localSheetId="26">#REF!</definedName>
    <definedName name="Table" localSheetId="9">#REF!</definedName>
    <definedName name="Table" localSheetId="10">#REF!</definedName>
    <definedName name="Table" localSheetId="12">#REF!</definedName>
    <definedName name="Table" localSheetId="11">#REF!</definedName>
    <definedName name="Table" localSheetId="23">#REF!</definedName>
    <definedName name="Table" localSheetId="29">#REF!</definedName>
    <definedName name="Table" localSheetId="13">#REF!</definedName>
    <definedName name="Table" localSheetId="39">#REF!</definedName>
    <definedName name="Table" localSheetId="40">#REF!</definedName>
    <definedName name="Table">#REF!</definedName>
    <definedName name="Term" localSheetId="3">#REF!</definedName>
    <definedName name="Term" localSheetId="22">#REF!</definedName>
    <definedName name="Term" localSheetId="21">#REF!</definedName>
    <definedName name="Term" localSheetId="27">#REF!</definedName>
    <definedName name="Term" localSheetId="26">#REF!</definedName>
    <definedName name="Term" localSheetId="9">#REF!</definedName>
    <definedName name="Term" localSheetId="10">#REF!</definedName>
    <definedName name="Term" localSheetId="12">#REF!</definedName>
    <definedName name="Term" localSheetId="11">#REF!</definedName>
    <definedName name="Term" localSheetId="23">#REF!</definedName>
    <definedName name="Term" localSheetId="29">#REF!</definedName>
    <definedName name="Term" localSheetId="13">#REF!</definedName>
    <definedName name="Term">#REF!</definedName>
    <definedName name="TermDiscperiods" localSheetId="22">#REF!</definedName>
    <definedName name="TermDiscperiods" localSheetId="21">#REF!</definedName>
    <definedName name="TermDiscperiods" localSheetId="27">#REF!</definedName>
    <definedName name="TermDiscperiods" localSheetId="26">#REF!</definedName>
    <definedName name="TermDiscperiods" localSheetId="10">#REF!</definedName>
    <definedName name="TermDiscperiods" localSheetId="12">#REF!</definedName>
    <definedName name="TermDiscperiods" localSheetId="11">#REF!</definedName>
    <definedName name="TermDiscperiods" localSheetId="23">#REF!</definedName>
    <definedName name="TermDiscperiods" localSheetId="29">#REF!</definedName>
    <definedName name="TermDiscperiods">#REF!</definedName>
    <definedName name="TEST1" localSheetId="22">#REF!</definedName>
    <definedName name="TEST1" localSheetId="21">#REF!</definedName>
    <definedName name="TEST1" localSheetId="27">#REF!</definedName>
    <definedName name="TEST1" localSheetId="26">#REF!</definedName>
    <definedName name="TEST1" localSheetId="9">#REF!</definedName>
    <definedName name="TEST1" localSheetId="10">#REF!</definedName>
    <definedName name="TEST1" localSheetId="12">#REF!</definedName>
    <definedName name="TEST1" localSheetId="11">#REF!</definedName>
    <definedName name="TEST1" localSheetId="29">#REF!</definedName>
    <definedName name="TEST1">#REF!</definedName>
    <definedName name="TEST2" localSheetId="22">#REF!</definedName>
    <definedName name="TEST2" localSheetId="21">#REF!</definedName>
    <definedName name="TEST2" localSheetId="27">#REF!</definedName>
    <definedName name="TEST2" localSheetId="26">#REF!</definedName>
    <definedName name="TEST2" localSheetId="9">#REF!</definedName>
    <definedName name="TEST2" localSheetId="10">#REF!</definedName>
    <definedName name="TEST2" localSheetId="12">#REF!</definedName>
    <definedName name="TEST2" localSheetId="11">#REF!</definedName>
    <definedName name="TEST2" localSheetId="29">#REF!</definedName>
    <definedName name="TEST2">#REF!</definedName>
    <definedName name="TEST3" localSheetId="22">#REF!</definedName>
    <definedName name="TEST3" localSheetId="21">#REF!</definedName>
    <definedName name="TEST3" localSheetId="27">#REF!</definedName>
    <definedName name="TEST3" localSheetId="26">#REF!</definedName>
    <definedName name="TEST3" localSheetId="9">#REF!</definedName>
    <definedName name="TEST3" localSheetId="10">#REF!</definedName>
    <definedName name="TEST3" localSheetId="12">#REF!</definedName>
    <definedName name="TEST3" localSheetId="11">#REF!</definedName>
    <definedName name="TEST3" localSheetId="29">#REF!</definedName>
    <definedName name="TEST3">#REF!</definedName>
    <definedName name="TESTHKEY" localSheetId="22">#REF!</definedName>
    <definedName name="TESTHKEY" localSheetId="21">#REF!</definedName>
    <definedName name="TESTHKEY" localSheetId="27">#REF!</definedName>
    <definedName name="TESTHKEY" localSheetId="26">#REF!</definedName>
    <definedName name="TESTHKEY" localSheetId="9">#REF!</definedName>
    <definedName name="TESTHKEY" localSheetId="10">#REF!</definedName>
    <definedName name="TESTHKEY" localSheetId="12">#REF!</definedName>
    <definedName name="TESTHKEY" localSheetId="11">#REF!</definedName>
    <definedName name="TESTHKEY" localSheetId="29">#REF!</definedName>
    <definedName name="TESTHKEY">#REF!</definedName>
    <definedName name="TESTKEYS" localSheetId="22">#REF!</definedName>
    <definedName name="TESTKEYS" localSheetId="21">#REF!</definedName>
    <definedName name="TESTKEYS" localSheetId="27">#REF!</definedName>
    <definedName name="TESTKEYS" localSheetId="26">#REF!</definedName>
    <definedName name="TESTKEYS" localSheetId="9">#REF!</definedName>
    <definedName name="TESTKEYS" localSheetId="10">#REF!</definedName>
    <definedName name="TESTKEYS" localSheetId="12">#REF!</definedName>
    <definedName name="TESTKEYS" localSheetId="11">#REF!</definedName>
    <definedName name="TESTKEYS" localSheetId="29">#REF!</definedName>
    <definedName name="TESTKEYS">#REF!</definedName>
    <definedName name="TESTVKEY" localSheetId="22">#REF!</definedName>
    <definedName name="TESTVKEY" localSheetId="21">#REF!</definedName>
    <definedName name="TESTVKEY" localSheetId="27">#REF!</definedName>
    <definedName name="TESTVKEY" localSheetId="26">#REF!</definedName>
    <definedName name="TESTVKEY" localSheetId="9">#REF!</definedName>
    <definedName name="TESTVKEY" localSheetId="10">#REF!</definedName>
    <definedName name="TESTVKEY" localSheetId="12">#REF!</definedName>
    <definedName name="TESTVKEY" localSheetId="11">#REF!</definedName>
    <definedName name="TESTVKEY" localSheetId="29">#REF!</definedName>
    <definedName name="TESTVKEY">#REF!</definedName>
    <definedName name="UNI_AA_VERSION" hidden="1">"322.3.0"</definedName>
    <definedName name="UNI_PRES_CLOSEST" hidden="1">512</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MRECORD" hidden="1">64</definedName>
    <definedName name="UNI_PRES_MSTIME" hidden="1">8192</definedName>
    <definedName name="UNI_PRES_POST" hidden="1">256</definedName>
    <definedName name="UNI_PRES_PRIOR" hidden="1">2048</definedName>
    <definedName name="UNI_PRES_RECENT" hidden="1">1024</definedName>
    <definedName name="UNI_PRES_STATIC" hidden="1">128</definedName>
    <definedName name="UNI_PRES_TRANSPOSE" hidden="1">4096</definedName>
    <definedName name="UNI_RET_ATTRIB" hidden="1">64</definedName>
    <definedName name="UNI_RET_CONF" hidden="1">32</definedName>
    <definedName name="UNI_RET_DESC" hidden="1">4</definedName>
    <definedName name="UNI_RET_TAG" hidden="1">1</definedName>
    <definedName name="UNI_RET_TIME" hidden="1">8</definedName>
    <definedName name="UNI_RET_UNIT" hidden="1">2</definedName>
    <definedName name="UNI_RET_VALUE" hidden="1">16</definedName>
    <definedName name="UNIFORMANCES1R103C7" hidden="1">[3]Source!$G$103</definedName>
    <definedName name="UNIFORMANCES1R107C7" hidden="1">[3]Source!$G$107</definedName>
    <definedName name="UNIFORMANCES1R110C7" hidden="1">[3]Source!$G$110</definedName>
    <definedName name="UNIFORMANCES1R114C7" hidden="1">[3]Source!$G$114</definedName>
    <definedName name="UNIFORMANCES1R118C7" hidden="1">[3]Source!$G$118</definedName>
    <definedName name="UNIFORMANCES1R121C7" hidden="1">[3]Source!$G$121</definedName>
    <definedName name="UNIFORMANCES1R127C7" hidden="1">[3]Source!$G$127</definedName>
    <definedName name="UNIFORMANCES1R130C7" hidden="1">[3]Source!$G$130</definedName>
    <definedName name="UNIFORMANCES1R134C7" hidden="1">[3]Source!$G$134</definedName>
    <definedName name="UNIFORMANCES1R138C7" hidden="1">[3]Source!$G$138</definedName>
    <definedName name="UNIFORMANCES1R141C7" hidden="1">[3]Source!$G$141</definedName>
    <definedName name="UNIFORMANCES1R145C7" hidden="1">[3]Source!$G$145</definedName>
    <definedName name="UNIFORMANCES1R149C7" hidden="1">[3]Source!$G$149</definedName>
    <definedName name="UNIFORMANCES1R152C7" hidden="1">[3]Source!$G$152</definedName>
    <definedName name="UNIFORMANCES1R156C7" hidden="1">[3]Source!$G$156</definedName>
    <definedName name="UNIFORMANCES1R15C7" hidden="1">[3]Source!$G$15</definedName>
    <definedName name="UNIFORMANCES1R163C7" hidden="1">[3]Source!$G$163</definedName>
    <definedName name="UNIFORMANCES1R167C7" hidden="1">[3]Source!$G$167</definedName>
    <definedName name="UNIFORMANCES1R171C7" hidden="1">[3]Source!$G$171</definedName>
    <definedName name="UNIFORMANCES1R175C7" hidden="1">[3]Source!$G$175</definedName>
    <definedName name="UNIFORMANCES1R179C7" hidden="1">[3]Source!$G$179</definedName>
    <definedName name="UNIFORMANCES1R186C7" hidden="1">[3]Source!$G$186</definedName>
    <definedName name="UNIFORMANCES1R18C7" hidden="1">[3]Source!$G$18</definedName>
    <definedName name="UNIFORMANCES1R190C7" hidden="1">[3]Source!$G$190</definedName>
    <definedName name="UNIFORMANCES1R193C7" hidden="1">[3]Source!$G$193</definedName>
    <definedName name="UNIFORMANCES1R197C7" hidden="1">[3]Source!$G$197</definedName>
    <definedName name="UNIFORMANCES1R19C7" hidden="1">[3]Source!$G$19</definedName>
    <definedName name="UNIFORMANCES1R203C7" hidden="1">[3]Source!$G$203</definedName>
    <definedName name="UNIFORMANCES1R207C7" hidden="1">[3]Source!$G$207</definedName>
    <definedName name="UNIFORMANCES1R210C7" hidden="1">[3]Source!$G$210</definedName>
    <definedName name="UNIFORMANCES1R211C7" hidden="1">[3]Source!$G$211</definedName>
    <definedName name="UNIFORMANCES1R214C7" hidden="1">[3]Source!$G$214</definedName>
    <definedName name="UNIFORMANCES1R218C7" hidden="1">[3]Source!$G$218</definedName>
    <definedName name="UNIFORMANCES1R219C7" hidden="1">[3]Source!$G$219</definedName>
    <definedName name="UNIFORMANCES1R221C7" hidden="1">[3]Source!$G$221</definedName>
    <definedName name="UNIFORMANCES1R222C7" hidden="1">[3]Source!$G$222</definedName>
    <definedName name="UNIFORMANCES1R225C7" hidden="1">[3]Source!$G$225</definedName>
    <definedName name="UNIFORMANCES1R229C7" hidden="1">[3]Source!$G$229</definedName>
    <definedName name="UNIFORMANCES1R230C7" hidden="1">[3]Source!$G$230</definedName>
    <definedName name="UNIFORMANCES1R235C7" hidden="1">[3]Source!$G$235</definedName>
    <definedName name="UNIFORMANCES1R23C7" hidden="1">[3]Source!$G$23</definedName>
    <definedName name="UNIFORMANCES1R240C7" hidden="1">[3]Source!$G$240</definedName>
    <definedName name="UNIFORMANCES1R243C7" hidden="1">[3]Source!$G$243</definedName>
    <definedName name="UNIFORMANCES1R247C7" hidden="1">[3]Source!$G$247</definedName>
    <definedName name="UNIFORMANCES1R248C7" hidden="1">[3]Source!$G$248</definedName>
    <definedName name="UNIFORMANCES1R25C7" hidden="1">[3]Source!$G$25</definedName>
    <definedName name="UNIFORMANCES1R26C7" hidden="1">[3]Source!$G$26</definedName>
    <definedName name="UNIFORMANCES1R29C7" hidden="1">[3]Source!$G$29</definedName>
    <definedName name="UNIFORMANCES1R33C7" hidden="1">[3]Source!$G$33</definedName>
    <definedName name="UNIFORMANCES1R37C7" hidden="1">[3]Source!$G$37</definedName>
    <definedName name="UNIFORMANCES1R38C7" hidden="1">[3]Source!$G$38</definedName>
    <definedName name="UNIFORMANCES1R41C7" hidden="1">[3]Source!$G$41</definedName>
    <definedName name="UNIFORMANCES1R43C7" hidden="1">[3]Source!$G$43</definedName>
    <definedName name="UNIFORMANCES1R46C7" hidden="1">[3]Source!$G$46</definedName>
    <definedName name="UNIFORMANCES1R50C7" hidden="1">[3]Source!$G$50</definedName>
    <definedName name="UNIFORMANCES1R51C7" hidden="1">[3]Source!$G$51</definedName>
    <definedName name="UNIFORMANCES1R53C7" hidden="1">[3]Source!$G$53</definedName>
    <definedName name="UNIFORMANCES1R54C7" hidden="1">[3]Source!$G$54</definedName>
    <definedName name="UNIFORMANCES1R59C7" hidden="1">[3]Source!$G$59</definedName>
    <definedName name="UNIFORMANCES1R5C7" hidden="1">[3]Source!$G$5</definedName>
    <definedName name="UNIFORMANCES1R60C7" hidden="1">[3]Source!$G$60</definedName>
    <definedName name="UNIFORMANCES1R62C7" hidden="1">[3]Source!$G$62</definedName>
    <definedName name="UNIFORMANCES1R63C7" hidden="1">[3]Source!$G$63</definedName>
    <definedName name="UNIFORMANCES1R66C7" hidden="1">[3]Source!$G$66</definedName>
    <definedName name="UNIFORMANCES1R67C7" hidden="1">[3]Source!$G$67</definedName>
    <definedName name="UNIFORMANCES1R68C7" hidden="1">[3]Source!$G$68</definedName>
    <definedName name="UNIFORMANCES1R70C7" hidden="1">[3]Source!$G$70</definedName>
    <definedName name="UNIFORMANCES1R71C7" hidden="1">[3]Source!$G$71</definedName>
    <definedName name="UNIFORMANCES1R74C7" hidden="1">[3]Source!$G$74</definedName>
    <definedName name="UNIFORMANCES1R75C7" hidden="1">[3]Source!$G$75</definedName>
    <definedName name="UNIFORMANCES1R76C7" hidden="1">[3]Source!$G$76</definedName>
    <definedName name="UNIFORMANCES1R78C7" hidden="1">[3]Source!$G$78</definedName>
    <definedName name="UNIFORMANCES1R79C7" hidden="1">[3]Source!$G$79</definedName>
    <definedName name="UNIFORMANCES1R81C7" hidden="1">[3]Source!$G$81</definedName>
    <definedName name="UNIFORMANCES1R82C7" hidden="1">[3]Source!$G$82</definedName>
    <definedName name="UNIFORMANCES1R83C7" hidden="1">[3]Source!$G$83</definedName>
    <definedName name="UNIFORMANCES1R85C7" hidden="1">[3]Source!$G$85</definedName>
    <definedName name="UNIFORMANCES1R86C7" hidden="1">[3]Source!$G$86</definedName>
    <definedName name="UNIFORMANCES1R87C7" hidden="1">[3]Source!$G$87</definedName>
    <definedName name="UNIFORMANCES1R89C7" hidden="1">[3]Source!$G$89</definedName>
    <definedName name="UNIFORMANCES1R90C7" hidden="1">[3]Source!$G$90</definedName>
    <definedName name="UNIFORMANCES1R93C7" hidden="1">[3]Source!$G$93</definedName>
    <definedName name="UNIFORMANCES1R94C7" hidden="1">[3]Source!$G$94</definedName>
    <definedName name="UNIFORMANCES1R97C7" hidden="1">[3]Source!$G$97</definedName>
    <definedName name="UNIFORMANCES1R98C7" hidden="1">[3]Source!$G$98</definedName>
    <definedName name="UNIFORMANCES1R99C7" hidden="1">[3]Source!$G$99</definedName>
    <definedName name="UNIFORMANCES2R100C6" hidden="1">[4]Sheet2!$F$100</definedName>
    <definedName name="UNIFORMANCES2R101C6" hidden="1">[4]Sheet2!$F$101</definedName>
    <definedName name="UNIFORMANCES2R102C6" hidden="1">[4]Sheet2!$F$102</definedName>
    <definedName name="UNIFORMANCES2R103C6" hidden="1">[4]Sheet2!$F$103</definedName>
    <definedName name="UNIFORMANCES2R104C6" hidden="1">[4]Sheet2!$F$104</definedName>
    <definedName name="UNIFORMANCES2R105C6" hidden="1">[4]Sheet2!$F$105</definedName>
    <definedName name="UNIFORMANCES2R106C6" hidden="1">[4]Sheet2!$F$106</definedName>
    <definedName name="UNIFORMANCES2R107C6" hidden="1">[4]Sheet2!$F$107</definedName>
    <definedName name="UNIFORMANCES2R108C6" hidden="1">[4]Sheet2!$F$108</definedName>
    <definedName name="UNIFORMANCES2R109C6" hidden="1">[4]Sheet2!$F$109</definedName>
    <definedName name="UNIFORMANCES2R10C6" hidden="1">[4]Sheet2!$F$10</definedName>
    <definedName name="UNIFORMANCES2R110C6" hidden="1">[4]Sheet2!$F$110</definedName>
    <definedName name="UNIFORMANCES2R111C6" hidden="1">[4]Sheet2!$F$111</definedName>
    <definedName name="UNIFORMANCES2R112C6" hidden="1">[4]Sheet2!$F$112</definedName>
    <definedName name="UNIFORMANCES2R113C6" hidden="1">[4]Sheet2!$F$113</definedName>
    <definedName name="UNIFORMANCES2R114C6" hidden="1">[4]Sheet2!$F$114</definedName>
    <definedName name="UNIFORMANCES2R115C6" hidden="1">[4]Sheet2!$F$115</definedName>
    <definedName name="UNIFORMANCES2R116C6" hidden="1">[4]Sheet2!$F$116</definedName>
    <definedName name="UNIFORMANCES2R117C6" hidden="1">[4]Sheet2!$F$117</definedName>
    <definedName name="UNIFORMANCES2R118C6" hidden="1">[4]Sheet2!$F$118</definedName>
    <definedName name="UNIFORMANCES2R119C6" hidden="1">[4]Sheet2!$F$119</definedName>
    <definedName name="UNIFORMANCES2R11C6" hidden="1">[4]Sheet2!$F$11</definedName>
    <definedName name="UNIFORMANCES2R120C6" hidden="1">[4]Sheet2!$F$120</definedName>
    <definedName name="UNIFORMANCES2R121C6" hidden="1">[4]Sheet2!$F$121</definedName>
    <definedName name="UNIFORMANCES2R122C6" hidden="1">[4]Sheet2!$F$122</definedName>
    <definedName name="UNIFORMANCES2R123C6" hidden="1">[4]Sheet2!$F$123</definedName>
    <definedName name="UNIFORMANCES2R124C6" hidden="1">[4]Sheet2!$F$124</definedName>
    <definedName name="UNIFORMANCES2R125C6" hidden="1">[4]Sheet2!$F$125</definedName>
    <definedName name="UNIFORMANCES2R126C6" hidden="1">[4]Sheet2!$F$126</definedName>
    <definedName name="UNIFORMANCES2R128C6" hidden="1">[4]Sheet2!$F$128</definedName>
    <definedName name="UNIFORMANCES2R129C6" hidden="1">[4]Sheet2!$F$129</definedName>
    <definedName name="UNIFORMANCES2R12C6" hidden="1">[4]Sheet2!$F$12</definedName>
    <definedName name="UNIFORMANCES2R130C6" hidden="1">[4]Sheet2!$F$130</definedName>
    <definedName name="UNIFORMANCES2R131C6" hidden="1">[4]Sheet2!$F$131</definedName>
    <definedName name="UNIFORMANCES2R132C6" hidden="1">[4]Sheet2!$F$132</definedName>
    <definedName name="UNIFORMANCES2R133C6" hidden="1">[4]Sheet2!$F$133</definedName>
    <definedName name="UNIFORMANCES2R134C6" hidden="1">[4]Sheet2!$F$134</definedName>
    <definedName name="UNIFORMANCES2R135C6" hidden="1">[4]Sheet2!$F$135</definedName>
    <definedName name="UNIFORMANCES2R136C6" hidden="1">[4]Sheet2!$F$136</definedName>
    <definedName name="UNIFORMANCES2R137C6" hidden="1">[4]Sheet2!$F$137</definedName>
    <definedName name="UNIFORMANCES2R138C6" hidden="1">[4]Sheet2!$F$138</definedName>
    <definedName name="UNIFORMANCES2R139C6" hidden="1">[4]Sheet2!$F$139</definedName>
    <definedName name="UNIFORMANCES2R13C6" hidden="1">[4]Sheet2!$F$13</definedName>
    <definedName name="UNIFORMANCES2R140C6" hidden="1">[4]Sheet2!$F$140</definedName>
    <definedName name="UNIFORMANCES2R141C6" hidden="1">[4]Sheet2!$F$141</definedName>
    <definedName name="UNIFORMANCES2R142C6" hidden="1">[4]Sheet2!$F$142</definedName>
    <definedName name="UNIFORMANCES2R143C6" hidden="1">[4]Sheet2!$F$143</definedName>
    <definedName name="UNIFORMANCES2R144C6" hidden="1">[4]Sheet2!$F$144</definedName>
    <definedName name="UNIFORMANCES2R145C6" hidden="1">[4]Sheet2!$F$145</definedName>
    <definedName name="UNIFORMANCES2R146C6" hidden="1">[4]Sheet2!$F$146</definedName>
    <definedName name="UNIFORMANCES2R147C6" hidden="1">[4]Sheet2!$F$147</definedName>
    <definedName name="UNIFORMANCES2R148C6" hidden="1">[4]Sheet2!$F$148</definedName>
    <definedName name="UNIFORMANCES2R149C6" hidden="1">[4]Sheet2!$F$149</definedName>
    <definedName name="UNIFORMANCES2R14C6" hidden="1">[4]Sheet2!$F$14</definedName>
    <definedName name="UNIFORMANCES2R150C6" hidden="1">[4]Sheet2!$F$150</definedName>
    <definedName name="UNIFORMANCES2R151C6" hidden="1">[4]Sheet2!$F$151</definedName>
    <definedName name="UNIFORMANCES2R152C6" hidden="1">[4]Sheet2!$F$152</definedName>
    <definedName name="UNIFORMANCES2R153C6" hidden="1">[4]Sheet2!$F$153</definedName>
    <definedName name="UNIFORMANCES2R154C6" hidden="1">[4]Sheet2!$F$154</definedName>
    <definedName name="UNIFORMANCES2R155C6" hidden="1">[4]Sheet2!$F$155</definedName>
    <definedName name="UNIFORMANCES2R156C6" hidden="1">[4]Sheet2!$F$156</definedName>
    <definedName name="UNIFORMANCES2R157C6" hidden="1">[4]Sheet2!$F$157</definedName>
    <definedName name="UNIFORMANCES2R158C6" hidden="1">[4]Sheet2!$F$158</definedName>
    <definedName name="UNIFORMANCES2R159C6" hidden="1">[4]Sheet2!$F$159</definedName>
    <definedName name="UNIFORMANCES2R160C6" hidden="1">[4]Sheet2!$F$160</definedName>
    <definedName name="UNIFORMANCES2R161C6" hidden="1">[4]Sheet2!$F$161</definedName>
    <definedName name="UNIFORMANCES2R16C6" hidden="1">[4]Sheet2!$F$16</definedName>
    <definedName name="UNIFORMANCES2R17C6" hidden="1">[4]Sheet2!$F$17</definedName>
    <definedName name="UNIFORMANCES2R184C6" hidden="1">[4]Sheet2!$F$184</definedName>
    <definedName name="UNIFORMANCES2R185C6" hidden="1">[4]Sheet2!$F$185</definedName>
    <definedName name="UNIFORMANCES2R186C6" hidden="1">[4]Sheet2!$F$186</definedName>
    <definedName name="UNIFORMANCES2R187C6" hidden="1">[4]Sheet2!$F$187</definedName>
    <definedName name="UNIFORMANCES2R18C6" hidden="1">[4]Sheet2!$F$18</definedName>
    <definedName name="UNIFORMANCES2R191C6" hidden="1">[4]Sheet2!$F$191</definedName>
    <definedName name="UNIFORMANCES2R192C6" hidden="1">[4]Sheet2!$F$192</definedName>
    <definedName name="UNIFORMANCES2R193C6" hidden="1">[4]Sheet2!$F$193</definedName>
    <definedName name="UNIFORMANCES2R194C6" hidden="1">[4]Sheet2!$F$194</definedName>
    <definedName name="UNIFORMANCES2R195C6" hidden="1">[4]Sheet2!$F$195</definedName>
    <definedName name="UNIFORMANCES2R196C6" hidden="1">[4]Sheet2!$F$196</definedName>
    <definedName name="UNIFORMANCES2R197C6" hidden="1">[4]Sheet2!$F$197</definedName>
    <definedName name="UNIFORMANCES2R198C6" hidden="1">[4]Sheet2!$F$198</definedName>
    <definedName name="UNIFORMANCES2R199C6" hidden="1">[4]Sheet2!$F$199</definedName>
    <definedName name="UNIFORMANCES2R19C6" hidden="1">[4]Sheet2!$F$19</definedName>
    <definedName name="UNIFORMANCES2R200C6" hidden="1">[4]Sheet2!$F$200</definedName>
    <definedName name="UNIFORMANCES2R201C6" hidden="1">[4]Sheet2!$F$201</definedName>
    <definedName name="UNIFORMANCES2R202C6" hidden="1">[4]Sheet2!$F$202</definedName>
    <definedName name="UNIFORMANCES2R203C6" hidden="1">[4]Sheet2!$F$203</definedName>
    <definedName name="UNIFORMANCES2R204C6" hidden="1">[4]Sheet2!$F$204</definedName>
    <definedName name="UNIFORMANCES2R205C6" hidden="1">[4]Sheet2!$F$205</definedName>
    <definedName name="UNIFORMANCES2R206C6" hidden="1">[4]Sheet2!$F$206</definedName>
    <definedName name="UNIFORMANCES2R207C6" hidden="1">[4]Sheet2!$F$207</definedName>
    <definedName name="UNIFORMANCES2R208C6" hidden="1">[4]Sheet2!$F$208</definedName>
    <definedName name="UNIFORMANCES2R209C6" hidden="1">[4]Sheet2!$F$209</definedName>
    <definedName name="UNIFORMANCES2R20C6" hidden="1">[4]Sheet2!$F$20</definedName>
    <definedName name="UNIFORMANCES2R210C6" hidden="1">[4]Sheet2!$F$210</definedName>
    <definedName name="UNIFORMANCES2R211C6" hidden="1">[4]Sheet2!$F$211</definedName>
    <definedName name="UNIFORMANCES2R212C6" hidden="1">[4]Sheet2!$F$212</definedName>
    <definedName name="UNIFORMANCES2R213C6" hidden="1">[4]Sheet2!$F$213</definedName>
    <definedName name="UNIFORMANCES2R214C6" hidden="1">[4]Sheet2!$F$214</definedName>
    <definedName name="UNIFORMANCES2R215C6" hidden="1">[4]Sheet2!$F$215</definedName>
    <definedName name="UNIFORMANCES2R216C6" hidden="1">[4]Sheet2!$F$216</definedName>
    <definedName name="UNIFORMANCES2R217C6" hidden="1">[4]Sheet2!$F$217</definedName>
    <definedName name="UNIFORMANCES2R218C6" hidden="1">[4]Sheet2!$F$218</definedName>
    <definedName name="UNIFORMANCES2R219C6" hidden="1">[4]Sheet2!$F$219</definedName>
    <definedName name="UNIFORMANCES2R21C6" hidden="1">[4]Sheet2!$F$21</definedName>
    <definedName name="UNIFORMANCES2R220C6" hidden="1">[4]Sheet2!$F$220</definedName>
    <definedName name="UNIFORMANCES2R221C6" hidden="1">[4]Sheet2!$F$221</definedName>
    <definedName name="UNIFORMANCES2R222C6" hidden="1">[4]Sheet2!$F$222</definedName>
    <definedName name="UNIFORMANCES2R223C6" hidden="1">[4]Sheet2!$F$223</definedName>
    <definedName name="UNIFORMANCES2R224C6" hidden="1">[4]Sheet2!$F$224</definedName>
    <definedName name="UNIFORMANCES2R225C6" hidden="1">[4]Sheet2!$F$225</definedName>
    <definedName name="UNIFORMANCES2R227C6" hidden="1">[4]Sheet2!$F$227</definedName>
    <definedName name="UNIFORMANCES2R229C6" hidden="1">[4]Sheet2!$F$229</definedName>
    <definedName name="UNIFORMANCES2R22C6" hidden="1">[4]Sheet2!$F$22</definedName>
    <definedName name="UNIFORMANCES2R230C6" hidden="1">[4]Sheet2!$F$230</definedName>
    <definedName name="UNIFORMANCES2R231C6" hidden="1">[4]Sheet2!$F$231</definedName>
    <definedName name="UNIFORMANCES2R232C6" hidden="1">[4]Sheet2!$F$232</definedName>
    <definedName name="UNIFORMANCES2R233C6" hidden="1">[4]Sheet2!$F$233</definedName>
    <definedName name="UNIFORMANCES2R234C6" hidden="1">[4]Sheet2!$F$234</definedName>
    <definedName name="UNIFORMANCES2R235C6" hidden="1">[4]Sheet2!$F$235</definedName>
    <definedName name="UNIFORMANCES2R236C6" hidden="1">[4]Sheet2!$F$236</definedName>
    <definedName name="UNIFORMANCES2R237C6" hidden="1">[4]Sheet2!$F$237</definedName>
    <definedName name="UNIFORMANCES2R238C6" hidden="1">[4]Sheet2!$F$238</definedName>
    <definedName name="UNIFORMANCES2R239C6" hidden="1">[4]Sheet2!$F$239</definedName>
    <definedName name="UNIFORMANCES2R23C6" hidden="1">[4]Sheet2!$F$23</definedName>
    <definedName name="UNIFORMANCES2R240C6" hidden="1">[4]Sheet2!$F$240</definedName>
    <definedName name="UNIFORMANCES2R241C6" hidden="1">[4]Sheet2!$F$241</definedName>
    <definedName name="UNIFORMANCES2R242C6" hidden="1">[4]Sheet2!$F$242</definedName>
    <definedName name="UNIFORMANCES2R243C6" hidden="1">[4]Sheet2!$F$243</definedName>
    <definedName name="UNIFORMANCES2R24C6" hidden="1">[4]Sheet2!$F$24</definedName>
    <definedName name="UNIFORMANCES2R25C6" hidden="1">[4]Sheet2!$F$25</definedName>
    <definedName name="UNIFORMANCES2R26C6" hidden="1">[4]Sheet2!$F$26</definedName>
    <definedName name="UNIFORMANCES2R27C6" hidden="1">[4]Sheet2!$F$27</definedName>
    <definedName name="UNIFORMANCES2R28C6" hidden="1">[4]Sheet2!$F$28</definedName>
    <definedName name="UNIFORMANCES2R29C6" hidden="1">[4]Sheet2!$F$29</definedName>
    <definedName name="UNIFORMANCES2R30C6" hidden="1">[4]Sheet2!$F$30</definedName>
    <definedName name="UNIFORMANCES2R31C6" hidden="1">[4]Sheet2!$F$31</definedName>
    <definedName name="UNIFORMANCES2R32C6" hidden="1">[4]Sheet2!$F$32</definedName>
    <definedName name="UNIFORMANCES2R33C6" hidden="1">[4]Sheet2!$F$33</definedName>
    <definedName name="UNIFORMANCES2R34C6" hidden="1">[4]Sheet2!$F$34</definedName>
    <definedName name="UNIFORMANCES2R35C6" hidden="1">[4]Sheet2!$F$35</definedName>
    <definedName name="UNIFORMANCES2R36C6" hidden="1">[4]Sheet2!$F$36</definedName>
    <definedName name="UNIFORMANCES2R37C6" hidden="1">[4]Sheet2!$F$37</definedName>
    <definedName name="UNIFORMANCES2R38C6" hidden="1">[4]Sheet2!$F$38</definedName>
    <definedName name="UNIFORMANCES2R39C6" hidden="1">[4]Sheet2!$F$39</definedName>
    <definedName name="UNIFORMANCES2R40C6" hidden="1">[4]Sheet2!$F$40</definedName>
    <definedName name="UNIFORMANCES2R41C6" hidden="1">[4]Sheet2!$F$41</definedName>
    <definedName name="UNIFORMANCES2R42C6" hidden="1">[4]Sheet2!$F$42</definedName>
    <definedName name="UNIFORMANCES2R43C6" hidden="1">[4]Sheet2!$F$43</definedName>
    <definedName name="UNIFORMANCES2R44C6" hidden="1">[4]Sheet2!$F$44</definedName>
    <definedName name="UNIFORMANCES2R45C6" hidden="1">[4]Sheet2!$F$45</definedName>
    <definedName name="UNIFORMANCES2R46C6" hidden="1">[4]Sheet2!$F$46</definedName>
    <definedName name="UNIFORMANCES2R47C6" hidden="1">[4]Sheet2!$F$47</definedName>
    <definedName name="UNIFORMANCES2R48C6" hidden="1">[4]Sheet2!$F$48</definedName>
    <definedName name="UNIFORMANCES2R49C6" hidden="1">[4]Sheet2!$F$49</definedName>
    <definedName name="UNIFORMANCES2R4C6" hidden="1">[4]Sheet2!$F$4</definedName>
    <definedName name="UNIFORMANCES2R50C6" hidden="1">[4]Sheet2!$F$50</definedName>
    <definedName name="UNIFORMANCES2R51C6" hidden="1">[4]Sheet2!$F$51</definedName>
    <definedName name="UNIFORMANCES2R52C6" hidden="1">[4]Sheet2!$F$52</definedName>
    <definedName name="UNIFORMANCES2R53C6" hidden="1">[4]Sheet2!$F$53</definedName>
    <definedName name="UNIFORMANCES2R54C6" hidden="1">[4]Sheet2!$F$54</definedName>
    <definedName name="UNIFORMANCES2R55C6" hidden="1">[4]Sheet2!$F$55</definedName>
    <definedName name="UNIFORMANCES2R56C6" hidden="1">[4]Sheet2!$F$56</definedName>
    <definedName name="UNIFORMANCES2R57C6" hidden="1">[4]Sheet2!$F$57</definedName>
    <definedName name="UNIFORMANCES2R58C6" hidden="1">[4]Sheet2!$F$58</definedName>
    <definedName name="UNIFORMANCES2R59C6" hidden="1">[4]Sheet2!$F$59</definedName>
    <definedName name="UNIFORMANCES2R60C6" hidden="1">[4]Sheet2!$F$60</definedName>
    <definedName name="UNIFORMANCES2R61C6" hidden="1">[4]Sheet2!$F$61</definedName>
    <definedName name="UNIFORMANCES2R62C6" hidden="1">[4]Sheet2!$F$62</definedName>
    <definedName name="UNIFORMANCES2R63C6" hidden="1">[4]Sheet2!$F$63</definedName>
    <definedName name="UNIFORMANCES2R64C6" hidden="1">[4]Sheet2!$F$64</definedName>
    <definedName name="UNIFORMANCES2R65C6" hidden="1">[4]Sheet2!$F$65</definedName>
    <definedName name="UNIFORMANCES2R66C6" hidden="1">[4]Sheet2!$F$66</definedName>
    <definedName name="UNIFORMANCES2R67C6" hidden="1">[4]Sheet2!$F$67</definedName>
    <definedName name="UNIFORMANCES2R68C6" hidden="1">[4]Sheet2!$F$68</definedName>
    <definedName name="UNIFORMANCES2R69C6" hidden="1">[4]Sheet2!$F$69</definedName>
    <definedName name="UNIFORMANCES2R6C6" hidden="1">[4]Sheet2!$F$6</definedName>
    <definedName name="UNIFORMANCES2R70C6" hidden="1">[4]Sheet2!$F$70</definedName>
    <definedName name="UNIFORMANCES2R71C6" hidden="1">[4]Sheet2!$F$71</definedName>
    <definedName name="UNIFORMANCES2R72C6" hidden="1">[4]Sheet2!$F$72</definedName>
    <definedName name="UNIFORMANCES2R73C6" hidden="1">[4]Sheet2!$F$73</definedName>
    <definedName name="UNIFORMANCES2R74C6" hidden="1">[4]Sheet2!$F$74</definedName>
    <definedName name="UNIFORMANCES2R75C6" hidden="1">[4]Sheet2!$F$75</definedName>
    <definedName name="UNIFORMANCES2R76C6" hidden="1">[4]Sheet2!$F$76</definedName>
    <definedName name="UNIFORMANCES2R77C6" hidden="1">[4]Sheet2!$F$77</definedName>
    <definedName name="UNIFORMANCES2R78C6" hidden="1">[4]Sheet2!$F$78</definedName>
    <definedName name="UNIFORMANCES2R79C6" hidden="1">[4]Sheet2!$F$79</definedName>
    <definedName name="UNIFORMANCES2R80C6" hidden="1">[4]Sheet2!$F$80</definedName>
    <definedName name="UNIFORMANCES2R81C6" hidden="1">[4]Sheet2!$F$81</definedName>
    <definedName name="UNIFORMANCES2R82C6" hidden="1">[4]Sheet2!$F$82</definedName>
    <definedName name="UNIFORMANCES2R83C6" hidden="1">[4]Sheet2!$F$83</definedName>
    <definedName name="UNIFORMANCES2R84C6" hidden="1">[4]Sheet2!$F$84</definedName>
    <definedName name="UNIFORMANCES2R85C6" hidden="1">[4]Sheet2!$F$85</definedName>
    <definedName name="UNIFORMANCES2R86C6" hidden="1">[4]Sheet2!$F$86</definedName>
    <definedName name="UNIFORMANCES2R87C6" hidden="1">[4]Sheet2!$F$87</definedName>
    <definedName name="UNIFORMANCES2R88C6" hidden="1">[4]Sheet2!$F$88</definedName>
    <definedName name="UNIFORMANCES2R89C6" hidden="1">[4]Sheet2!$F$89</definedName>
    <definedName name="UNIFORMANCES2R8C6" hidden="1">[4]Sheet2!$F$8</definedName>
    <definedName name="UNIFORMANCES2R90C6" hidden="1">[4]Sheet2!$F$90</definedName>
    <definedName name="UNIFORMANCES2R91C6" hidden="1">[4]Sheet2!$F$91</definedName>
    <definedName name="UNIFORMANCES2R92C6" hidden="1">[4]Sheet2!$F$92</definedName>
    <definedName name="UNIFORMANCES2R93C6" hidden="1">[4]Sheet2!$F$93</definedName>
    <definedName name="UNIFORMANCES2R94C6" hidden="1">[4]Sheet2!$F$94</definedName>
    <definedName name="UNIFORMANCES2R95C6" hidden="1">[4]Sheet2!$F$95</definedName>
    <definedName name="UNIFORMANCES2R96C6" hidden="1">[4]Sheet2!$F$96</definedName>
    <definedName name="UNIFORMANCES2R97C6" hidden="1">[4]Sheet2!$F$97</definedName>
    <definedName name="UNIFORMANCES2R98C6" hidden="1">[4]Sheet2!$F$98</definedName>
    <definedName name="UNIFORMANCES2R99C6" hidden="1">[4]Sheet2!$F$99</definedName>
    <definedName name="UNIFORMANCES2R9C6" hidden="1">[4]Sheet2!$F$9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47" i="13" l="1"/>
  <c r="F27" i="13"/>
  <c r="F8" i="13"/>
  <c r="E48" i="13"/>
  <c r="E47" i="13"/>
  <c r="E27" i="13"/>
  <c r="E28" i="13"/>
  <c r="E9" i="13"/>
  <c r="E8" i="13"/>
  <c r="S17" i="69"/>
  <c r="H25" i="39"/>
  <c r="I25" i="39"/>
  <c r="J25" i="39"/>
  <c r="S97" i="90"/>
  <c r="T97" i="90" s="1"/>
  <c r="Q97" i="90"/>
  <c r="O97" i="90"/>
  <c r="I97" i="90"/>
  <c r="Y97" i="90" s="1"/>
  <c r="D97" i="90"/>
  <c r="H97" i="90" s="1"/>
  <c r="S96" i="90"/>
  <c r="T96" i="90" s="1"/>
  <c r="Q96" i="90"/>
  <c r="O96" i="90"/>
  <c r="I96" i="90"/>
  <c r="Y96" i="90" s="1"/>
  <c r="D96" i="90"/>
  <c r="H96" i="90" s="1"/>
  <c r="S95" i="90"/>
  <c r="T95" i="90" s="1"/>
  <c r="Q95" i="90"/>
  <c r="O95" i="90"/>
  <c r="I95" i="90"/>
  <c r="Y95" i="90" s="1"/>
  <c r="D95" i="90"/>
  <c r="H95" i="90" s="1"/>
  <c r="S94" i="90"/>
  <c r="T94" i="90" s="1"/>
  <c r="Q94" i="90"/>
  <c r="O94" i="90"/>
  <c r="I94" i="90"/>
  <c r="Y94" i="90" s="1"/>
  <c r="D94" i="90"/>
  <c r="H94" i="90" s="1"/>
  <c r="S93" i="90"/>
  <c r="T93" i="90" s="1"/>
  <c r="Q93" i="90"/>
  <c r="O93" i="90"/>
  <c r="I93" i="90"/>
  <c r="Y93" i="90" s="1"/>
  <c r="D93" i="90"/>
  <c r="H93" i="90" s="1"/>
  <c r="S92" i="90"/>
  <c r="T92" i="90" s="1"/>
  <c r="Q92" i="90"/>
  <c r="O92" i="90"/>
  <c r="I92" i="90"/>
  <c r="Y92" i="90" s="1"/>
  <c r="D92" i="90"/>
  <c r="H92" i="90" s="1"/>
  <c r="S91" i="90"/>
  <c r="T91" i="90" s="1"/>
  <c r="Q91" i="90"/>
  <c r="O91" i="90"/>
  <c r="I91" i="90"/>
  <c r="Y91" i="90" s="1"/>
  <c r="D91" i="90"/>
  <c r="H91" i="90" s="1"/>
  <c r="S90" i="90"/>
  <c r="T90" i="90" s="1"/>
  <c r="Q90" i="90"/>
  <c r="O90" i="90"/>
  <c r="I90" i="90"/>
  <c r="Y90" i="90" s="1"/>
  <c r="D90" i="90"/>
  <c r="H90" i="90" s="1"/>
  <c r="S89" i="90"/>
  <c r="T89" i="90" s="1"/>
  <c r="Q89" i="90"/>
  <c r="O89" i="90"/>
  <c r="I89" i="90"/>
  <c r="Y89" i="90" s="1"/>
  <c r="D89" i="90"/>
  <c r="H89" i="90" s="1"/>
  <c r="S88" i="90"/>
  <c r="T88" i="90" s="1"/>
  <c r="Q88" i="90"/>
  <c r="O88" i="90"/>
  <c r="I88" i="90"/>
  <c r="Y88" i="90" s="1"/>
  <c r="D88" i="90"/>
  <c r="H88" i="90" s="1"/>
  <c r="S87" i="90"/>
  <c r="T87" i="90" s="1"/>
  <c r="Q87" i="90"/>
  <c r="O87" i="90"/>
  <c r="I87" i="90"/>
  <c r="Y87" i="90" s="1"/>
  <c r="D87" i="90"/>
  <c r="H87" i="90" s="1"/>
  <c r="S86" i="90"/>
  <c r="T86" i="90" s="1"/>
  <c r="Q86" i="90"/>
  <c r="O86" i="90"/>
  <c r="I86" i="90"/>
  <c r="Y86" i="90" s="1"/>
  <c r="D86" i="90"/>
  <c r="H86" i="90" s="1"/>
  <c r="S85" i="90"/>
  <c r="T85" i="90" s="1"/>
  <c r="Q85" i="90"/>
  <c r="O85" i="90"/>
  <c r="I85" i="90"/>
  <c r="Y85" i="90" s="1"/>
  <c r="D85" i="90"/>
  <c r="H85" i="90" s="1"/>
  <c r="S84" i="90"/>
  <c r="T84" i="90" s="1"/>
  <c r="Q84" i="90"/>
  <c r="O84" i="90"/>
  <c r="I84" i="90"/>
  <c r="Y84" i="90" s="1"/>
  <c r="D84" i="90"/>
  <c r="H84" i="90" s="1"/>
  <c r="S83" i="90"/>
  <c r="T83" i="90" s="1"/>
  <c r="Q83" i="90"/>
  <c r="O83" i="90"/>
  <c r="I83" i="90"/>
  <c r="Y83" i="90" s="1"/>
  <c r="D83" i="90"/>
  <c r="H83" i="90" s="1"/>
  <c r="S82" i="90"/>
  <c r="T82" i="90" s="1"/>
  <c r="Q82" i="90"/>
  <c r="O82" i="90"/>
  <c r="I82" i="90"/>
  <c r="Y82" i="90" s="1"/>
  <c r="D82" i="90"/>
  <c r="H82" i="90" s="1"/>
  <c r="S81" i="90"/>
  <c r="T81" i="90" s="1"/>
  <c r="Q81" i="90"/>
  <c r="O81" i="90"/>
  <c r="I81" i="90"/>
  <c r="Y81" i="90" s="1"/>
  <c r="D81" i="90"/>
  <c r="H81" i="90" s="1"/>
  <c r="S80" i="90"/>
  <c r="T80" i="90" s="1"/>
  <c r="Q80" i="90"/>
  <c r="O80" i="90"/>
  <c r="I80" i="90"/>
  <c r="Y80" i="90" s="1"/>
  <c r="D80" i="90"/>
  <c r="H80" i="90" s="1"/>
  <c r="S79" i="90"/>
  <c r="T79" i="90" s="1"/>
  <c r="Q79" i="90"/>
  <c r="O79" i="90"/>
  <c r="I79" i="90"/>
  <c r="Y79" i="90" s="1"/>
  <c r="D79" i="90"/>
  <c r="H79" i="90" s="1"/>
  <c r="S78" i="90"/>
  <c r="T78" i="90" s="1"/>
  <c r="Q78" i="90"/>
  <c r="O78" i="90"/>
  <c r="I78" i="90"/>
  <c r="Y78" i="90" s="1"/>
  <c r="D78" i="90"/>
  <c r="H78" i="90" s="1"/>
  <c r="S77" i="90"/>
  <c r="T77" i="90" s="1"/>
  <c r="Q77" i="90"/>
  <c r="O77" i="90"/>
  <c r="I77" i="90"/>
  <c r="Y77" i="90" s="1"/>
  <c r="D77" i="90"/>
  <c r="H77" i="90" s="1"/>
  <c r="S76" i="90"/>
  <c r="T76" i="90" s="1"/>
  <c r="Q76" i="90"/>
  <c r="O76" i="90"/>
  <c r="I76" i="90"/>
  <c r="Y76" i="90" s="1"/>
  <c r="D76" i="90"/>
  <c r="H76" i="90" s="1"/>
  <c r="S75" i="90"/>
  <c r="T75" i="90" s="1"/>
  <c r="Q75" i="90"/>
  <c r="O75" i="90"/>
  <c r="I75" i="90"/>
  <c r="Y75" i="90" s="1"/>
  <c r="D75" i="90"/>
  <c r="H75" i="90" s="1"/>
  <c r="S74" i="90"/>
  <c r="T74" i="90" s="1"/>
  <c r="Q74" i="90"/>
  <c r="O74" i="90"/>
  <c r="I74" i="90"/>
  <c r="Y74" i="90" s="1"/>
  <c r="D74" i="90"/>
  <c r="H74" i="90" s="1"/>
  <c r="S73" i="90"/>
  <c r="T73" i="90" s="1"/>
  <c r="Q73" i="90"/>
  <c r="O73" i="90"/>
  <c r="I73" i="90"/>
  <c r="Y73" i="90" s="1"/>
  <c r="D73" i="90"/>
  <c r="H73" i="90" s="1"/>
  <c r="S72" i="90"/>
  <c r="T72" i="90" s="1"/>
  <c r="Q72" i="90"/>
  <c r="O72" i="90"/>
  <c r="I72" i="90"/>
  <c r="Y72" i="90" s="1"/>
  <c r="D72" i="90"/>
  <c r="H72" i="90" s="1"/>
  <c r="S71" i="90"/>
  <c r="T71" i="90" s="1"/>
  <c r="Q71" i="90"/>
  <c r="O71" i="90"/>
  <c r="I71" i="90"/>
  <c r="Y71" i="90" s="1"/>
  <c r="D71" i="90"/>
  <c r="H71" i="90" s="1"/>
  <c r="S70" i="90"/>
  <c r="T70" i="90" s="1"/>
  <c r="Q70" i="90"/>
  <c r="O70" i="90"/>
  <c r="I70" i="90"/>
  <c r="Y70" i="90" s="1"/>
  <c r="D70" i="90"/>
  <c r="H70" i="90" s="1"/>
  <c r="S69" i="90"/>
  <c r="T69" i="90" s="1"/>
  <c r="Q69" i="90"/>
  <c r="O69" i="90"/>
  <c r="I69" i="90"/>
  <c r="Y69" i="90" s="1"/>
  <c r="D69" i="90"/>
  <c r="H69" i="90" s="1"/>
  <c r="S68" i="90"/>
  <c r="T68" i="90" s="1"/>
  <c r="Q68" i="90"/>
  <c r="O68" i="90"/>
  <c r="I68" i="90"/>
  <c r="Y68" i="90" s="1"/>
  <c r="D68" i="90"/>
  <c r="H68" i="90" s="1"/>
  <c r="S67" i="90"/>
  <c r="T67" i="90" s="1"/>
  <c r="Q67" i="90"/>
  <c r="O67" i="90"/>
  <c r="I67" i="90"/>
  <c r="Y67" i="90" s="1"/>
  <c r="D67" i="90"/>
  <c r="H67" i="90" s="1"/>
  <c r="S66" i="90"/>
  <c r="T66" i="90" s="1"/>
  <c r="Q66" i="90"/>
  <c r="O66" i="90"/>
  <c r="I66" i="90"/>
  <c r="Y66" i="90" s="1"/>
  <c r="D66" i="90"/>
  <c r="H66" i="90" s="1"/>
  <c r="S65" i="90"/>
  <c r="T65" i="90" s="1"/>
  <c r="Q65" i="90"/>
  <c r="O65" i="90"/>
  <c r="I65" i="90"/>
  <c r="Y65" i="90" s="1"/>
  <c r="D65" i="90"/>
  <c r="H65" i="90" s="1"/>
  <c r="S64" i="90"/>
  <c r="T64" i="90" s="1"/>
  <c r="Q64" i="90"/>
  <c r="O64" i="90"/>
  <c r="I64" i="90"/>
  <c r="Y64" i="90" s="1"/>
  <c r="D64" i="90"/>
  <c r="H64" i="90" s="1"/>
  <c r="S63" i="90"/>
  <c r="T63" i="90" s="1"/>
  <c r="Q63" i="90"/>
  <c r="O63" i="90"/>
  <c r="I63" i="90"/>
  <c r="Y63" i="90" s="1"/>
  <c r="D63" i="90"/>
  <c r="H63" i="90" s="1"/>
  <c r="S62" i="90"/>
  <c r="T62" i="90" s="1"/>
  <c r="Q62" i="90"/>
  <c r="O62" i="90"/>
  <c r="I62" i="90"/>
  <c r="Y62" i="90" s="1"/>
  <c r="D62" i="90"/>
  <c r="H62" i="90" s="1"/>
  <c r="S61" i="90"/>
  <c r="T61" i="90" s="1"/>
  <c r="Q61" i="90"/>
  <c r="O61" i="90"/>
  <c r="I61" i="90"/>
  <c r="Y61" i="90" s="1"/>
  <c r="D61" i="90"/>
  <c r="H61" i="90" s="1"/>
  <c r="S60" i="90"/>
  <c r="T60" i="90" s="1"/>
  <c r="Q60" i="90"/>
  <c r="O60" i="90"/>
  <c r="I60" i="90"/>
  <c r="Y60" i="90" s="1"/>
  <c r="D60" i="90"/>
  <c r="H60" i="90" s="1"/>
  <c r="S59" i="90"/>
  <c r="T59" i="90" s="1"/>
  <c r="Q59" i="90"/>
  <c r="O59" i="90"/>
  <c r="I59" i="90"/>
  <c r="Y59" i="90" s="1"/>
  <c r="D59" i="90"/>
  <c r="H59" i="90" s="1"/>
  <c r="S58" i="90"/>
  <c r="T58" i="90" s="1"/>
  <c r="Q58" i="90"/>
  <c r="O58" i="90"/>
  <c r="I58" i="90"/>
  <c r="Y58" i="90" s="1"/>
  <c r="D58" i="90"/>
  <c r="H58" i="90" s="1"/>
  <c r="U57" i="90"/>
  <c r="S57" i="90"/>
  <c r="T57" i="90" s="1"/>
  <c r="Q57" i="90"/>
  <c r="O57" i="90"/>
  <c r="I57" i="90"/>
  <c r="Y57" i="90" s="1"/>
  <c r="D57" i="90"/>
  <c r="H57" i="90" s="1"/>
  <c r="R57" i="90" s="1"/>
  <c r="S56" i="90"/>
  <c r="T56" i="90" s="1"/>
  <c r="Q56" i="90"/>
  <c r="O56" i="90"/>
  <c r="I56" i="90"/>
  <c r="Y56" i="90" s="1"/>
  <c r="D56" i="90"/>
  <c r="H56" i="90" s="1"/>
  <c r="Z56" i="90" s="1"/>
  <c r="Y55" i="90"/>
  <c r="S55" i="90"/>
  <c r="T55" i="90" s="1"/>
  <c r="Q55" i="90"/>
  <c r="O55" i="90"/>
  <c r="I55" i="90"/>
  <c r="D55" i="90"/>
  <c r="H55" i="90" s="1"/>
  <c r="U54" i="90"/>
  <c r="T54" i="90"/>
  <c r="S54" i="90"/>
  <c r="Q54" i="90"/>
  <c r="O54" i="90"/>
  <c r="I54" i="90"/>
  <c r="Y54" i="90" s="1"/>
  <c r="D54" i="90"/>
  <c r="H54" i="90" s="1"/>
  <c r="Y53" i="90"/>
  <c r="Q53" i="90"/>
  <c r="O53" i="90"/>
  <c r="S53" i="90" s="1"/>
  <c r="T53" i="90" s="1"/>
  <c r="I53" i="90"/>
  <c r="H53" i="90"/>
  <c r="D53" i="90"/>
  <c r="Q52" i="90"/>
  <c r="O52" i="90"/>
  <c r="S52" i="90" s="1"/>
  <c r="T52" i="90" s="1"/>
  <c r="I52" i="90"/>
  <c r="Y52" i="90" s="1"/>
  <c r="D52" i="90"/>
  <c r="H52" i="90" s="1"/>
  <c r="S51" i="90"/>
  <c r="T51" i="90" s="1"/>
  <c r="Q51" i="90"/>
  <c r="O51" i="90"/>
  <c r="I51" i="90"/>
  <c r="Y51" i="90" s="1"/>
  <c r="D51" i="90"/>
  <c r="H51" i="90" s="1"/>
  <c r="U50" i="90"/>
  <c r="T50" i="90"/>
  <c r="S50" i="90"/>
  <c r="Q50" i="90"/>
  <c r="O50" i="90"/>
  <c r="I50" i="90"/>
  <c r="Y50" i="90" s="1"/>
  <c r="D50" i="90"/>
  <c r="H50" i="90" s="1"/>
  <c r="Y49" i="90"/>
  <c r="Q49" i="90"/>
  <c r="O49" i="90"/>
  <c r="S49" i="90" s="1"/>
  <c r="T49" i="90" s="1"/>
  <c r="I49" i="90"/>
  <c r="H49" i="90"/>
  <c r="D49" i="90"/>
  <c r="Q48" i="90"/>
  <c r="O48" i="90"/>
  <c r="S48" i="90" s="1"/>
  <c r="T48" i="90" s="1"/>
  <c r="I48" i="90"/>
  <c r="Y48" i="90" s="1"/>
  <c r="D48" i="90"/>
  <c r="H48" i="90" s="1"/>
  <c r="S47" i="90"/>
  <c r="T47" i="90" s="1"/>
  <c r="Q47" i="90"/>
  <c r="O47" i="90"/>
  <c r="I47" i="90"/>
  <c r="Y47" i="90" s="1"/>
  <c r="D47" i="90"/>
  <c r="H47" i="90" s="1"/>
  <c r="U46" i="90"/>
  <c r="T46" i="90"/>
  <c r="S46" i="90"/>
  <c r="Q46" i="90"/>
  <c r="O46" i="90"/>
  <c r="I46" i="90"/>
  <c r="Y46" i="90" s="1"/>
  <c r="D46" i="90"/>
  <c r="H46" i="90" s="1"/>
  <c r="Y45" i="90"/>
  <c r="Q45" i="90"/>
  <c r="O45" i="90"/>
  <c r="S45" i="90" s="1"/>
  <c r="T45" i="90" s="1"/>
  <c r="I45" i="90"/>
  <c r="H45" i="90"/>
  <c r="D45" i="90"/>
  <c r="Q44" i="90"/>
  <c r="O44" i="90"/>
  <c r="S44" i="90" s="1"/>
  <c r="T44" i="90" s="1"/>
  <c r="I44" i="90"/>
  <c r="Y44" i="90" s="1"/>
  <c r="D44" i="90"/>
  <c r="H44" i="90" s="1"/>
  <c r="S43" i="90"/>
  <c r="T43" i="90" s="1"/>
  <c r="Q43" i="90"/>
  <c r="O43" i="90"/>
  <c r="I43" i="90"/>
  <c r="Y43" i="90" s="1"/>
  <c r="D43" i="90"/>
  <c r="H43" i="90" s="1"/>
  <c r="U42" i="90"/>
  <c r="T42" i="90"/>
  <c r="S42" i="90"/>
  <c r="Q42" i="90"/>
  <c r="O42" i="90"/>
  <c r="I42" i="90"/>
  <c r="Y42" i="90" s="1"/>
  <c r="D42" i="90"/>
  <c r="H42" i="90" s="1"/>
  <c r="Y41" i="90"/>
  <c r="Q41" i="90"/>
  <c r="O41" i="90"/>
  <c r="S41" i="90" s="1"/>
  <c r="T41" i="90" s="1"/>
  <c r="I41" i="90"/>
  <c r="H41" i="90"/>
  <c r="D41" i="90"/>
  <c r="Q40" i="90"/>
  <c r="O40" i="90"/>
  <c r="S40" i="90" s="1"/>
  <c r="T40" i="90" s="1"/>
  <c r="I40" i="90"/>
  <c r="Y40" i="90" s="1"/>
  <c r="D40" i="90"/>
  <c r="H40" i="90" s="1"/>
  <c r="S39" i="90"/>
  <c r="T39" i="90" s="1"/>
  <c r="Q39" i="90"/>
  <c r="O39" i="90"/>
  <c r="I39" i="90"/>
  <c r="Y39" i="90" s="1"/>
  <c r="D39" i="90"/>
  <c r="H39" i="90" s="1"/>
  <c r="U38" i="90"/>
  <c r="T38" i="90"/>
  <c r="S38" i="90"/>
  <c r="Q38" i="90"/>
  <c r="O38" i="90"/>
  <c r="I38" i="90"/>
  <c r="Y38" i="90" s="1"/>
  <c r="D38" i="90"/>
  <c r="H38" i="90" s="1"/>
  <c r="Y37" i="90"/>
  <c r="Q37" i="90"/>
  <c r="O37" i="90"/>
  <c r="S37" i="90" s="1"/>
  <c r="T37" i="90" s="1"/>
  <c r="I37" i="90"/>
  <c r="H37" i="90"/>
  <c r="D37" i="90"/>
  <c r="Q36" i="90"/>
  <c r="O36" i="90"/>
  <c r="S36" i="90" s="1"/>
  <c r="T36" i="90" s="1"/>
  <c r="I36" i="90"/>
  <c r="Y36" i="90" s="1"/>
  <c r="D36" i="90"/>
  <c r="H36" i="90" s="1"/>
  <c r="S35" i="90"/>
  <c r="T35" i="90" s="1"/>
  <c r="Q35" i="90"/>
  <c r="O35" i="90"/>
  <c r="I35" i="90"/>
  <c r="Y35" i="90" s="1"/>
  <c r="D35" i="90"/>
  <c r="H35" i="90" s="1"/>
  <c r="U34" i="90"/>
  <c r="T34" i="90"/>
  <c r="S34" i="90"/>
  <c r="Q34" i="90"/>
  <c r="O34" i="90"/>
  <c r="I34" i="90"/>
  <c r="Y34" i="90" s="1"/>
  <c r="D34" i="90"/>
  <c r="H34" i="90" s="1"/>
  <c r="Y33" i="90"/>
  <c r="Q33" i="90"/>
  <c r="O33" i="90"/>
  <c r="S33" i="90" s="1"/>
  <c r="T33" i="90" s="1"/>
  <c r="I33" i="90"/>
  <c r="H33" i="90"/>
  <c r="D33" i="90"/>
  <c r="Q32" i="90"/>
  <c r="O32" i="90"/>
  <c r="S32" i="90" s="1"/>
  <c r="T32" i="90" s="1"/>
  <c r="I32" i="90"/>
  <c r="Y32" i="90" s="1"/>
  <c r="D32" i="90"/>
  <c r="H32" i="90" s="1"/>
  <c r="S31" i="90"/>
  <c r="T31" i="90" s="1"/>
  <c r="Q31" i="90"/>
  <c r="O31" i="90"/>
  <c r="I31" i="90"/>
  <c r="Y31" i="90" s="1"/>
  <c r="D31" i="90"/>
  <c r="H31" i="90" s="1"/>
  <c r="Y30" i="90"/>
  <c r="Q30" i="90"/>
  <c r="O30" i="90"/>
  <c r="S30" i="90" s="1"/>
  <c r="T30" i="90" s="1"/>
  <c r="I30" i="90"/>
  <c r="H30" i="90"/>
  <c r="W30" i="90" s="1"/>
  <c r="D30" i="90"/>
  <c r="U29" i="90"/>
  <c r="S29" i="90"/>
  <c r="T29" i="90" s="1"/>
  <c r="Q29" i="90"/>
  <c r="O29" i="90"/>
  <c r="I29" i="90"/>
  <c r="Y29" i="90" s="1"/>
  <c r="H29" i="90"/>
  <c r="D29" i="90"/>
  <c r="T28" i="90"/>
  <c r="S28" i="90"/>
  <c r="Q28" i="90"/>
  <c r="O28" i="90"/>
  <c r="I28" i="90"/>
  <c r="Y28" i="90" s="1"/>
  <c r="H28" i="90"/>
  <c r="D28" i="90"/>
  <c r="T27" i="90"/>
  <c r="S27" i="90"/>
  <c r="Q27" i="90"/>
  <c r="O27" i="90"/>
  <c r="I27" i="90"/>
  <c r="Y27" i="90" s="1"/>
  <c r="H27" i="90"/>
  <c r="D27" i="90"/>
  <c r="T26" i="90"/>
  <c r="S26" i="90"/>
  <c r="Q26" i="90"/>
  <c r="O26" i="90"/>
  <c r="I26" i="90"/>
  <c r="Y26" i="90" s="1"/>
  <c r="H26" i="90"/>
  <c r="D26" i="90"/>
  <c r="T25" i="90"/>
  <c r="S25" i="90"/>
  <c r="Q25" i="90"/>
  <c r="O25" i="90"/>
  <c r="I25" i="90"/>
  <c r="Y25" i="90" s="1"/>
  <c r="H25" i="90"/>
  <c r="D25" i="90"/>
  <c r="T24" i="90"/>
  <c r="S24" i="90"/>
  <c r="Q24" i="90"/>
  <c r="O24" i="90"/>
  <c r="I24" i="90"/>
  <c r="Y24" i="90" s="1"/>
  <c r="H24" i="90"/>
  <c r="D24" i="90"/>
  <c r="T23" i="90"/>
  <c r="S23" i="90"/>
  <c r="Q23" i="90"/>
  <c r="O23" i="90"/>
  <c r="I23" i="90"/>
  <c r="Y23" i="90" s="1"/>
  <c r="H23" i="90"/>
  <c r="D23" i="90"/>
  <c r="T22" i="90"/>
  <c r="S22" i="90"/>
  <c r="Q22" i="90"/>
  <c r="O22" i="90"/>
  <c r="I22" i="90"/>
  <c r="Y22" i="90" s="1"/>
  <c r="H22" i="90"/>
  <c r="D22" i="90"/>
  <c r="T21" i="90"/>
  <c r="S21" i="90"/>
  <c r="Q21" i="90"/>
  <c r="O21" i="90"/>
  <c r="I21" i="90"/>
  <c r="Y21" i="90" s="1"/>
  <c r="H21" i="90"/>
  <c r="D21" i="90"/>
  <c r="T20" i="90"/>
  <c r="S20" i="90"/>
  <c r="Q20" i="90"/>
  <c r="O20" i="90"/>
  <c r="I20" i="90"/>
  <c r="Y20" i="90" s="1"/>
  <c r="H20" i="90"/>
  <c r="D20" i="90"/>
  <c r="T19" i="90"/>
  <c r="S19" i="90"/>
  <c r="Q19" i="90"/>
  <c r="O19" i="90"/>
  <c r="I19" i="90"/>
  <c r="Y19" i="90" s="1"/>
  <c r="H19" i="90"/>
  <c r="D19" i="90"/>
  <c r="T18" i="90"/>
  <c r="S18" i="90"/>
  <c r="Q18" i="90"/>
  <c r="O18" i="90"/>
  <c r="I18" i="90"/>
  <c r="Y18" i="90" s="1"/>
  <c r="H18" i="90"/>
  <c r="D18" i="90"/>
  <c r="Z17" i="90"/>
  <c r="W17" i="90"/>
  <c r="T17" i="90"/>
  <c r="S17" i="90"/>
  <c r="R17" i="90"/>
  <c r="Q17" i="90"/>
  <c r="P17" i="90"/>
  <c r="X17" i="90" s="1"/>
  <c r="O17" i="90"/>
  <c r="K17" i="90"/>
  <c r="J17" i="90"/>
  <c r="I17" i="90"/>
  <c r="Y17" i="90" s="1"/>
  <c r="Z16" i="90"/>
  <c r="W16" i="90"/>
  <c r="T16" i="90"/>
  <c r="S16" i="90"/>
  <c r="Q16" i="90"/>
  <c r="R16" i="90" s="1"/>
  <c r="P16" i="90"/>
  <c r="O16" i="90"/>
  <c r="K16" i="90"/>
  <c r="J16" i="90"/>
  <c r="I16" i="90"/>
  <c r="Y16" i="90" s="1"/>
  <c r="Z15" i="90"/>
  <c r="Y15" i="90"/>
  <c r="X15" i="90"/>
  <c r="W15" i="90"/>
  <c r="S15" i="90"/>
  <c r="T15" i="90" s="1"/>
  <c r="U15" i="90" s="1"/>
  <c r="R15" i="90"/>
  <c r="V15" i="90" s="1"/>
  <c r="Q15" i="90"/>
  <c r="P15" i="90"/>
  <c r="O15" i="90"/>
  <c r="K15" i="90"/>
  <c r="J15" i="90"/>
  <c r="I15" i="90"/>
  <c r="AG14" i="90"/>
  <c r="AF14" i="90"/>
  <c r="Z14" i="90"/>
  <c r="Y14" i="90"/>
  <c r="W14" i="90"/>
  <c r="Q14" i="90"/>
  <c r="R14" i="90" s="1"/>
  <c r="P14" i="90"/>
  <c r="O14" i="90"/>
  <c r="S14" i="90" s="1"/>
  <c r="T14" i="90" s="1"/>
  <c r="K14" i="90"/>
  <c r="J14" i="90"/>
  <c r="I14" i="90"/>
  <c r="AF13" i="90"/>
  <c r="Z13" i="90"/>
  <c r="Y13" i="90"/>
  <c r="W13" i="90"/>
  <c r="Q13" i="90"/>
  <c r="R13" i="90" s="1"/>
  <c r="P13" i="90"/>
  <c r="O13" i="90"/>
  <c r="S13" i="90" s="1"/>
  <c r="T13" i="90" s="1"/>
  <c r="K13" i="90"/>
  <c r="J13" i="90"/>
  <c r="I13" i="90"/>
  <c r="AF12" i="90"/>
  <c r="Z12" i="90"/>
  <c r="Y12" i="90"/>
  <c r="W12" i="90"/>
  <c r="Q12" i="90"/>
  <c r="R12" i="90" s="1"/>
  <c r="P12" i="90"/>
  <c r="O12" i="90"/>
  <c r="S12" i="90" s="1"/>
  <c r="T12" i="90" s="1"/>
  <c r="K12" i="90"/>
  <c r="J12" i="90"/>
  <c r="I12" i="90"/>
  <c r="Z11" i="90"/>
  <c r="Y11" i="90"/>
  <c r="W11" i="90"/>
  <c r="S11" i="90"/>
  <c r="T11" i="90" s="1"/>
  <c r="U11" i="90" s="1"/>
  <c r="R11" i="90"/>
  <c r="Q11" i="90"/>
  <c r="P11" i="90"/>
  <c r="X11" i="90" s="1"/>
  <c r="O11" i="90"/>
  <c r="K11" i="90"/>
  <c r="J11" i="90"/>
  <c r="I11" i="90"/>
  <c r="Z10" i="90"/>
  <c r="Y10" i="90"/>
  <c r="W10" i="90"/>
  <c r="U10" i="90"/>
  <c r="Q10" i="90"/>
  <c r="R10" i="90" s="1"/>
  <c r="P10" i="90"/>
  <c r="O10" i="90"/>
  <c r="S10" i="90" s="1"/>
  <c r="T10" i="90" s="1"/>
  <c r="K10" i="90"/>
  <c r="J10" i="90"/>
  <c r="I10" i="90"/>
  <c r="Z9" i="90"/>
  <c r="Y9" i="90"/>
  <c r="W9" i="90"/>
  <c r="S9" i="90"/>
  <c r="T9" i="90" s="1"/>
  <c r="U9" i="90" s="1"/>
  <c r="V9" i="90" s="1"/>
  <c r="R9" i="90"/>
  <c r="Q9" i="90"/>
  <c r="P9" i="90"/>
  <c r="X9" i="90" s="1"/>
  <c r="O9" i="90"/>
  <c r="K9" i="90"/>
  <c r="J9" i="90"/>
  <c r="I9" i="90"/>
  <c r="Z8" i="90"/>
  <c r="W8" i="90"/>
  <c r="Q8" i="90"/>
  <c r="R8" i="90" s="1"/>
  <c r="P8" i="90"/>
  <c r="O8" i="90"/>
  <c r="S8" i="90" s="1"/>
  <c r="T8" i="90" s="1"/>
  <c r="K8" i="90"/>
  <c r="J8" i="90"/>
  <c r="I8" i="90"/>
  <c r="Y8" i="90" s="1"/>
  <c r="Z7" i="90"/>
  <c r="X7" i="90"/>
  <c r="W7" i="90"/>
  <c r="T7" i="90"/>
  <c r="S7" i="90"/>
  <c r="R7" i="90"/>
  <c r="Q7" i="90"/>
  <c r="P7" i="90"/>
  <c r="O7" i="90"/>
  <c r="K7" i="90"/>
  <c r="J7" i="90"/>
  <c r="I7" i="90"/>
  <c r="Y7" i="90" s="1"/>
  <c r="Z6" i="90"/>
  <c r="Y6" i="90"/>
  <c r="W6" i="90"/>
  <c r="Q6" i="90"/>
  <c r="R6" i="90" s="1"/>
  <c r="P6" i="90"/>
  <c r="O6" i="90"/>
  <c r="S6" i="90" s="1"/>
  <c r="T6" i="90" s="1"/>
  <c r="K6" i="90"/>
  <c r="J6" i="90"/>
  <c r="I6" i="90"/>
  <c r="AG5" i="90"/>
  <c r="Z5" i="90"/>
  <c r="Y5" i="90"/>
  <c r="W5" i="90"/>
  <c r="Q5" i="90"/>
  <c r="R5" i="90" s="1"/>
  <c r="P5" i="90"/>
  <c r="O5" i="90"/>
  <c r="S5" i="90" s="1"/>
  <c r="T5" i="90" s="1"/>
  <c r="K5" i="90"/>
  <c r="J5" i="90"/>
  <c r="I5" i="90"/>
  <c r="AG4" i="90"/>
  <c r="AF8" i="90" s="1"/>
  <c r="Z4" i="90"/>
  <c r="Y4" i="90"/>
  <c r="W4" i="90"/>
  <c r="Q4" i="90"/>
  <c r="R4" i="90" s="1"/>
  <c r="P4" i="90"/>
  <c r="O4" i="90"/>
  <c r="S4" i="90" s="1"/>
  <c r="T4" i="90" s="1"/>
  <c r="K4" i="90"/>
  <c r="J4" i="90"/>
  <c r="I4" i="90"/>
  <c r="AG3" i="90"/>
  <c r="AF7" i="90" s="1"/>
  <c r="AG7" i="90" s="1"/>
  <c r="Z3" i="90"/>
  <c r="Y3" i="90"/>
  <c r="W3" i="90"/>
  <c r="Q3" i="90"/>
  <c r="R3" i="90" s="1"/>
  <c r="P3" i="90"/>
  <c r="O3" i="90"/>
  <c r="S3" i="90" s="1"/>
  <c r="T3" i="90" s="1"/>
  <c r="K3" i="90"/>
  <c r="J3" i="90"/>
  <c r="I3" i="90"/>
  <c r="B3" i="79"/>
  <c r="F20" i="72"/>
  <c r="I23" i="84"/>
  <c r="J23" i="84"/>
  <c r="K23" i="84"/>
  <c r="L23" i="84"/>
  <c r="M23" i="84"/>
  <c r="N23" i="84"/>
  <c r="O23" i="84"/>
  <c r="P23" i="84"/>
  <c r="Q23" i="84"/>
  <c r="R23" i="84"/>
  <c r="S23" i="84"/>
  <c r="T23" i="84"/>
  <c r="U23" i="84"/>
  <c r="V23" i="84"/>
  <c r="W23" i="84"/>
  <c r="X23" i="84"/>
  <c r="Y23" i="84"/>
  <c r="Z23" i="84"/>
  <c r="M26" i="84"/>
  <c r="I17" i="84"/>
  <c r="J17" i="84"/>
  <c r="K17" i="84"/>
  <c r="L17" i="84"/>
  <c r="M17" i="84"/>
  <c r="N17" i="84"/>
  <c r="O17" i="84"/>
  <c r="P17" i="84"/>
  <c r="Q17" i="84"/>
  <c r="R17" i="84"/>
  <c r="S17" i="84"/>
  <c r="T17" i="84"/>
  <c r="U17" i="84"/>
  <c r="V17" i="84"/>
  <c r="W17" i="84"/>
  <c r="X17" i="84"/>
  <c r="Y17" i="84"/>
  <c r="Z17" i="84"/>
  <c r="I18" i="84"/>
  <c r="J18" i="84"/>
  <c r="K18" i="84"/>
  <c r="L18" i="84"/>
  <c r="M18" i="84"/>
  <c r="N18" i="84"/>
  <c r="O18" i="84"/>
  <c r="P18" i="84"/>
  <c r="Q18" i="84"/>
  <c r="R18" i="84"/>
  <c r="S18" i="84"/>
  <c r="T18" i="84"/>
  <c r="U18" i="84"/>
  <c r="V18" i="84"/>
  <c r="W18" i="84"/>
  <c r="X18" i="84"/>
  <c r="Y18" i="84"/>
  <c r="Z18" i="84"/>
  <c r="H18" i="84"/>
  <c r="H17" i="84"/>
  <c r="D32" i="75"/>
  <c r="B32" i="75"/>
  <c r="D22" i="75"/>
  <c r="D12" i="75"/>
  <c r="H22" i="72"/>
  <c r="I22" i="72"/>
  <c r="J22" i="72"/>
  <c r="K22" i="72"/>
  <c r="L22" i="72"/>
  <c r="M22" i="72"/>
  <c r="N22" i="72"/>
  <c r="O22" i="72"/>
  <c r="P22" i="72"/>
  <c r="Q22" i="72"/>
  <c r="R22" i="72"/>
  <c r="S22" i="72"/>
  <c r="T22" i="72"/>
  <c r="U22" i="72"/>
  <c r="V22" i="72"/>
  <c r="W22" i="72"/>
  <c r="X22" i="72"/>
  <c r="Y22" i="72"/>
  <c r="Z22" i="72"/>
  <c r="AA22" i="72"/>
  <c r="AB22" i="72"/>
  <c r="AC22" i="72"/>
  <c r="AD22" i="72"/>
  <c r="AE22" i="72"/>
  <c r="AF22" i="72"/>
  <c r="AG22" i="72"/>
  <c r="AH22" i="72"/>
  <c r="AI22" i="72"/>
  <c r="AJ22" i="72"/>
  <c r="AK22" i="72"/>
  <c r="AL22" i="72"/>
  <c r="AM22" i="72"/>
  <c r="AN22" i="72"/>
  <c r="AO22" i="72"/>
  <c r="AP22" i="72"/>
  <c r="AQ22" i="72"/>
  <c r="AR22" i="72"/>
  <c r="AS22" i="72"/>
  <c r="AT22" i="72"/>
  <c r="AU22" i="72"/>
  <c r="AV22" i="72"/>
  <c r="AW22" i="72"/>
  <c r="AX22" i="72"/>
  <c r="AY22" i="72"/>
  <c r="AZ22" i="72"/>
  <c r="BA22" i="72"/>
  <c r="BB22" i="72"/>
  <c r="BC22" i="72"/>
  <c r="BD22" i="72"/>
  <c r="BE22" i="72"/>
  <c r="BF22" i="72"/>
  <c r="BG22" i="72"/>
  <c r="BH22" i="72"/>
  <c r="BI22" i="72"/>
  <c r="BJ22" i="72"/>
  <c r="BK22" i="72"/>
  <c r="BL22" i="72"/>
  <c r="BM22" i="72"/>
  <c r="BN22" i="72"/>
  <c r="BO22" i="72"/>
  <c r="BP22" i="72"/>
  <c r="BQ22" i="72"/>
  <c r="BR22" i="72"/>
  <c r="BS22" i="72"/>
  <c r="BT22" i="72"/>
  <c r="BU22" i="72"/>
  <c r="BV22" i="72"/>
  <c r="BW22" i="72"/>
  <c r="BX22" i="72"/>
  <c r="BY22" i="72"/>
  <c r="BZ22" i="72"/>
  <c r="CA22" i="72"/>
  <c r="CB22" i="72"/>
  <c r="CC22" i="72"/>
  <c r="CD22" i="72"/>
  <c r="CE22" i="72"/>
  <c r="CF22" i="72"/>
  <c r="CG22" i="72"/>
  <c r="CH22" i="72"/>
  <c r="CI22" i="72"/>
  <c r="CJ22" i="72"/>
  <c r="CK22" i="72"/>
  <c r="CL22" i="72"/>
  <c r="G22" i="72"/>
  <c r="H21" i="72"/>
  <c r="I21" i="72"/>
  <c r="J21" i="72"/>
  <c r="K21" i="72"/>
  <c r="L21" i="72"/>
  <c r="M21" i="72"/>
  <c r="N21" i="72"/>
  <c r="O21" i="72"/>
  <c r="P21" i="72"/>
  <c r="Q21" i="72"/>
  <c r="R21" i="72"/>
  <c r="S21" i="72"/>
  <c r="T21" i="72"/>
  <c r="U21" i="72"/>
  <c r="V21" i="72"/>
  <c r="W21" i="72"/>
  <c r="X21" i="72"/>
  <c r="Y21" i="72"/>
  <c r="Z21" i="72"/>
  <c r="AA21" i="72"/>
  <c r="AB21" i="72"/>
  <c r="AC21" i="72"/>
  <c r="AD21" i="72"/>
  <c r="AE21" i="72"/>
  <c r="AF21" i="72"/>
  <c r="AG21" i="72"/>
  <c r="AH21" i="72"/>
  <c r="AI21" i="72"/>
  <c r="AJ21" i="72"/>
  <c r="AK21" i="72"/>
  <c r="AL21" i="72"/>
  <c r="AM21" i="72"/>
  <c r="AN21" i="72"/>
  <c r="AO21" i="72"/>
  <c r="AP21" i="72"/>
  <c r="AQ21" i="72"/>
  <c r="AR21" i="72"/>
  <c r="AS21" i="72"/>
  <c r="AT21" i="72"/>
  <c r="AU21" i="72"/>
  <c r="AV21" i="72"/>
  <c r="AW21" i="72"/>
  <c r="AX21" i="72"/>
  <c r="AY21" i="72"/>
  <c r="AZ21" i="72"/>
  <c r="BA21" i="72"/>
  <c r="BB21" i="72"/>
  <c r="BC21" i="72"/>
  <c r="BD21" i="72"/>
  <c r="BE21" i="72"/>
  <c r="BF21" i="72"/>
  <c r="BG21" i="72"/>
  <c r="BH21" i="72"/>
  <c r="BI21" i="72"/>
  <c r="BJ21" i="72"/>
  <c r="BK21" i="72"/>
  <c r="BL21" i="72"/>
  <c r="BM21" i="72"/>
  <c r="BN21" i="72"/>
  <c r="BO21" i="72"/>
  <c r="BP21" i="72"/>
  <c r="BQ21" i="72"/>
  <c r="BR21" i="72"/>
  <c r="BS21" i="72"/>
  <c r="BT21" i="72"/>
  <c r="BU21" i="72"/>
  <c r="BV21" i="72"/>
  <c r="BW21" i="72"/>
  <c r="BX21" i="72"/>
  <c r="BY21" i="72"/>
  <c r="BZ21" i="72"/>
  <c r="CA21" i="72"/>
  <c r="CB21" i="72"/>
  <c r="CC21" i="72"/>
  <c r="CD21" i="72"/>
  <c r="CE21" i="72"/>
  <c r="CF21" i="72"/>
  <c r="CG21" i="72"/>
  <c r="CH21" i="72"/>
  <c r="CI21" i="72"/>
  <c r="CJ21" i="72"/>
  <c r="CK21" i="72"/>
  <c r="CL21" i="72"/>
  <c r="G21" i="72"/>
  <c r="H20" i="72"/>
  <c r="I20" i="72"/>
  <c r="J20" i="72"/>
  <c r="K20" i="72"/>
  <c r="L20" i="72"/>
  <c r="M20" i="72"/>
  <c r="N20" i="72"/>
  <c r="O20" i="72"/>
  <c r="P20" i="72"/>
  <c r="Q20" i="72"/>
  <c r="R20" i="72"/>
  <c r="S20" i="72"/>
  <c r="T20" i="72"/>
  <c r="U20" i="72"/>
  <c r="V20" i="72"/>
  <c r="W20" i="72"/>
  <c r="X20" i="72"/>
  <c r="Y20" i="72"/>
  <c r="Z20" i="72"/>
  <c r="AA20" i="72"/>
  <c r="AB20" i="72"/>
  <c r="AC20" i="72"/>
  <c r="AD20" i="72"/>
  <c r="AE20" i="72"/>
  <c r="AF20" i="72"/>
  <c r="AG20" i="72"/>
  <c r="AH20" i="72"/>
  <c r="AI20" i="72"/>
  <c r="AJ20" i="72"/>
  <c r="AK20" i="72"/>
  <c r="AL20" i="72"/>
  <c r="AM20" i="72"/>
  <c r="AN20" i="72"/>
  <c r="AO20" i="72"/>
  <c r="AP20" i="72"/>
  <c r="AQ20" i="72"/>
  <c r="AR20" i="72"/>
  <c r="AS20" i="72"/>
  <c r="AT20" i="72"/>
  <c r="AU20" i="72"/>
  <c r="AV20" i="72"/>
  <c r="AW20" i="72"/>
  <c r="AX20" i="72"/>
  <c r="AY20" i="72"/>
  <c r="AZ20" i="72"/>
  <c r="BA20" i="72"/>
  <c r="BB20" i="72"/>
  <c r="BC20" i="72"/>
  <c r="BD20" i="72"/>
  <c r="BE20" i="72"/>
  <c r="BF20" i="72"/>
  <c r="BG20" i="72"/>
  <c r="BH20" i="72"/>
  <c r="BI20" i="72"/>
  <c r="BJ20" i="72"/>
  <c r="BK20" i="72"/>
  <c r="BL20" i="72"/>
  <c r="BM20" i="72"/>
  <c r="BN20" i="72"/>
  <c r="BO20" i="72"/>
  <c r="BP20" i="72"/>
  <c r="BQ20" i="72"/>
  <c r="BR20" i="72"/>
  <c r="BS20" i="72"/>
  <c r="BT20" i="72"/>
  <c r="BU20" i="72"/>
  <c r="BV20" i="72"/>
  <c r="BW20" i="72"/>
  <c r="BX20" i="72"/>
  <c r="BY20" i="72"/>
  <c r="BZ20" i="72"/>
  <c r="CA20" i="72"/>
  <c r="CB20" i="72"/>
  <c r="CC20" i="72"/>
  <c r="CD20" i="72"/>
  <c r="CE20" i="72"/>
  <c r="CF20" i="72"/>
  <c r="CG20" i="72"/>
  <c r="CH20" i="72"/>
  <c r="CI20" i="72"/>
  <c r="CJ20" i="72"/>
  <c r="CK20" i="72"/>
  <c r="CL20" i="72"/>
  <c r="G20" i="72"/>
  <c r="G18" i="72"/>
  <c r="G19" i="72"/>
  <c r="I21" i="82"/>
  <c r="J21" i="82"/>
  <c r="K21" i="82"/>
  <c r="L21" i="82"/>
  <c r="M21" i="82"/>
  <c r="N21" i="82"/>
  <c r="O21" i="82"/>
  <c r="P21" i="82"/>
  <c r="Q21" i="82"/>
  <c r="R21" i="82"/>
  <c r="S21" i="82"/>
  <c r="T21" i="82"/>
  <c r="U21" i="82"/>
  <c r="V21" i="82"/>
  <c r="W21" i="82"/>
  <c r="X21" i="82"/>
  <c r="Y21" i="82"/>
  <c r="Z21" i="82"/>
  <c r="I15" i="82"/>
  <c r="J15" i="82"/>
  <c r="K15" i="82"/>
  <c r="L15" i="82"/>
  <c r="M15" i="82"/>
  <c r="N15" i="82"/>
  <c r="O15" i="82"/>
  <c r="P15" i="82"/>
  <c r="Q15" i="82"/>
  <c r="R15" i="82"/>
  <c r="S15" i="82"/>
  <c r="T15" i="82"/>
  <c r="U15" i="82"/>
  <c r="V15" i="82"/>
  <c r="W15" i="82"/>
  <c r="X15" i="82"/>
  <c r="Y15" i="82"/>
  <c r="Z15" i="82"/>
  <c r="I16" i="82"/>
  <c r="J16" i="82"/>
  <c r="K16" i="82"/>
  <c r="L16" i="82"/>
  <c r="M16" i="82"/>
  <c r="N16" i="82"/>
  <c r="O16" i="82"/>
  <c r="P16" i="82"/>
  <c r="Q16" i="82"/>
  <c r="R16" i="82"/>
  <c r="S16" i="82"/>
  <c r="T16" i="82"/>
  <c r="U16" i="82"/>
  <c r="V16" i="82"/>
  <c r="W16" i="82"/>
  <c r="X16" i="82"/>
  <c r="Y16" i="82"/>
  <c r="Z16" i="82"/>
  <c r="H16" i="82"/>
  <c r="H15" i="82"/>
  <c r="I26" i="89"/>
  <c r="J26" i="89" s="1"/>
  <c r="K26" i="89" s="1"/>
  <c r="L26" i="89" s="1"/>
  <c r="M26" i="89" s="1"/>
  <c r="N26" i="89" s="1"/>
  <c r="O26" i="89" s="1"/>
  <c r="P26" i="89" s="1"/>
  <c r="Q26" i="89" s="1"/>
  <c r="R26" i="89" s="1"/>
  <c r="S26" i="89" s="1"/>
  <c r="T26" i="89" s="1"/>
  <c r="U26" i="89" s="1"/>
  <c r="V26" i="89" s="1"/>
  <c r="W26" i="89" s="1"/>
  <c r="X26" i="89" s="1"/>
  <c r="Y26" i="89" s="1"/>
  <c r="Z26" i="89" s="1"/>
  <c r="AA26" i="89" s="1"/>
  <c r="H26" i="89"/>
  <c r="AA18" i="89"/>
  <c r="Z18" i="89"/>
  <c r="Z27" i="84" s="1"/>
  <c r="Y18" i="89"/>
  <c r="Y27" i="84" s="1"/>
  <c r="X18" i="89"/>
  <c r="X27" i="84" s="1"/>
  <c r="W18" i="89"/>
  <c r="W27" i="84" s="1"/>
  <c r="V18" i="89"/>
  <c r="V27" i="84" s="1"/>
  <c r="U18" i="89"/>
  <c r="U27" i="84" s="1"/>
  <c r="T18" i="89"/>
  <c r="T27" i="84" s="1"/>
  <c r="S18" i="89"/>
  <c r="S27" i="84" s="1"/>
  <c r="R18" i="89"/>
  <c r="R27" i="84" s="1"/>
  <c r="Q18" i="89"/>
  <c r="Q27" i="84" s="1"/>
  <c r="P18" i="89"/>
  <c r="P27" i="84" s="1"/>
  <c r="O18" i="89"/>
  <c r="O27" i="84" s="1"/>
  <c r="N18" i="89"/>
  <c r="N27" i="84" s="1"/>
  <c r="M18" i="89"/>
  <c r="M27" i="84" s="1"/>
  <c r="L18" i="89"/>
  <c r="L27" i="84" s="1"/>
  <c r="K18" i="89"/>
  <c r="K27" i="84" s="1"/>
  <c r="J18" i="89"/>
  <c r="J27" i="84" s="1"/>
  <c r="I18" i="89"/>
  <c r="I27" i="84" s="1"/>
  <c r="H18" i="89"/>
  <c r="H27" i="84" s="1"/>
  <c r="AA17" i="89"/>
  <c r="Z17" i="89"/>
  <c r="Z26" i="84" s="1"/>
  <c r="Y17" i="89"/>
  <c r="Y26" i="84" s="1"/>
  <c r="X17" i="89"/>
  <c r="X26" i="84" s="1"/>
  <c r="W17" i="89"/>
  <c r="W26" i="84" s="1"/>
  <c r="V17" i="89"/>
  <c r="V26" i="84" s="1"/>
  <c r="U17" i="89"/>
  <c r="U26" i="84" s="1"/>
  <c r="T17" i="89"/>
  <c r="T26" i="84" s="1"/>
  <c r="S17" i="89"/>
  <c r="S26" i="84" s="1"/>
  <c r="R17" i="89"/>
  <c r="R26" i="84" s="1"/>
  <c r="Q17" i="89"/>
  <c r="Q26" i="84" s="1"/>
  <c r="P17" i="89"/>
  <c r="P26" i="84" s="1"/>
  <c r="O17" i="89"/>
  <c r="O26" i="84" s="1"/>
  <c r="N17" i="89"/>
  <c r="N26" i="84" s="1"/>
  <c r="M17" i="89"/>
  <c r="L17" i="89"/>
  <c r="L26" i="84" s="1"/>
  <c r="K17" i="89"/>
  <c r="K26" i="84" s="1"/>
  <c r="J17" i="89"/>
  <c r="J26" i="84" s="1"/>
  <c r="I17" i="89"/>
  <c r="I26" i="84" s="1"/>
  <c r="H17" i="89"/>
  <c r="H26" i="84" s="1"/>
  <c r="AA16" i="89"/>
  <c r="Z16" i="89"/>
  <c r="Z25" i="84" s="1"/>
  <c r="Y16" i="89"/>
  <c r="Y25" i="84" s="1"/>
  <c r="X16" i="89"/>
  <c r="X25" i="84" s="1"/>
  <c r="W16" i="89"/>
  <c r="W25" i="84" s="1"/>
  <c r="V16" i="89"/>
  <c r="V25" i="84" s="1"/>
  <c r="U16" i="89"/>
  <c r="U25" i="84" s="1"/>
  <c r="T16" i="89"/>
  <c r="T25" i="84" s="1"/>
  <c r="S16" i="89"/>
  <c r="S25" i="84" s="1"/>
  <c r="R16" i="89"/>
  <c r="R25" i="84" s="1"/>
  <c r="Q16" i="89"/>
  <c r="Q25" i="84" s="1"/>
  <c r="P16" i="89"/>
  <c r="P25" i="84" s="1"/>
  <c r="O16" i="89"/>
  <c r="O25" i="84" s="1"/>
  <c r="N16" i="89"/>
  <c r="N25" i="84" s="1"/>
  <c r="M16" i="89"/>
  <c r="M25" i="84" s="1"/>
  <c r="L16" i="89"/>
  <c r="L25" i="84" s="1"/>
  <c r="K16" i="89"/>
  <c r="K25" i="84" s="1"/>
  <c r="J16" i="89"/>
  <c r="J25" i="84" s="1"/>
  <c r="I16" i="89"/>
  <c r="I25" i="84" s="1"/>
  <c r="H16" i="89"/>
  <c r="H25" i="84" s="1"/>
  <c r="AA15" i="89"/>
  <c r="Z15" i="89"/>
  <c r="Z24" i="84" s="1"/>
  <c r="Y15" i="89"/>
  <c r="Y24" i="84" s="1"/>
  <c r="X15" i="89"/>
  <c r="X24" i="84" s="1"/>
  <c r="W15" i="89"/>
  <c r="W24" i="84" s="1"/>
  <c r="V15" i="89"/>
  <c r="V24" i="84" s="1"/>
  <c r="U15" i="89"/>
  <c r="U24" i="84" s="1"/>
  <c r="T15" i="89"/>
  <c r="T24" i="84" s="1"/>
  <c r="S15" i="89"/>
  <c r="S24" i="84" s="1"/>
  <c r="R15" i="89"/>
  <c r="R24" i="84" s="1"/>
  <c r="Q15" i="89"/>
  <c r="Q24" i="84" s="1"/>
  <c r="P15" i="89"/>
  <c r="P24" i="84" s="1"/>
  <c r="O15" i="89"/>
  <c r="O24" i="84" s="1"/>
  <c r="N15" i="89"/>
  <c r="N24" i="84" s="1"/>
  <c r="M15" i="89"/>
  <c r="M24" i="84" s="1"/>
  <c r="L15" i="89"/>
  <c r="L24" i="84" s="1"/>
  <c r="K15" i="89"/>
  <c r="K24" i="84" s="1"/>
  <c r="J15" i="89"/>
  <c r="J24" i="84" s="1"/>
  <c r="I15" i="89"/>
  <c r="I24" i="84" s="1"/>
  <c r="H15" i="89"/>
  <c r="H24" i="84" s="1"/>
  <c r="AA14" i="89"/>
  <c r="AA19" i="89" s="1"/>
  <c r="AA21" i="89" s="1"/>
  <c r="Z14" i="89"/>
  <c r="Z22" i="84" s="1"/>
  <c r="Y14" i="89"/>
  <c r="Y22" i="84" s="1"/>
  <c r="X14" i="89"/>
  <c r="W14" i="89"/>
  <c r="V14" i="89"/>
  <c r="U14" i="89"/>
  <c r="U19" i="89" s="1"/>
  <c r="T14" i="89"/>
  <c r="T22" i="84" s="1"/>
  <c r="S14" i="89"/>
  <c r="S19" i="89" s="1"/>
  <c r="S21" i="89" s="1"/>
  <c r="R14" i="89"/>
  <c r="R22" i="84" s="1"/>
  <c r="Q14" i="89"/>
  <c r="Q22" i="84" s="1"/>
  <c r="P14" i="89"/>
  <c r="O14" i="89"/>
  <c r="N14" i="89"/>
  <c r="M14" i="89"/>
  <c r="M19" i="89" s="1"/>
  <c r="L14" i="89"/>
  <c r="L22" i="84" s="1"/>
  <c r="K14" i="89"/>
  <c r="K19" i="89" s="1"/>
  <c r="K21" i="89" s="1"/>
  <c r="J14" i="89"/>
  <c r="J22" i="84" s="1"/>
  <c r="I14" i="89"/>
  <c r="I22" i="84" s="1"/>
  <c r="H14" i="89"/>
  <c r="AA10" i="89"/>
  <c r="Z10" i="89"/>
  <c r="Y10" i="89"/>
  <c r="X10" i="89"/>
  <c r="W10" i="89"/>
  <c r="V10" i="89"/>
  <c r="U10" i="89"/>
  <c r="T10" i="89"/>
  <c r="S10" i="89"/>
  <c r="R10" i="89"/>
  <c r="Q10" i="89"/>
  <c r="P10" i="89"/>
  <c r="O10" i="89"/>
  <c r="N10" i="89"/>
  <c r="M10" i="89"/>
  <c r="L10" i="89"/>
  <c r="K10" i="89"/>
  <c r="J10" i="89"/>
  <c r="I10" i="89"/>
  <c r="H10" i="89"/>
  <c r="G7" i="89"/>
  <c r="F7" i="89" s="1"/>
  <c r="I26" i="88"/>
  <c r="J26" i="88" s="1"/>
  <c r="K26" i="88" s="1"/>
  <c r="L26" i="88" s="1"/>
  <c r="M26" i="88" s="1"/>
  <c r="N26" i="88" s="1"/>
  <c r="O26" i="88" s="1"/>
  <c r="P26" i="88" s="1"/>
  <c r="Q26" i="88" s="1"/>
  <c r="R26" i="88" s="1"/>
  <c r="S26" i="88" s="1"/>
  <c r="T26" i="88" s="1"/>
  <c r="U26" i="88" s="1"/>
  <c r="V26" i="88" s="1"/>
  <c r="W26" i="88" s="1"/>
  <c r="X26" i="88" s="1"/>
  <c r="Y26" i="88" s="1"/>
  <c r="Z26" i="88" s="1"/>
  <c r="AA26" i="88" s="1"/>
  <c r="H26" i="88"/>
  <c r="AA17" i="88"/>
  <c r="Z17" i="88"/>
  <c r="Z24" i="82" s="1"/>
  <c r="Y17" i="88"/>
  <c r="Y24" i="82" s="1"/>
  <c r="X17" i="88"/>
  <c r="X24" i="82" s="1"/>
  <c r="W17" i="88"/>
  <c r="W24" i="82" s="1"/>
  <c r="V17" i="88"/>
  <c r="V24" i="82" s="1"/>
  <c r="U17" i="88"/>
  <c r="U24" i="82" s="1"/>
  <c r="T17" i="88"/>
  <c r="T24" i="82" s="1"/>
  <c r="S17" i="88"/>
  <c r="S24" i="82" s="1"/>
  <c r="R17" i="88"/>
  <c r="R24" i="82" s="1"/>
  <c r="Q17" i="88"/>
  <c r="Q24" i="82" s="1"/>
  <c r="P17" i="88"/>
  <c r="P24" i="82" s="1"/>
  <c r="O17" i="88"/>
  <c r="O24" i="82" s="1"/>
  <c r="N17" i="88"/>
  <c r="N24" i="82" s="1"/>
  <c r="M17" i="88"/>
  <c r="M24" i="82" s="1"/>
  <c r="L17" i="88"/>
  <c r="L24" i="82" s="1"/>
  <c r="K17" i="88"/>
  <c r="K24" i="82" s="1"/>
  <c r="J17" i="88"/>
  <c r="J24" i="82" s="1"/>
  <c r="I17" i="88"/>
  <c r="I24" i="82" s="1"/>
  <c r="H17" i="88"/>
  <c r="H24" i="82" s="1"/>
  <c r="AA15" i="88"/>
  <c r="Z15" i="88"/>
  <c r="Z22" i="82" s="1"/>
  <c r="Y15" i="88"/>
  <c r="Y22" i="82" s="1"/>
  <c r="X15" i="88"/>
  <c r="X22" i="82" s="1"/>
  <c r="W15" i="88"/>
  <c r="W22" i="82" s="1"/>
  <c r="V15" i="88"/>
  <c r="V22" i="82" s="1"/>
  <c r="U15" i="88"/>
  <c r="U22" i="82" s="1"/>
  <c r="T15" i="88"/>
  <c r="T22" i="82" s="1"/>
  <c r="S15" i="88"/>
  <c r="S22" i="82" s="1"/>
  <c r="R15" i="88"/>
  <c r="R22" i="82" s="1"/>
  <c r="Q15" i="88"/>
  <c r="Q22" i="82" s="1"/>
  <c r="P15" i="88"/>
  <c r="P22" i="82" s="1"/>
  <c r="O15" i="88"/>
  <c r="O22" i="82" s="1"/>
  <c r="N15" i="88"/>
  <c r="N22" i="82" s="1"/>
  <c r="M15" i="88"/>
  <c r="M22" i="82" s="1"/>
  <c r="L15" i="88"/>
  <c r="L22" i="82" s="1"/>
  <c r="K15" i="88"/>
  <c r="K22" i="82" s="1"/>
  <c r="J15" i="88"/>
  <c r="J22" i="82" s="1"/>
  <c r="I15" i="88"/>
  <c r="I22" i="82" s="1"/>
  <c r="H15" i="88"/>
  <c r="H22" i="82" s="1"/>
  <c r="AA10" i="88"/>
  <c r="Z10" i="88"/>
  <c r="Y10" i="88"/>
  <c r="X10" i="88"/>
  <c r="W10" i="88"/>
  <c r="V10" i="88"/>
  <c r="U10" i="88"/>
  <c r="T10" i="88"/>
  <c r="S10" i="88"/>
  <c r="R10" i="88"/>
  <c r="Q10" i="88"/>
  <c r="P10" i="88"/>
  <c r="O10" i="88"/>
  <c r="N10" i="88"/>
  <c r="M10" i="88"/>
  <c r="L10" i="88"/>
  <c r="K10" i="88"/>
  <c r="J10" i="88"/>
  <c r="I10" i="88"/>
  <c r="H10" i="88"/>
  <c r="G7" i="88"/>
  <c r="F7" i="88" s="1"/>
  <c r="E7" i="88"/>
  <c r="E24" i="88" s="1"/>
  <c r="CM2" i="83"/>
  <c r="CM3" i="83"/>
  <c r="CM4" i="83"/>
  <c r="CM5" i="83"/>
  <c r="CM73" i="72"/>
  <c r="CM74" i="72"/>
  <c r="CM72" i="72"/>
  <c r="CM74" i="73"/>
  <c r="CM75" i="73"/>
  <c r="CM73" i="73"/>
  <c r="CP4" i="72"/>
  <c r="CQ4" i="72"/>
  <c r="CR4" i="72"/>
  <c r="CP5" i="72"/>
  <c r="CQ5" i="72"/>
  <c r="CR5" i="72"/>
  <c r="CO5" i="72"/>
  <c r="CO4" i="72"/>
  <c r="CO6" i="73"/>
  <c r="CP6" i="73"/>
  <c r="CQ6" i="73"/>
  <c r="CR6" i="73"/>
  <c r="CP5" i="73"/>
  <c r="CQ5" i="73"/>
  <c r="CR5" i="73"/>
  <c r="CO5" i="73"/>
  <c r="C7" i="88" l="1"/>
  <c r="C8" i="88" s="1"/>
  <c r="J30" i="90"/>
  <c r="R56" i="90"/>
  <c r="P57" i="90"/>
  <c r="X57" i="90"/>
  <c r="R30" i="90"/>
  <c r="P56" i="90"/>
  <c r="X56" i="90" s="1"/>
  <c r="U5" i="90"/>
  <c r="V5" i="90" s="1"/>
  <c r="U13" i="90"/>
  <c r="V13" i="90" s="1"/>
  <c r="U6" i="90"/>
  <c r="V6" i="90" s="1"/>
  <c r="U14" i="90"/>
  <c r="V14" i="90" s="1"/>
  <c r="U3" i="90"/>
  <c r="V3" i="90" s="1"/>
  <c r="AG8" i="90"/>
  <c r="AF9" i="90"/>
  <c r="AG9" i="90" s="1"/>
  <c r="U31" i="90"/>
  <c r="U4" i="90"/>
  <c r="V4" i="90" s="1"/>
  <c r="U8" i="90"/>
  <c r="V8" i="90" s="1"/>
  <c r="U12" i="90"/>
  <c r="V12" i="90" s="1"/>
  <c r="Z19" i="90"/>
  <c r="R19" i="90"/>
  <c r="P19" i="90"/>
  <c r="W19" i="90"/>
  <c r="J19" i="90"/>
  <c r="V10" i="90"/>
  <c r="Z40" i="90"/>
  <c r="P40" i="90"/>
  <c r="J40" i="90"/>
  <c r="W40" i="90"/>
  <c r="U44" i="90"/>
  <c r="Z46" i="90"/>
  <c r="P46" i="90"/>
  <c r="J46" i="90"/>
  <c r="W46" i="90"/>
  <c r="X3" i="90"/>
  <c r="X5" i="90"/>
  <c r="X10" i="90"/>
  <c r="X12" i="90"/>
  <c r="X14" i="90"/>
  <c r="Z33" i="90"/>
  <c r="P33" i="90"/>
  <c r="J33" i="90"/>
  <c r="W33" i="90"/>
  <c r="U35" i="90"/>
  <c r="U37" i="90"/>
  <c r="Z43" i="90"/>
  <c r="P43" i="90"/>
  <c r="J43" i="90"/>
  <c r="W43" i="90"/>
  <c r="U51" i="90"/>
  <c r="U53" i="90"/>
  <c r="V11" i="90"/>
  <c r="R29" i="90"/>
  <c r="U30" i="90"/>
  <c r="Z36" i="90"/>
  <c r="P36" i="90"/>
  <c r="J36" i="90"/>
  <c r="W36" i="90"/>
  <c r="U40" i="90"/>
  <c r="Z42" i="90"/>
  <c r="P42" i="90"/>
  <c r="J42" i="90"/>
  <c r="W42" i="90"/>
  <c r="Z52" i="90"/>
  <c r="P52" i="90"/>
  <c r="J52" i="90"/>
  <c r="W52" i="90"/>
  <c r="Z18" i="90"/>
  <c r="R18" i="90"/>
  <c r="P18" i="90"/>
  <c r="W18" i="90"/>
  <c r="J18" i="90"/>
  <c r="X16" i="90"/>
  <c r="U17" i="90"/>
  <c r="V17" i="90" s="1"/>
  <c r="U33" i="90"/>
  <c r="Z39" i="90"/>
  <c r="P39" i="90"/>
  <c r="J39" i="90"/>
  <c r="W39" i="90"/>
  <c r="U47" i="90"/>
  <c r="U49" i="90"/>
  <c r="Z55" i="90"/>
  <c r="P55" i="90"/>
  <c r="J55" i="90"/>
  <c r="W55" i="90"/>
  <c r="V7" i="90"/>
  <c r="Z32" i="90"/>
  <c r="P32" i="90"/>
  <c r="J32" i="90"/>
  <c r="W32" i="90"/>
  <c r="U36" i="90"/>
  <c r="Z38" i="90"/>
  <c r="P38" i="90"/>
  <c r="J38" i="90"/>
  <c r="W38" i="90"/>
  <c r="Z48" i="90"/>
  <c r="P48" i="90"/>
  <c r="J48" i="90"/>
  <c r="W48" i="90"/>
  <c r="U52" i="90"/>
  <c r="Z54" i="90"/>
  <c r="P54" i="90"/>
  <c r="J54" i="90"/>
  <c r="W54" i="90"/>
  <c r="X4" i="90"/>
  <c r="X6" i="90"/>
  <c r="U7" i="90"/>
  <c r="X13" i="90"/>
  <c r="U18" i="90"/>
  <c r="V18" i="90" s="1"/>
  <c r="U19" i="90"/>
  <c r="V19" i="90" s="1"/>
  <c r="U20" i="90"/>
  <c r="U21" i="90"/>
  <c r="U22" i="90"/>
  <c r="U23" i="90"/>
  <c r="U24" i="90"/>
  <c r="U25" i="90"/>
  <c r="U26" i="90"/>
  <c r="U27" i="90"/>
  <c r="U28" i="90"/>
  <c r="Z35" i="90"/>
  <c r="P35" i="90"/>
  <c r="J35" i="90"/>
  <c r="W35" i="90"/>
  <c r="U43" i="90"/>
  <c r="U45" i="90"/>
  <c r="Z51" i="90"/>
  <c r="P51" i="90"/>
  <c r="J51" i="90"/>
  <c r="W51" i="90"/>
  <c r="X8" i="90"/>
  <c r="U16" i="90"/>
  <c r="V16" i="90" s="1"/>
  <c r="Z31" i="90"/>
  <c r="P31" i="90"/>
  <c r="J31" i="90"/>
  <c r="W31" i="90"/>
  <c r="U32" i="90"/>
  <c r="Z34" i="90"/>
  <c r="P34" i="90"/>
  <c r="V34" i="90" s="1"/>
  <c r="J34" i="90"/>
  <c r="W34" i="90"/>
  <c r="Z44" i="90"/>
  <c r="P44" i="90"/>
  <c r="J44" i="90"/>
  <c r="W44" i="90"/>
  <c r="U48" i="90"/>
  <c r="Z50" i="90"/>
  <c r="P50" i="90"/>
  <c r="J50" i="90"/>
  <c r="W50" i="90"/>
  <c r="Z20" i="90"/>
  <c r="R20" i="90"/>
  <c r="P20" i="90"/>
  <c r="X20" i="90" s="1"/>
  <c r="W20" i="90"/>
  <c r="J20" i="90"/>
  <c r="Z21" i="90"/>
  <c r="R21" i="90"/>
  <c r="P21" i="90"/>
  <c r="W21" i="90"/>
  <c r="J21" i="90"/>
  <c r="Z22" i="90"/>
  <c r="R22" i="90"/>
  <c r="P22" i="90"/>
  <c r="X22" i="90" s="1"/>
  <c r="W22" i="90"/>
  <c r="J22" i="90"/>
  <c r="Z23" i="90"/>
  <c r="R23" i="90"/>
  <c r="P23" i="90"/>
  <c r="W23" i="90"/>
  <c r="J23" i="90"/>
  <c r="Z24" i="90"/>
  <c r="R24" i="90"/>
  <c r="V24" i="90" s="1"/>
  <c r="P24" i="90"/>
  <c r="W24" i="90"/>
  <c r="J24" i="90"/>
  <c r="Z25" i="90"/>
  <c r="R25" i="90"/>
  <c r="V25" i="90" s="1"/>
  <c r="P25" i="90"/>
  <c r="W25" i="90"/>
  <c r="J25" i="90"/>
  <c r="Z26" i="90"/>
  <c r="R26" i="90"/>
  <c r="P26" i="90"/>
  <c r="X26" i="90" s="1"/>
  <c r="W26" i="90"/>
  <c r="J26" i="90"/>
  <c r="Z27" i="90"/>
  <c r="R27" i="90"/>
  <c r="V27" i="90" s="1"/>
  <c r="P27" i="90"/>
  <c r="W27" i="90"/>
  <c r="J27" i="90"/>
  <c r="Z28" i="90"/>
  <c r="R28" i="90"/>
  <c r="P28" i="90"/>
  <c r="X28" i="90" s="1"/>
  <c r="W28" i="90"/>
  <c r="J28" i="90"/>
  <c r="P29" i="90"/>
  <c r="X29" i="90" s="1"/>
  <c r="Z29" i="90"/>
  <c r="W29" i="90"/>
  <c r="J29" i="90"/>
  <c r="Z37" i="90"/>
  <c r="P37" i="90"/>
  <c r="J37" i="90"/>
  <c r="W37" i="90"/>
  <c r="U39" i="90"/>
  <c r="U41" i="90"/>
  <c r="Z47" i="90"/>
  <c r="P47" i="90"/>
  <c r="J47" i="90"/>
  <c r="W47" i="90"/>
  <c r="Z49" i="90"/>
  <c r="P49" i="90"/>
  <c r="J49" i="90"/>
  <c r="Z90" i="90"/>
  <c r="R90" i="90"/>
  <c r="P90" i="90"/>
  <c r="X90" i="90" s="1"/>
  <c r="W90" i="90"/>
  <c r="J90" i="90"/>
  <c r="R32" i="90"/>
  <c r="V32" i="90" s="1"/>
  <c r="R36" i="90"/>
  <c r="V36" i="90" s="1"/>
  <c r="R40" i="90"/>
  <c r="R44" i="90"/>
  <c r="R48" i="90"/>
  <c r="V48" i="90" s="1"/>
  <c r="R52" i="90"/>
  <c r="V52" i="90" s="1"/>
  <c r="U55" i="90"/>
  <c r="V56" i="90"/>
  <c r="U56" i="90"/>
  <c r="U58" i="90"/>
  <c r="W60" i="90"/>
  <c r="J60" i="90"/>
  <c r="R60" i="90"/>
  <c r="P60" i="90"/>
  <c r="X60" i="90" s="1"/>
  <c r="Z60" i="90"/>
  <c r="U62" i="90"/>
  <c r="W64" i="90"/>
  <c r="J64" i="90"/>
  <c r="R64" i="90"/>
  <c r="P64" i="90"/>
  <c r="Z64" i="90"/>
  <c r="U66" i="90"/>
  <c r="W68" i="90"/>
  <c r="J68" i="90"/>
  <c r="R68" i="90"/>
  <c r="P68" i="90"/>
  <c r="Z68" i="90"/>
  <c r="U70" i="90"/>
  <c r="W72" i="90"/>
  <c r="J72" i="90"/>
  <c r="R72" i="90"/>
  <c r="P72" i="90"/>
  <c r="Z72" i="90"/>
  <c r="U74" i="90"/>
  <c r="W76" i="90"/>
  <c r="J76" i="90"/>
  <c r="R76" i="90"/>
  <c r="P76" i="90"/>
  <c r="Z76" i="90"/>
  <c r="U78" i="90"/>
  <c r="W80" i="90"/>
  <c r="J80" i="90"/>
  <c r="R80" i="90"/>
  <c r="P80" i="90"/>
  <c r="Z80" i="90"/>
  <c r="U82" i="90"/>
  <c r="W84" i="90"/>
  <c r="J84" i="90"/>
  <c r="R84" i="90"/>
  <c r="P84" i="90"/>
  <c r="Z84" i="90"/>
  <c r="Z87" i="90"/>
  <c r="R87" i="90"/>
  <c r="P87" i="90"/>
  <c r="W87" i="90"/>
  <c r="J87" i="90"/>
  <c r="U91" i="90"/>
  <c r="Z41" i="90"/>
  <c r="P41" i="90"/>
  <c r="J41" i="90"/>
  <c r="Z45" i="90"/>
  <c r="P45" i="90"/>
  <c r="J45" i="90"/>
  <c r="Z53" i="90"/>
  <c r="P53" i="90"/>
  <c r="J53" i="90"/>
  <c r="U86" i="90"/>
  <c r="U94" i="90"/>
  <c r="U88" i="90"/>
  <c r="Z92" i="90"/>
  <c r="R92" i="90"/>
  <c r="P92" i="90"/>
  <c r="W92" i="90"/>
  <c r="J92" i="90"/>
  <c r="U96" i="90"/>
  <c r="R45" i="90"/>
  <c r="V45" i="90" s="1"/>
  <c r="R49" i="90"/>
  <c r="R53" i="90"/>
  <c r="W59" i="90"/>
  <c r="J59" i="90"/>
  <c r="Z59" i="90"/>
  <c r="R59" i="90"/>
  <c r="P59" i="90"/>
  <c r="W63" i="90"/>
  <c r="J63" i="90"/>
  <c r="Z63" i="90"/>
  <c r="R63" i="90"/>
  <c r="P63" i="90"/>
  <c r="U65" i="90"/>
  <c r="W67" i="90"/>
  <c r="J67" i="90"/>
  <c r="Z67" i="90"/>
  <c r="R67" i="90"/>
  <c r="P67" i="90"/>
  <c r="U69" i="90"/>
  <c r="W71" i="90"/>
  <c r="J71" i="90"/>
  <c r="Z71" i="90"/>
  <c r="R71" i="90"/>
  <c r="P71" i="90"/>
  <c r="U73" i="90"/>
  <c r="W75" i="90"/>
  <c r="J75" i="90"/>
  <c r="Z75" i="90"/>
  <c r="R75" i="90"/>
  <c r="P75" i="90"/>
  <c r="U77" i="90"/>
  <c r="W79" i="90"/>
  <c r="J79" i="90"/>
  <c r="Z79" i="90"/>
  <c r="R79" i="90"/>
  <c r="V79" i="90" s="1"/>
  <c r="P79" i="90"/>
  <c r="U81" i="90"/>
  <c r="W83" i="90"/>
  <c r="J83" i="90"/>
  <c r="Z83" i="90"/>
  <c r="R83" i="90"/>
  <c r="P83" i="90"/>
  <c r="X83" i="90" s="1"/>
  <c r="U85" i="90"/>
  <c r="Z89" i="90"/>
  <c r="R89" i="90"/>
  <c r="P89" i="90"/>
  <c r="W89" i="90"/>
  <c r="J89" i="90"/>
  <c r="U93" i="90"/>
  <c r="R33" i="90"/>
  <c r="V33" i="90" s="1"/>
  <c r="R37" i="90"/>
  <c r="R41" i="90"/>
  <c r="U61" i="90"/>
  <c r="W56" i="90"/>
  <c r="J56" i="90"/>
  <c r="Z86" i="90"/>
  <c r="R86" i="90"/>
  <c r="P86" i="90"/>
  <c r="W86" i="90"/>
  <c r="J86" i="90"/>
  <c r="U90" i="90"/>
  <c r="V90" i="90" s="1"/>
  <c r="Z94" i="90"/>
  <c r="R94" i="90"/>
  <c r="P94" i="90"/>
  <c r="W94" i="90"/>
  <c r="J94" i="90"/>
  <c r="Z30" i="90"/>
  <c r="P30" i="90"/>
  <c r="X30" i="90" s="1"/>
  <c r="R34" i="90"/>
  <c r="R38" i="90"/>
  <c r="R42" i="90"/>
  <c r="V42" i="90" s="1"/>
  <c r="R46" i="90"/>
  <c r="V46" i="90" s="1"/>
  <c r="R50" i="90"/>
  <c r="R54" i="90"/>
  <c r="V54" i="90" s="1"/>
  <c r="W58" i="90"/>
  <c r="J58" i="90"/>
  <c r="P58" i="90"/>
  <c r="Z58" i="90"/>
  <c r="R58" i="90"/>
  <c r="V58" i="90" s="1"/>
  <c r="V60" i="90"/>
  <c r="U60" i="90"/>
  <c r="W62" i="90"/>
  <c r="J62" i="90"/>
  <c r="P62" i="90"/>
  <c r="Z62" i="90"/>
  <c r="R62" i="90"/>
  <c r="U64" i="90"/>
  <c r="V64" i="90" s="1"/>
  <c r="W66" i="90"/>
  <c r="J66" i="90"/>
  <c r="P66" i="90"/>
  <c r="Z66" i="90"/>
  <c r="R66" i="90"/>
  <c r="V66" i="90" s="1"/>
  <c r="U68" i="90"/>
  <c r="W70" i="90"/>
  <c r="J70" i="90"/>
  <c r="P70" i="90"/>
  <c r="Z70" i="90"/>
  <c r="R70" i="90"/>
  <c r="U72" i="90"/>
  <c r="W74" i="90"/>
  <c r="J74" i="90"/>
  <c r="P74" i="90"/>
  <c r="Z74" i="90"/>
  <c r="R74" i="90"/>
  <c r="U76" i="90"/>
  <c r="V76" i="90" s="1"/>
  <c r="W78" i="90"/>
  <c r="J78" i="90"/>
  <c r="P78" i="90"/>
  <c r="Z78" i="90"/>
  <c r="R78" i="90"/>
  <c r="U80" i="90"/>
  <c r="W82" i="90"/>
  <c r="J82" i="90"/>
  <c r="P82" i="90"/>
  <c r="Z82" i="90"/>
  <c r="R82" i="90"/>
  <c r="U84" i="90"/>
  <c r="U87" i="90"/>
  <c r="V87" i="90" s="1"/>
  <c r="Z91" i="90"/>
  <c r="R91" i="90"/>
  <c r="V91" i="90" s="1"/>
  <c r="P91" i="90"/>
  <c r="W91" i="90"/>
  <c r="J91" i="90"/>
  <c r="U95" i="90"/>
  <c r="R31" i="90"/>
  <c r="V31" i="90" s="1"/>
  <c r="Z88" i="90"/>
  <c r="R88" i="90"/>
  <c r="P88" i="90"/>
  <c r="W88" i="90"/>
  <c r="J88" i="90"/>
  <c r="U92" i="90"/>
  <c r="R35" i="90"/>
  <c r="V35" i="90" s="1"/>
  <c r="V38" i="90"/>
  <c r="R39" i="90"/>
  <c r="V39" i="90" s="1"/>
  <c r="W41" i="90"/>
  <c r="R43" i="90"/>
  <c r="V43" i="90" s="1"/>
  <c r="W45" i="90"/>
  <c r="R47" i="90"/>
  <c r="V47" i="90" s="1"/>
  <c r="W49" i="90"/>
  <c r="V50" i="90"/>
  <c r="R51" i="90"/>
  <c r="V51" i="90" s="1"/>
  <c r="W53" i="90"/>
  <c r="R55" i="90"/>
  <c r="U59" i="90"/>
  <c r="W61" i="90"/>
  <c r="J61" i="90"/>
  <c r="R61" i="90"/>
  <c r="V61" i="90" s="1"/>
  <c r="P61" i="90"/>
  <c r="Z61" i="90"/>
  <c r="U63" i="90"/>
  <c r="W65" i="90"/>
  <c r="J65" i="90"/>
  <c r="R65" i="90"/>
  <c r="P65" i="90"/>
  <c r="Z65" i="90"/>
  <c r="V67" i="90"/>
  <c r="U67" i="90"/>
  <c r="W69" i="90"/>
  <c r="J69" i="90"/>
  <c r="R69" i="90"/>
  <c r="P69" i="90"/>
  <c r="Z69" i="90"/>
  <c r="U71" i="90"/>
  <c r="W73" i="90"/>
  <c r="J73" i="90"/>
  <c r="R73" i="90"/>
  <c r="V73" i="90" s="1"/>
  <c r="P73" i="90"/>
  <c r="Z73" i="90"/>
  <c r="U75" i="90"/>
  <c r="W77" i="90"/>
  <c r="J77" i="90"/>
  <c r="R77" i="90"/>
  <c r="P77" i="90"/>
  <c r="X77" i="90" s="1"/>
  <c r="Z77" i="90"/>
  <c r="U79" i="90"/>
  <c r="W81" i="90"/>
  <c r="J81" i="90"/>
  <c r="R81" i="90"/>
  <c r="V81" i="90" s="1"/>
  <c r="P81" i="90"/>
  <c r="Z81" i="90"/>
  <c r="U83" i="90"/>
  <c r="Z85" i="90"/>
  <c r="R85" i="90"/>
  <c r="P85" i="90"/>
  <c r="W85" i="90"/>
  <c r="J85" i="90"/>
  <c r="U89" i="90"/>
  <c r="Z93" i="90"/>
  <c r="R93" i="90"/>
  <c r="P93" i="90"/>
  <c r="W93" i="90"/>
  <c r="J93" i="90"/>
  <c r="W57" i="90"/>
  <c r="J57" i="90"/>
  <c r="Z97" i="90"/>
  <c r="R97" i="90"/>
  <c r="P97" i="90"/>
  <c r="W97" i="90"/>
  <c r="J97" i="90"/>
  <c r="Z57" i="90"/>
  <c r="Z96" i="90"/>
  <c r="R96" i="90"/>
  <c r="V96" i="90" s="1"/>
  <c r="P96" i="90"/>
  <c r="W96" i="90"/>
  <c r="J96" i="90"/>
  <c r="Z95" i="90"/>
  <c r="R95" i="90"/>
  <c r="V95" i="90" s="1"/>
  <c r="P95" i="90"/>
  <c r="W95" i="90"/>
  <c r="J95" i="90"/>
  <c r="V57" i="90"/>
  <c r="U97" i="90"/>
  <c r="V19" i="89"/>
  <c r="N19" i="89"/>
  <c r="O19" i="89"/>
  <c r="W19" i="89"/>
  <c r="W21" i="89" s="1"/>
  <c r="H19" i="89"/>
  <c r="H21" i="89" s="1"/>
  <c r="P19" i="89"/>
  <c r="P21" i="89" s="1"/>
  <c r="X19" i="89"/>
  <c r="U22" i="84"/>
  <c r="M22" i="84"/>
  <c r="S22" i="84"/>
  <c r="K22" i="84"/>
  <c r="H22" i="84"/>
  <c r="X22" i="84"/>
  <c r="P22" i="84"/>
  <c r="W22" i="84"/>
  <c r="O22" i="84"/>
  <c r="V22" i="84"/>
  <c r="N22" i="84"/>
  <c r="I19" i="89"/>
  <c r="I21" i="89" s="1"/>
  <c r="Q19" i="89"/>
  <c r="Q21" i="89" s="1"/>
  <c r="Q24" i="89" s="1"/>
  <c r="Y19" i="89"/>
  <c r="Y21" i="89" s="1"/>
  <c r="Y24" i="89" s="1"/>
  <c r="J19" i="89"/>
  <c r="J21" i="89" s="1"/>
  <c r="R19" i="89"/>
  <c r="R21" i="89" s="1"/>
  <c r="Z19" i="89"/>
  <c r="Z21" i="89" s="1"/>
  <c r="Z22" i="89" s="1"/>
  <c r="L19" i="89"/>
  <c r="L21" i="89" s="1"/>
  <c r="T19" i="89"/>
  <c r="T21" i="89" s="1"/>
  <c r="M21" i="89"/>
  <c r="I24" i="89"/>
  <c r="I22" i="89"/>
  <c r="N21" i="89"/>
  <c r="V21" i="89"/>
  <c r="U21" i="89"/>
  <c r="F24" i="89"/>
  <c r="F8" i="89"/>
  <c r="O21" i="89"/>
  <c r="K24" i="89"/>
  <c r="K22" i="89"/>
  <c r="S24" i="89"/>
  <c r="S22" i="89"/>
  <c r="AA24" i="89"/>
  <c r="AA22" i="89"/>
  <c r="Q22" i="89"/>
  <c r="X21" i="89"/>
  <c r="D7" i="89"/>
  <c r="G8" i="89"/>
  <c r="C7" i="89"/>
  <c r="E7" i="89"/>
  <c r="F24" i="88"/>
  <c r="F8" i="88"/>
  <c r="E8" i="88"/>
  <c r="D7" i="88"/>
  <c r="G8" i="88"/>
  <c r="C24" i="88"/>
  <c r="D70" i="75"/>
  <c r="B70" i="75"/>
  <c r="D58" i="75"/>
  <c r="B58" i="75"/>
  <c r="D43" i="75"/>
  <c r="B43" i="75"/>
  <c r="BB22" i="83"/>
  <c r="BJ22" i="83"/>
  <c r="Z21" i="83"/>
  <c r="BV21" i="83"/>
  <c r="CD21" i="83"/>
  <c r="AL20" i="83"/>
  <c r="AT20" i="83"/>
  <c r="H15" i="83"/>
  <c r="I15" i="83"/>
  <c r="J15" i="83"/>
  <c r="K15" i="83"/>
  <c r="L15" i="83"/>
  <c r="M15" i="83"/>
  <c r="N15" i="83"/>
  <c r="O15" i="83"/>
  <c r="P15" i="83"/>
  <c r="Q15" i="83"/>
  <c r="R15" i="83"/>
  <c r="S15" i="83"/>
  <c r="T15" i="83"/>
  <c r="U15" i="83"/>
  <c r="V15" i="83"/>
  <c r="W15" i="83"/>
  <c r="X15" i="83"/>
  <c r="Y15" i="83"/>
  <c r="Z15" i="83"/>
  <c r="AA15" i="83"/>
  <c r="AB15" i="83"/>
  <c r="AC15" i="83"/>
  <c r="AD15" i="83"/>
  <c r="AE15" i="83"/>
  <c r="AF15" i="83"/>
  <c r="AG15" i="83"/>
  <c r="AH15" i="83"/>
  <c r="AI15" i="83"/>
  <c r="AJ15" i="83"/>
  <c r="AK15" i="83"/>
  <c r="AL15" i="83"/>
  <c r="AM15" i="83"/>
  <c r="AN15" i="83"/>
  <c r="AO15" i="83"/>
  <c r="AP15" i="83"/>
  <c r="AQ15" i="83"/>
  <c r="AR15" i="83"/>
  <c r="AS15" i="83"/>
  <c r="AT15" i="83"/>
  <c r="AU15" i="83"/>
  <c r="AV15" i="83"/>
  <c r="AW15" i="83"/>
  <c r="AX15" i="83"/>
  <c r="AY15" i="83"/>
  <c r="AZ15" i="83"/>
  <c r="BA15" i="83"/>
  <c r="BB15" i="83"/>
  <c r="BC15" i="83"/>
  <c r="BD15" i="83"/>
  <c r="BE15" i="83"/>
  <c r="BF15" i="83"/>
  <c r="BG15" i="83"/>
  <c r="BH15" i="83"/>
  <c r="BI15" i="83"/>
  <c r="BJ15" i="83"/>
  <c r="BK15" i="83"/>
  <c r="BL15" i="83"/>
  <c r="BM15" i="83"/>
  <c r="BN15" i="83"/>
  <c r="BO15" i="83"/>
  <c r="BP15" i="83"/>
  <c r="BQ15" i="83"/>
  <c r="BR15" i="83"/>
  <c r="BS15" i="83"/>
  <c r="BT15" i="83"/>
  <c r="BU15" i="83"/>
  <c r="BV15" i="83"/>
  <c r="BW15" i="83"/>
  <c r="BX15" i="83"/>
  <c r="BY15" i="83"/>
  <c r="BZ15" i="83"/>
  <c r="CA15" i="83"/>
  <c r="CB15" i="83"/>
  <c r="CC15" i="83"/>
  <c r="CD15" i="83"/>
  <c r="CE15" i="83"/>
  <c r="CF15" i="83"/>
  <c r="CG15" i="83"/>
  <c r="CH15" i="83"/>
  <c r="CI15" i="83"/>
  <c r="CJ15" i="83"/>
  <c r="CK15" i="83"/>
  <c r="CL15" i="83"/>
  <c r="G15" i="83"/>
  <c r="H14" i="83"/>
  <c r="I14" i="83"/>
  <c r="J14" i="83"/>
  <c r="K14" i="83"/>
  <c r="L14" i="83"/>
  <c r="M14" i="83"/>
  <c r="N14" i="83"/>
  <c r="O14" i="83"/>
  <c r="P14" i="83"/>
  <c r="Q14" i="83"/>
  <c r="R14" i="83"/>
  <c r="S14" i="83"/>
  <c r="T14" i="83"/>
  <c r="U14" i="83"/>
  <c r="V14" i="83"/>
  <c r="W14" i="83"/>
  <c r="X14" i="83"/>
  <c r="Y14" i="83"/>
  <c r="Z14" i="83"/>
  <c r="AA14" i="83"/>
  <c r="AB14" i="83"/>
  <c r="AC14" i="83"/>
  <c r="AD14" i="83"/>
  <c r="AE14" i="83"/>
  <c r="AF14" i="83"/>
  <c r="AG14" i="83"/>
  <c r="AH14" i="83"/>
  <c r="AI14" i="83"/>
  <c r="AJ14" i="83"/>
  <c r="AK14" i="83"/>
  <c r="AL14" i="83"/>
  <c r="AM14" i="83"/>
  <c r="AN14" i="83"/>
  <c r="AO14" i="83"/>
  <c r="AP14" i="83"/>
  <c r="AQ14" i="83"/>
  <c r="AR14" i="83"/>
  <c r="AS14" i="83"/>
  <c r="AT14" i="83"/>
  <c r="AU14" i="83"/>
  <c r="AV14" i="83"/>
  <c r="AW14" i="83"/>
  <c r="AX14" i="83"/>
  <c r="AY14" i="83"/>
  <c r="AZ14" i="83"/>
  <c r="BA14" i="83"/>
  <c r="BB14" i="83"/>
  <c r="BC14" i="83"/>
  <c r="BD14" i="83"/>
  <c r="BE14" i="83"/>
  <c r="BF14" i="83"/>
  <c r="BG14" i="83"/>
  <c r="BH14" i="83"/>
  <c r="BI14" i="83"/>
  <c r="BJ14" i="83"/>
  <c r="BK14" i="83"/>
  <c r="BL14" i="83"/>
  <c r="BM14" i="83"/>
  <c r="BN14" i="83"/>
  <c r="BO14" i="83"/>
  <c r="BP14" i="83"/>
  <c r="BQ14" i="83"/>
  <c r="BR14" i="83"/>
  <c r="BS14" i="83"/>
  <c r="BT14" i="83"/>
  <c r="BU14" i="83"/>
  <c r="BV14" i="83"/>
  <c r="BW14" i="83"/>
  <c r="BX14" i="83"/>
  <c r="BY14" i="83"/>
  <c r="BZ14" i="83"/>
  <c r="CA14" i="83"/>
  <c r="CB14" i="83"/>
  <c r="CC14" i="83"/>
  <c r="CD14" i="83"/>
  <c r="CE14" i="83"/>
  <c r="CF14" i="83"/>
  <c r="CG14" i="83"/>
  <c r="CH14" i="83"/>
  <c r="CI14" i="83"/>
  <c r="CJ14" i="83"/>
  <c r="CK14" i="83"/>
  <c r="CL14" i="83"/>
  <c r="G14" i="83"/>
  <c r="H13" i="83"/>
  <c r="I13" i="83"/>
  <c r="J13" i="83"/>
  <c r="K13" i="83"/>
  <c r="L13" i="83"/>
  <c r="M13" i="83"/>
  <c r="N13" i="83"/>
  <c r="O13" i="83"/>
  <c r="O22" i="83" s="1"/>
  <c r="P13" i="83"/>
  <c r="Q13" i="83"/>
  <c r="R13" i="83"/>
  <c r="S13" i="83"/>
  <c r="T13" i="83"/>
  <c r="U13" i="83"/>
  <c r="V13" i="83"/>
  <c r="W13" i="83"/>
  <c r="W22" i="83" s="1"/>
  <c r="X13" i="83"/>
  <c r="Y13" i="83"/>
  <c r="Z13" i="83"/>
  <c r="AA13" i="83"/>
  <c r="AB13" i="83"/>
  <c r="AC13" i="83"/>
  <c r="AD13" i="83"/>
  <c r="AD20" i="83" s="1"/>
  <c r="AE13" i="83"/>
  <c r="AE22" i="83" s="1"/>
  <c r="AF13" i="83"/>
  <c r="AG13" i="83"/>
  <c r="AH13" i="83"/>
  <c r="AI13" i="83"/>
  <c r="AJ13" i="83"/>
  <c r="AK13" i="83"/>
  <c r="AL13" i="83"/>
  <c r="AM13" i="83"/>
  <c r="AM20" i="83" s="1"/>
  <c r="AN13" i="83"/>
  <c r="AO13" i="83"/>
  <c r="AP13" i="83"/>
  <c r="AQ13" i="83"/>
  <c r="AR13" i="83"/>
  <c r="AS13" i="83"/>
  <c r="AT13" i="83"/>
  <c r="AT22" i="83" s="1"/>
  <c r="AU13" i="83"/>
  <c r="AU22" i="83" s="1"/>
  <c r="AV13" i="83"/>
  <c r="AW13" i="83"/>
  <c r="AX13" i="83"/>
  <c r="AY13" i="83"/>
  <c r="AZ13" i="83"/>
  <c r="BA13" i="83"/>
  <c r="BB13" i="83"/>
  <c r="BC13" i="83"/>
  <c r="BC22" i="83" s="1"/>
  <c r="BD13" i="83"/>
  <c r="BE13" i="83"/>
  <c r="BF13" i="83"/>
  <c r="BG13" i="83"/>
  <c r="BH13" i="83"/>
  <c r="BI13" i="83"/>
  <c r="BJ13" i="83"/>
  <c r="BK13" i="83"/>
  <c r="BK22" i="83" s="1"/>
  <c r="BL13" i="83"/>
  <c r="BM13" i="83"/>
  <c r="BN13" i="83"/>
  <c r="BO13" i="83"/>
  <c r="BP13" i="83"/>
  <c r="BQ13" i="83"/>
  <c r="BR13" i="83"/>
  <c r="BS13" i="83"/>
  <c r="BS20" i="83" s="1"/>
  <c r="BT13" i="83"/>
  <c r="BU13" i="83"/>
  <c r="BV13" i="83"/>
  <c r="BW13" i="83"/>
  <c r="BX13" i="83"/>
  <c r="BY13" i="83"/>
  <c r="BZ13" i="83"/>
  <c r="BZ20" i="83" s="1"/>
  <c r="CA13" i="83"/>
  <c r="CA22" i="83" s="1"/>
  <c r="CB13" i="83"/>
  <c r="CC13" i="83"/>
  <c r="CD13" i="83"/>
  <c r="CE13" i="83"/>
  <c r="CF13" i="83"/>
  <c r="CG13" i="83"/>
  <c r="CH13" i="83"/>
  <c r="CH20" i="83" s="1"/>
  <c r="CI13" i="83"/>
  <c r="CI22" i="83" s="1"/>
  <c r="CJ13" i="83"/>
  <c r="CK13" i="83"/>
  <c r="CL13" i="83"/>
  <c r="G13" i="83"/>
  <c r="H12" i="83"/>
  <c r="I12" i="83"/>
  <c r="I22" i="83" s="1"/>
  <c r="J12" i="83"/>
  <c r="J22" i="83" s="1"/>
  <c r="K12" i="83"/>
  <c r="K21" i="83" s="1"/>
  <c r="L12" i="83"/>
  <c r="M12" i="83"/>
  <c r="N12" i="83"/>
  <c r="N20" i="83" s="1"/>
  <c r="O12" i="83"/>
  <c r="P12" i="83"/>
  <c r="Q12" i="83"/>
  <c r="Q22" i="83" s="1"/>
  <c r="R12" i="83"/>
  <c r="R22" i="83" s="1"/>
  <c r="S12" i="83"/>
  <c r="S21" i="83" s="1"/>
  <c r="T12" i="83"/>
  <c r="U12" i="83"/>
  <c r="V12" i="83"/>
  <c r="V20" i="83" s="1"/>
  <c r="W12" i="83"/>
  <c r="X12" i="83"/>
  <c r="Y12" i="83"/>
  <c r="Y22" i="83" s="1"/>
  <c r="Z12" i="83"/>
  <c r="Z22" i="83" s="1"/>
  <c r="AA12" i="83"/>
  <c r="AB12" i="83"/>
  <c r="AC12" i="83"/>
  <c r="AD12" i="83"/>
  <c r="AD22" i="83" s="1"/>
  <c r="AE12" i="83"/>
  <c r="AF12" i="83"/>
  <c r="AG12" i="83"/>
  <c r="AG22" i="83" s="1"/>
  <c r="AH12" i="83"/>
  <c r="AH22" i="83" s="1"/>
  <c r="AI12" i="83"/>
  <c r="AI21" i="83" s="1"/>
  <c r="AJ12" i="83"/>
  <c r="AK12" i="83"/>
  <c r="AL12" i="83"/>
  <c r="AL22" i="83" s="1"/>
  <c r="AM12" i="83"/>
  <c r="AN12" i="83"/>
  <c r="AO12" i="83"/>
  <c r="AO22" i="83" s="1"/>
  <c r="AP12" i="83"/>
  <c r="AP22" i="83" s="1"/>
  <c r="AQ12" i="83"/>
  <c r="AQ21" i="83" s="1"/>
  <c r="AR12" i="83"/>
  <c r="AS12" i="83"/>
  <c r="AT12" i="83"/>
  <c r="AU12" i="83"/>
  <c r="AV12" i="83"/>
  <c r="AW12" i="83"/>
  <c r="AW22" i="83" s="1"/>
  <c r="AX12" i="83"/>
  <c r="AX22" i="83" s="1"/>
  <c r="AY12" i="83"/>
  <c r="AY21" i="83" s="1"/>
  <c r="AZ12" i="83"/>
  <c r="BA12" i="83"/>
  <c r="BB12" i="83"/>
  <c r="BC12" i="83"/>
  <c r="BD12" i="83"/>
  <c r="BE12" i="83"/>
  <c r="BE22" i="83" s="1"/>
  <c r="BF12" i="83"/>
  <c r="BF22" i="83" s="1"/>
  <c r="BG12" i="83"/>
  <c r="BH12" i="83"/>
  <c r="BI12" i="83"/>
  <c r="BJ12" i="83"/>
  <c r="BK12" i="83"/>
  <c r="BK20" i="83" s="1"/>
  <c r="BL12" i="83"/>
  <c r="BM12" i="83"/>
  <c r="BM22" i="83" s="1"/>
  <c r="BN12" i="83"/>
  <c r="BN22" i="83" s="1"/>
  <c r="BO12" i="83"/>
  <c r="BO21" i="83" s="1"/>
  <c r="BP12" i="83"/>
  <c r="BQ12" i="83"/>
  <c r="BR12" i="83"/>
  <c r="BR20" i="83" s="1"/>
  <c r="BS12" i="83"/>
  <c r="BS22" i="83" s="1"/>
  <c r="BT12" i="83"/>
  <c r="BU12" i="83"/>
  <c r="BU22" i="83" s="1"/>
  <c r="BV12" i="83"/>
  <c r="BV22" i="83" s="1"/>
  <c r="BW12" i="83"/>
  <c r="BW21" i="83" s="1"/>
  <c r="BX12" i="83"/>
  <c r="BY12" i="83"/>
  <c r="BZ12" i="83"/>
  <c r="BZ22" i="83" s="1"/>
  <c r="CA12" i="83"/>
  <c r="CB12" i="83"/>
  <c r="CC12" i="83"/>
  <c r="CC22" i="83" s="1"/>
  <c r="CD12" i="83"/>
  <c r="CD22" i="83" s="1"/>
  <c r="CE12" i="83"/>
  <c r="CE21" i="83" s="1"/>
  <c r="CF12" i="83"/>
  <c r="CG12" i="83"/>
  <c r="CH12" i="83"/>
  <c r="CH22" i="83" s="1"/>
  <c r="CI12" i="83"/>
  <c r="CJ12" i="83"/>
  <c r="CK12" i="83"/>
  <c r="CK22" i="83" s="1"/>
  <c r="CL12" i="83"/>
  <c r="CL22" i="83" s="1"/>
  <c r="G12" i="83"/>
  <c r="K6" i="57"/>
  <c r="H23" i="84"/>
  <c r="H21" i="82"/>
  <c r="H26" i="87"/>
  <c r="I26" i="87" s="1"/>
  <c r="J26" i="87" s="1"/>
  <c r="K26" i="87" s="1"/>
  <c r="L26" i="87" s="1"/>
  <c r="M26" i="87" s="1"/>
  <c r="N26" i="87" s="1"/>
  <c r="O26" i="87" s="1"/>
  <c r="P26" i="87" s="1"/>
  <c r="Q26" i="87" s="1"/>
  <c r="R26" i="87" s="1"/>
  <c r="S26" i="87" s="1"/>
  <c r="T26" i="87" s="1"/>
  <c r="U26" i="87" s="1"/>
  <c r="V26" i="87" s="1"/>
  <c r="W26" i="87" s="1"/>
  <c r="X26" i="87" s="1"/>
  <c r="Y26" i="87" s="1"/>
  <c r="Z26" i="87" s="1"/>
  <c r="AA26" i="87" s="1"/>
  <c r="G7" i="87"/>
  <c r="F7" i="87" s="1"/>
  <c r="C81" i="75"/>
  <c r="C80" i="75"/>
  <c r="C79" i="75"/>
  <c r="C69" i="75"/>
  <c r="C68" i="75"/>
  <c r="C67" i="75"/>
  <c r="D65" i="75"/>
  <c r="C57" i="75"/>
  <c r="C56" i="75"/>
  <c r="C55" i="75"/>
  <c r="D39" i="75"/>
  <c r="B39" i="75"/>
  <c r="D38" i="75"/>
  <c r="E91" i="86"/>
  <c r="F88" i="86"/>
  <c r="G88" i="86" s="1"/>
  <c r="H88" i="86" s="1"/>
  <c r="I88" i="86" s="1"/>
  <c r="J88" i="86" s="1"/>
  <c r="K88" i="86" s="1"/>
  <c r="L88" i="86" s="1"/>
  <c r="M88" i="86" s="1"/>
  <c r="N88" i="86" s="1"/>
  <c r="O88" i="86" s="1"/>
  <c r="P88" i="86" s="1"/>
  <c r="Q88" i="86" s="1"/>
  <c r="R88" i="86" s="1"/>
  <c r="S88" i="86" s="1"/>
  <c r="T88" i="86" s="1"/>
  <c r="U88" i="86" s="1"/>
  <c r="V88" i="86" s="1"/>
  <c r="W88" i="86" s="1"/>
  <c r="X88" i="86" s="1"/>
  <c r="E87" i="86"/>
  <c r="E86" i="86"/>
  <c r="E84" i="86" s="1"/>
  <c r="F84" i="86" s="1"/>
  <c r="G84" i="86" s="1"/>
  <c r="H84" i="86" s="1"/>
  <c r="I84" i="86" s="1"/>
  <c r="J84" i="86" s="1"/>
  <c r="K84" i="86" s="1"/>
  <c r="L84" i="86" s="1"/>
  <c r="M84" i="86" s="1"/>
  <c r="N84" i="86" s="1"/>
  <c r="O84" i="86" s="1"/>
  <c r="P84" i="86" s="1"/>
  <c r="Q84" i="86" s="1"/>
  <c r="R84" i="86" s="1"/>
  <c r="S84" i="86" s="1"/>
  <c r="T84" i="86" s="1"/>
  <c r="U84" i="86" s="1"/>
  <c r="V84" i="86" s="1"/>
  <c r="W84" i="86" s="1"/>
  <c r="X84" i="86" s="1"/>
  <c r="E85" i="86"/>
  <c r="F68" i="86"/>
  <c r="G68" i="86" s="1"/>
  <c r="H68" i="86" s="1"/>
  <c r="I68" i="86" s="1"/>
  <c r="J68" i="86" s="1"/>
  <c r="K68" i="86" s="1"/>
  <c r="L68" i="86" s="1"/>
  <c r="M68" i="86" s="1"/>
  <c r="N68" i="86" s="1"/>
  <c r="O68" i="86" s="1"/>
  <c r="P68" i="86" s="1"/>
  <c r="Q68" i="86" s="1"/>
  <c r="R68" i="86" s="1"/>
  <c r="S68" i="86" s="1"/>
  <c r="T68" i="86" s="1"/>
  <c r="U68" i="86" s="1"/>
  <c r="V68" i="86" s="1"/>
  <c r="W68" i="86" s="1"/>
  <c r="X68" i="86" s="1"/>
  <c r="C67" i="86"/>
  <c r="B65" i="86"/>
  <c r="B65" i="75" s="1"/>
  <c r="E58" i="86"/>
  <c r="E55" i="86"/>
  <c r="E51" i="86"/>
  <c r="E49" i="86"/>
  <c r="G48" i="86"/>
  <c r="H48" i="86" s="1"/>
  <c r="I48" i="86" s="1"/>
  <c r="J48" i="86" s="1"/>
  <c r="K48" i="86" s="1"/>
  <c r="F48" i="86"/>
  <c r="B47" i="86"/>
  <c r="F46" i="86" s="1"/>
  <c r="C46" i="86"/>
  <c r="E46" i="86" s="1"/>
  <c r="A43" i="86"/>
  <c r="E39" i="86"/>
  <c r="E98" i="86" s="1"/>
  <c r="E36" i="86"/>
  <c r="E32" i="86"/>
  <c r="E31" i="86"/>
  <c r="E30" i="86" s="1"/>
  <c r="F29" i="86"/>
  <c r="G29" i="86" s="1"/>
  <c r="H29" i="86" s="1"/>
  <c r="I29" i="86" s="1"/>
  <c r="J29" i="86" s="1"/>
  <c r="K29" i="86" s="1"/>
  <c r="L29" i="86" s="1"/>
  <c r="M29" i="86" s="1"/>
  <c r="N29" i="86" s="1"/>
  <c r="O29" i="86" s="1"/>
  <c r="P29" i="86" s="1"/>
  <c r="Q29" i="86" s="1"/>
  <c r="R29" i="86" s="1"/>
  <c r="S29" i="86" s="1"/>
  <c r="T29" i="86" s="1"/>
  <c r="U29" i="86" s="1"/>
  <c r="V29" i="86" s="1"/>
  <c r="W29" i="86" s="1"/>
  <c r="X29" i="86" s="1"/>
  <c r="C28" i="86"/>
  <c r="B28" i="86"/>
  <c r="E28" i="86" s="1"/>
  <c r="C27" i="86"/>
  <c r="E27" i="86" s="1"/>
  <c r="B26" i="86"/>
  <c r="E26" i="86" s="1"/>
  <c r="C25" i="86"/>
  <c r="E25" i="86" s="1"/>
  <c r="B25" i="86"/>
  <c r="A22" i="86"/>
  <c r="F8" i="86"/>
  <c r="G8" i="86" s="1"/>
  <c r="H8" i="86" s="1"/>
  <c r="I8" i="86" s="1"/>
  <c r="J8" i="86" s="1"/>
  <c r="K8" i="86" s="1"/>
  <c r="L8" i="86" s="1"/>
  <c r="M8" i="86" s="1"/>
  <c r="N8" i="86" s="1"/>
  <c r="O8" i="86" s="1"/>
  <c r="P8" i="86" s="1"/>
  <c r="Q8" i="86" s="1"/>
  <c r="R8" i="86" s="1"/>
  <c r="S8" i="86" s="1"/>
  <c r="T8" i="86" s="1"/>
  <c r="U8" i="86" s="1"/>
  <c r="V8" i="86" s="1"/>
  <c r="W8" i="86" s="1"/>
  <c r="X8" i="86" s="1"/>
  <c r="F6" i="86"/>
  <c r="F5" i="86"/>
  <c r="F4" i="86"/>
  <c r="C4" i="86"/>
  <c r="C65" i="86" s="1"/>
  <c r="A1" i="86"/>
  <c r="C18" i="85"/>
  <c r="E18" i="85" s="1"/>
  <c r="E19" i="85" s="1"/>
  <c r="E14" i="85"/>
  <c r="E15" i="85" s="1"/>
  <c r="C8" i="85"/>
  <c r="E8" i="85" s="1"/>
  <c r="E9" i="85" s="1"/>
  <c r="F9" i="85" s="1"/>
  <c r="G9" i="85" s="1"/>
  <c r="H9" i="85" s="1"/>
  <c r="I9" i="85" s="1"/>
  <c r="J9" i="85" s="1"/>
  <c r="K9" i="85" s="1"/>
  <c r="L9" i="85" s="1"/>
  <c r="M9" i="85" s="1"/>
  <c r="N9" i="85" s="1"/>
  <c r="O9" i="85" s="1"/>
  <c r="P9" i="85" s="1"/>
  <c r="Q9" i="85" s="1"/>
  <c r="R9" i="85" s="1"/>
  <c r="S9" i="85" s="1"/>
  <c r="T9" i="85" s="1"/>
  <c r="U9" i="85" s="1"/>
  <c r="V9" i="85" s="1"/>
  <c r="W9" i="85" s="1"/>
  <c r="X9" i="85" s="1"/>
  <c r="C4" i="85"/>
  <c r="E4" i="85" s="1"/>
  <c r="E5" i="85" s="1"/>
  <c r="F5" i="85" s="1"/>
  <c r="G5" i="85" s="1"/>
  <c r="H5" i="85" s="1"/>
  <c r="I5" i="85" s="1"/>
  <c r="J5" i="85" s="1"/>
  <c r="K5" i="85" s="1"/>
  <c r="L5" i="85" s="1"/>
  <c r="M5" i="85" s="1"/>
  <c r="N5" i="85" s="1"/>
  <c r="O5" i="85" s="1"/>
  <c r="P5" i="85" s="1"/>
  <c r="Q5" i="85" s="1"/>
  <c r="R5" i="85" s="1"/>
  <c r="S5" i="85" s="1"/>
  <c r="T5" i="85" s="1"/>
  <c r="U5" i="85" s="1"/>
  <c r="V5" i="85" s="1"/>
  <c r="W5" i="85" s="1"/>
  <c r="X5" i="85" s="1"/>
  <c r="V68" i="90" l="1"/>
  <c r="X53" i="90"/>
  <c r="V84" i="90"/>
  <c r="V22" i="90"/>
  <c r="V89" i="90"/>
  <c r="X78" i="90"/>
  <c r="V41" i="90"/>
  <c r="V65" i="90"/>
  <c r="X82" i="90"/>
  <c r="V23" i="90"/>
  <c r="V69" i="90"/>
  <c r="V59" i="90"/>
  <c r="V49" i="90"/>
  <c r="X88" i="90"/>
  <c r="V74" i="90"/>
  <c r="X94" i="90"/>
  <c r="X24" i="90"/>
  <c r="V53" i="90"/>
  <c r="V82" i="90"/>
  <c r="V75" i="90"/>
  <c r="X95" i="90"/>
  <c r="X69" i="90"/>
  <c r="V92" i="90"/>
  <c r="V72" i="90"/>
  <c r="V37" i="90"/>
  <c r="V85" i="90"/>
  <c r="X79" i="90"/>
  <c r="X25" i="90"/>
  <c r="X48" i="90"/>
  <c r="X73" i="90"/>
  <c r="V55" i="90"/>
  <c r="X91" i="90"/>
  <c r="V86" i="90"/>
  <c r="V93" i="90"/>
  <c r="X87" i="90"/>
  <c r="V28" i="90"/>
  <c r="V20" i="90"/>
  <c r="X51" i="90"/>
  <c r="V83" i="90"/>
  <c r="V63" i="90"/>
  <c r="X52" i="90"/>
  <c r="V97" i="90"/>
  <c r="V88" i="90"/>
  <c r="V94" i="90"/>
  <c r="V70" i="90"/>
  <c r="V26" i="90"/>
  <c r="X31" i="90"/>
  <c r="X36" i="90"/>
  <c r="X96" i="90"/>
  <c r="X81" i="90"/>
  <c r="V77" i="90"/>
  <c r="V78" i="90"/>
  <c r="X74" i="90"/>
  <c r="V62" i="90"/>
  <c r="X89" i="90"/>
  <c r="V71" i="90"/>
  <c r="X59" i="90"/>
  <c r="V80" i="90"/>
  <c r="X64" i="90"/>
  <c r="V44" i="90"/>
  <c r="V21" i="90"/>
  <c r="V40" i="90"/>
  <c r="X27" i="90"/>
  <c r="X50" i="90"/>
  <c r="X18" i="90"/>
  <c r="X19" i="90"/>
  <c r="X58" i="90"/>
  <c r="X45" i="90"/>
  <c r="X34" i="90"/>
  <c r="X54" i="90"/>
  <c r="X32" i="90"/>
  <c r="X55" i="90"/>
  <c r="X39" i="90"/>
  <c r="X62" i="90"/>
  <c r="X68" i="90"/>
  <c r="X47" i="90"/>
  <c r="X37" i="90"/>
  <c r="X42" i="90"/>
  <c r="X85" i="90"/>
  <c r="X66" i="90"/>
  <c r="X63" i="90"/>
  <c r="X72" i="90"/>
  <c r="X23" i="90"/>
  <c r="X38" i="90"/>
  <c r="V30" i="90"/>
  <c r="X93" i="90"/>
  <c r="X61" i="90"/>
  <c r="X70" i="90"/>
  <c r="X67" i="90"/>
  <c r="X92" i="90"/>
  <c r="X41" i="90"/>
  <c r="X76" i="90"/>
  <c r="V29" i="90"/>
  <c r="X40" i="90"/>
  <c r="X97" i="90"/>
  <c r="X65" i="90"/>
  <c r="X86" i="90"/>
  <c r="X71" i="90"/>
  <c r="X80" i="90"/>
  <c r="X21" i="90"/>
  <c r="X44" i="90"/>
  <c r="X43" i="90"/>
  <c r="X33" i="90"/>
  <c r="X75" i="90"/>
  <c r="X84" i="90"/>
  <c r="X49" i="90"/>
  <c r="X35" i="90"/>
  <c r="X46" i="90"/>
  <c r="Y22" i="89"/>
  <c r="G16" i="89"/>
  <c r="G14" i="89"/>
  <c r="G17" i="89"/>
  <c r="T24" i="89"/>
  <c r="T27" i="89" s="1"/>
  <c r="T22" i="89"/>
  <c r="L24" i="89"/>
  <c r="L22" i="89"/>
  <c r="R24" i="89"/>
  <c r="R27" i="89" s="1"/>
  <c r="R22" i="89"/>
  <c r="J24" i="89"/>
  <c r="J27" i="89" s="1"/>
  <c r="J22" i="89"/>
  <c r="G18" i="89"/>
  <c r="Z24" i="89"/>
  <c r="Z27" i="89" s="1"/>
  <c r="G15" i="89"/>
  <c r="Q28" i="89"/>
  <c r="Q27" i="89"/>
  <c r="W24" i="89"/>
  <c r="W22" i="89"/>
  <c r="M24" i="89"/>
  <c r="M22" i="89"/>
  <c r="E24" i="89"/>
  <c r="E8" i="89"/>
  <c r="O24" i="89"/>
  <c r="O22" i="89"/>
  <c r="C8" i="89"/>
  <c r="C24" i="89"/>
  <c r="V24" i="89"/>
  <c r="V22" i="89"/>
  <c r="L27" i="89"/>
  <c r="L28" i="89"/>
  <c r="D8" i="89"/>
  <c r="D24" i="89"/>
  <c r="X24" i="89"/>
  <c r="X22" i="89"/>
  <c r="S28" i="89"/>
  <c r="S27" i="89"/>
  <c r="Y28" i="89"/>
  <c r="Y27" i="89"/>
  <c r="AA28" i="89"/>
  <c r="AA27" i="89"/>
  <c r="U24" i="89"/>
  <c r="U22" i="89"/>
  <c r="P22" i="89"/>
  <c r="P24" i="89"/>
  <c r="N24" i="89"/>
  <c r="N22" i="89"/>
  <c r="H22" i="89"/>
  <c r="K28" i="89"/>
  <c r="K27" i="89"/>
  <c r="I28" i="89"/>
  <c r="I27" i="89"/>
  <c r="D8" i="88"/>
  <c r="D24" i="88"/>
  <c r="CI20" i="83"/>
  <c r="CJ22" i="83"/>
  <c r="CB22" i="83"/>
  <c r="BT22" i="83"/>
  <c r="BL22" i="83"/>
  <c r="BD22" i="83"/>
  <c r="AV22" i="83"/>
  <c r="AN22" i="83"/>
  <c r="AF22" i="83"/>
  <c r="X22" i="83"/>
  <c r="P22" i="83"/>
  <c r="H22" i="83"/>
  <c r="AE20" i="83"/>
  <c r="AX21" i="83"/>
  <c r="R21" i="83"/>
  <c r="BF21" i="83"/>
  <c r="AM22" i="83"/>
  <c r="CH21" i="83"/>
  <c r="BZ21" i="83"/>
  <c r="BR21" i="83"/>
  <c r="BJ21" i="83"/>
  <c r="BB21" i="83"/>
  <c r="AT21" i="83"/>
  <c r="AL21" i="83"/>
  <c r="AD21" i="83"/>
  <c r="V21" i="83"/>
  <c r="N21" i="83"/>
  <c r="BJ20" i="83"/>
  <c r="CL21" i="83"/>
  <c r="AP21" i="83"/>
  <c r="V22" i="83"/>
  <c r="BN21" i="83"/>
  <c r="J21" i="83"/>
  <c r="B38" i="75"/>
  <c r="CG20" i="83"/>
  <c r="CK21" i="83"/>
  <c r="CC21" i="83"/>
  <c r="BU21" i="83"/>
  <c r="BM21" i="83"/>
  <c r="BE21" i="83"/>
  <c r="AW21" i="83"/>
  <c r="AO21" i="83"/>
  <c r="AG21" i="83"/>
  <c r="Y21" i="83"/>
  <c r="Q21" i="83"/>
  <c r="I21" i="83"/>
  <c r="BB20" i="83"/>
  <c r="AH21" i="83"/>
  <c r="BR22" i="83"/>
  <c r="N22" i="83"/>
  <c r="CI21" i="83"/>
  <c r="CA21" i="83"/>
  <c r="BS21" i="83"/>
  <c r="BK21" i="83"/>
  <c r="BC21" i="83"/>
  <c r="AU21" i="83"/>
  <c r="AM21" i="83"/>
  <c r="AE21" i="83"/>
  <c r="W21" i="83"/>
  <c r="O21" i="83"/>
  <c r="BC20" i="83"/>
  <c r="W20" i="83"/>
  <c r="CA20" i="83"/>
  <c r="CG21" i="83"/>
  <c r="CG22" i="83"/>
  <c r="BY22" i="83"/>
  <c r="BY21" i="83"/>
  <c r="BQ21" i="83"/>
  <c r="BQ20" i="83"/>
  <c r="BQ22" i="83"/>
  <c r="BI22" i="83"/>
  <c r="BI21" i="83"/>
  <c r="BI20" i="83"/>
  <c r="BA20" i="83"/>
  <c r="BA21" i="83"/>
  <c r="BA22" i="83"/>
  <c r="AS22" i="83"/>
  <c r="AS21" i="83"/>
  <c r="AS20" i="83"/>
  <c r="AK21" i="83"/>
  <c r="AK20" i="83"/>
  <c r="AK22" i="83"/>
  <c r="AC21" i="83"/>
  <c r="AC22" i="83"/>
  <c r="AC20" i="83"/>
  <c r="U22" i="83"/>
  <c r="U20" i="83"/>
  <c r="U21" i="83"/>
  <c r="M21" i="83"/>
  <c r="M22" i="83"/>
  <c r="M20" i="83"/>
  <c r="AU20" i="83"/>
  <c r="O20" i="83"/>
  <c r="BP21" i="83"/>
  <c r="BP22" i="83"/>
  <c r="BP20" i="83"/>
  <c r="AZ21" i="83"/>
  <c r="AZ22" i="83"/>
  <c r="AZ20" i="83"/>
  <c r="AJ21" i="83"/>
  <c r="AJ22" i="83"/>
  <c r="AJ20" i="83"/>
  <c r="T21" i="83"/>
  <c r="T22" i="83"/>
  <c r="T20" i="83"/>
  <c r="BY20" i="83"/>
  <c r="CF21" i="83"/>
  <c r="CF22" i="83"/>
  <c r="CF20" i="83"/>
  <c r="BX21" i="83"/>
  <c r="BX22" i="83"/>
  <c r="BX20" i="83"/>
  <c r="BH21" i="83"/>
  <c r="BH22" i="83"/>
  <c r="BH20" i="83"/>
  <c r="AR21" i="83"/>
  <c r="AR22" i="83"/>
  <c r="AR20" i="83"/>
  <c r="AB21" i="83"/>
  <c r="AB22" i="83"/>
  <c r="AB20" i="83"/>
  <c r="L21" i="83"/>
  <c r="L22" i="83"/>
  <c r="L20" i="83"/>
  <c r="G22" i="83"/>
  <c r="G20" i="83"/>
  <c r="CE22" i="83"/>
  <c r="CE20" i="83"/>
  <c r="BW22" i="83"/>
  <c r="BW20" i="83"/>
  <c r="BO22" i="83"/>
  <c r="BO20" i="83"/>
  <c r="BG22" i="83"/>
  <c r="BG20" i="83"/>
  <c r="AY22" i="83"/>
  <c r="AY20" i="83"/>
  <c r="AQ22" i="83"/>
  <c r="AQ20" i="83"/>
  <c r="AI22" i="83"/>
  <c r="AI20" i="83"/>
  <c r="AA22" i="83"/>
  <c r="AA20" i="83"/>
  <c r="S22" i="83"/>
  <c r="S20" i="83"/>
  <c r="K22" i="83"/>
  <c r="K20" i="83"/>
  <c r="G21" i="83"/>
  <c r="BG21" i="83"/>
  <c r="AA21" i="83"/>
  <c r="CJ21" i="83"/>
  <c r="CB21" i="83"/>
  <c r="BT21" i="83"/>
  <c r="BL21" i="83"/>
  <c r="BD21" i="83"/>
  <c r="AV21" i="83"/>
  <c r="AN21" i="83"/>
  <c r="AF21" i="83"/>
  <c r="X21" i="83"/>
  <c r="P21" i="83"/>
  <c r="H21" i="83"/>
  <c r="CL20" i="83"/>
  <c r="CD20" i="83"/>
  <c r="BV20" i="83"/>
  <c r="BN20" i="83"/>
  <c r="BF20" i="83"/>
  <c r="AX20" i="83"/>
  <c r="AP20" i="83"/>
  <c r="AH20" i="83"/>
  <c r="Z20" i="83"/>
  <c r="R20" i="83"/>
  <c r="J20" i="83"/>
  <c r="CK20" i="83"/>
  <c r="CC20" i="83"/>
  <c r="BU20" i="83"/>
  <c r="BM20" i="83"/>
  <c r="BE20" i="83"/>
  <c r="AW20" i="83"/>
  <c r="AO20" i="83"/>
  <c r="AG20" i="83"/>
  <c r="Y20" i="83"/>
  <c r="Q20" i="83"/>
  <c r="I20" i="83"/>
  <c r="CJ20" i="83"/>
  <c r="CB20" i="83"/>
  <c r="BT20" i="83"/>
  <c r="BL20" i="83"/>
  <c r="BD20" i="83"/>
  <c r="AV20" i="83"/>
  <c r="AN20" i="83"/>
  <c r="AF20" i="83"/>
  <c r="X20" i="83"/>
  <c r="P20" i="83"/>
  <c r="H20" i="83"/>
  <c r="F24" i="87"/>
  <c r="F8" i="87"/>
  <c r="C7" i="87"/>
  <c r="D7" i="87"/>
  <c r="G8" i="87"/>
  <c r="E7" i="87"/>
  <c r="N14" i="82"/>
  <c r="Q16" i="84"/>
  <c r="T14" i="82"/>
  <c r="L14" i="82"/>
  <c r="W16" i="84"/>
  <c r="O16" i="84"/>
  <c r="E56" i="86"/>
  <c r="E54" i="86" s="1"/>
  <c r="V14" i="82"/>
  <c r="Y16" i="84"/>
  <c r="I16" i="84"/>
  <c r="U14" i="82"/>
  <c r="M14" i="82"/>
  <c r="X16" i="84"/>
  <c r="P16" i="84"/>
  <c r="E90" i="86"/>
  <c r="E89" i="86" s="1"/>
  <c r="H14" i="82"/>
  <c r="S14" i="82"/>
  <c r="K14" i="82"/>
  <c r="V16" i="84"/>
  <c r="N16" i="84"/>
  <c r="E37" i="86"/>
  <c r="Z16" i="84"/>
  <c r="U16" i="84"/>
  <c r="O14" i="82"/>
  <c r="J16" i="84"/>
  <c r="R14" i="82"/>
  <c r="M16" i="84"/>
  <c r="Y14" i="82"/>
  <c r="Q14" i="82"/>
  <c r="I14" i="82"/>
  <c r="T16" i="84"/>
  <c r="L16" i="84"/>
  <c r="W14" i="82"/>
  <c r="R16" i="84"/>
  <c r="Z14" i="82"/>
  <c r="J14" i="82"/>
  <c r="X14" i="82"/>
  <c r="P14" i="82"/>
  <c r="H16" i="84"/>
  <c r="S16" i="84"/>
  <c r="K16" i="84"/>
  <c r="E45" i="86"/>
  <c r="F45" i="86"/>
  <c r="E24" i="86"/>
  <c r="F64" i="86"/>
  <c r="G64" i="86" s="1"/>
  <c r="H64" i="86" s="1"/>
  <c r="E35" i="86"/>
  <c r="E47" i="86"/>
  <c r="F47" i="86" s="1"/>
  <c r="G47" i="86" s="1"/>
  <c r="L48" i="86"/>
  <c r="E95" i="86"/>
  <c r="H24" i="89" l="1"/>
  <c r="H29" i="89" s="1"/>
  <c r="J28" i="89"/>
  <c r="G33" i="89"/>
  <c r="R28" i="89"/>
  <c r="Z28" i="89"/>
  <c r="T28" i="89"/>
  <c r="N27" i="89"/>
  <c r="N28" i="89"/>
  <c r="U27" i="89"/>
  <c r="U28" i="89"/>
  <c r="X28" i="89"/>
  <c r="X27" i="89"/>
  <c r="V27" i="89"/>
  <c r="V28" i="89"/>
  <c r="O27" i="89"/>
  <c r="O28" i="89"/>
  <c r="W27" i="89"/>
  <c r="W28" i="89"/>
  <c r="M27" i="89"/>
  <c r="M28" i="89"/>
  <c r="P28" i="89"/>
  <c r="P27" i="89"/>
  <c r="I64" i="86"/>
  <c r="E24" i="87"/>
  <c r="E8" i="87"/>
  <c r="D24" i="87"/>
  <c r="D8" i="87"/>
  <c r="C8" i="87"/>
  <c r="C24" i="87"/>
  <c r="E44" i="86"/>
  <c r="E59" i="86" s="1"/>
  <c r="E57" i="86" s="1"/>
  <c r="E60" i="86" s="1"/>
  <c r="F24" i="86"/>
  <c r="G24" i="86" s="1"/>
  <c r="H24" i="86" s="1"/>
  <c r="I24" i="86" s="1"/>
  <c r="J24" i="86" s="1"/>
  <c r="K24" i="86" s="1"/>
  <c r="L24" i="86" s="1"/>
  <c r="M24" i="86" s="1"/>
  <c r="N24" i="86" s="1"/>
  <c r="O24" i="86" s="1"/>
  <c r="P24" i="86" s="1"/>
  <c r="Q24" i="86" s="1"/>
  <c r="R24" i="86" s="1"/>
  <c r="S24" i="86" s="1"/>
  <c r="T24" i="86" s="1"/>
  <c r="U24" i="86" s="1"/>
  <c r="V24" i="86" s="1"/>
  <c r="W24" i="86" s="1"/>
  <c r="X24" i="86" s="1"/>
  <c r="E23" i="86"/>
  <c r="E40" i="86" s="1"/>
  <c r="E38" i="86" s="1"/>
  <c r="E41" i="86" s="1"/>
  <c r="E96" i="86"/>
  <c r="E94" i="86" s="1"/>
  <c r="E83" i="86" s="1"/>
  <c r="E99" i="86" s="1"/>
  <c r="E97" i="86" s="1"/>
  <c r="E100" i="86" s="1"/>
  <c r="M48" i="86"/>
  <c r="G45" i="86"/>
  <c r="H47" i="86"/>
  <c r="F3" i="86"/>
  <c r="G3" i="86" s="1"/>
  <c r="H3" i="86" s="1"/>
  <c r="I3" i="86" s="1"/>
  <c r="J3" i="86" s="1"/>
  <c r="K3" i="86" s="1"/>
  <c r="L3" i="86" s="1"/>
  <c r="M3" i="86" s="1"/>
  <c r="N3" i="86" s="1"/>
  <c r="O3" i="86" s="1"/>
  <c r="P3" i="86" s="1"/>
  <c r="Q3" i="86" s="1"/>
  <c r="R3" i="86" s="1"/>
  <c r="S3" i="86" s="1"/>
  <c r="T3" i="86" s="1"/>
  <c r="U3" i="86" s="1"/>
  <c r="V3" i="86" s="1"/>
  <c r="W3" i="86" s="1"/>
  <c r="X3" i="86" s="1"/>
  <c r="H28" i="89" l="1"/>
  <c r="H27" i="89"/>
  <c r="H38" i="89"/>
  <c r="H40" i="89" s="1"/>
  <c r="I29" i="89"/>
  <c r="H37" i="89"/>
  <c r="H39" i="89" s="1"/>
  <c r="G32" i="89"/>
  <c r="J64" i="86"/>
  <c r="H45" i="86"/>
  <c r="I47" i="86"/>
  <c r="N48" i="86"/>
  <c r="I38" i="89" l="1"/>
  <c r="I40" i="89" s="1"/>
  <c r="I37" i="89"/>
  <c r="I39" i="89" s="1"/>
  <c r="J29" i="89"/>
  <c r="K64" i="86"/>
  <c r="O48" i="86"/>
  <c r="I45" i="86"/>
  <c r="J47" i="86"/>
  <c r="J38" i="89" l="1"/>
  <c r="J40" i="89" s="1"/>
  <c r="K29" i="89"/>
  <c r="J37" i="89"/>
  <c r="J39" i="89" s="1"/>
  <c r="L64" i="86"/>
  <c r="P48" i="86"/>
  <c r="J45" i="86"/>
  <c r="K47" i="86"/>
  <c r="K38" i="89" l="1"/>
  <c r="K40" i="89" s="1"/>
  <c r="L29" i="89"/>
  <c r="K37" i="89"/>
  <c r="K39" i="89" s="1"/>
  <c r="M64" i="86"/>
  <c r="Q48" i="86"/>
  <c r="L47" i="86"/>
  <c r="K45" i="86"/>
  <c r="M29" i="89" l="1"/>
  <c r="L37" i="89"/>
  <c r="L39" i="89" s="1"/>
  <c r="L38" i="89"/>
  <c r="L40" i="89" s="1"/>
  <c r="N64" i="86"/>
  <c r="M47" i="86"/>
  <c r="L45" i="86"/>
  <c r="R48" i="86"/>
  <c r="N29" i="89" l="1"/>
  <c r="M37" i="89"/>
  <c r="M39" i="89" s="1"/>
  <c r="M38" i="89"/>
  <c r="M40" i="89" s="1"/>
  <c r="O64" i="86"/>
  <c r="S48" i="86"/>
  <c r="N47" i="86"/>
  <c r="M45" i="86"/>
  <c r="O29" i="89" l="1"/>
  <c r="N37" i="89"/>
  <c r="N39" i="89" s="1"/>
  <c r="N38" i="89"/>
  <c r="N40" i="89" s="1"/>
  <c r="P64" i="86"/>
  <c r="O47" i="86"/>
  <c r="N45" i="86"/>
  <c r="T48" i="86"/>
  <c r="O37" i="89" l="1"/>
  <c r="O39" i="89" s="1"/>
  <c r="P29" i="89"/>
  <c r="O38" i="89"/>
  <c r="O40" i="89" s="1"/>
  <c r="Q64" i="86"/>
  <c r="U48" i="86"/>
  <c r="P47" i="86"/>
  <c r="O45" i="86"/>
  <c r="P38" i="89" l="1"/>
  <c r="P40" i="89" s="1"/>
  <c r="P37" i="89"/>
  <c r="P39" i="89" s="1"/>
  <c r="Q29" i="89"/>
  <c r="R64" i="86"/>
  <c r="V48" i="86"/>
  <c r="Q47" i="86"/>
  <c r="P45" i="86"/>
  <c r="Q38" i="89" l="1"/>
  <c r="Q40" i="89" s="1"/>
  <c r="R29" i="89"/>
  <c r="Q37" i="89"/>
  <c r="Q39" i="89" s="1"/>
  <c r="S64" i="86"/>
  <c r="R47" i="86"/>
  <c r="Q45" i="86"/>
  <c r="W48" i="86"/>
  <c r="R38" i="89" l="1"/>
  <c r="R40" i="89" s="1"/>
  <c r="S29" i="89"/>
  <c r="R37" i="89"/>
  <c r="R39" i="89" s="1"/>
  <c r="T64" i="86"/>
  <c r="X48" i="86"/>
  <c r="S47" i="86"/>
  <c r="R45" i="86"/>
  <c r="S38" i="89" l="1"/>
  <c r="S40" i="89" s="1"/>
  <c r="T29" i="89"/>
  <c r="S37" i="89"/>
  <c r="S39" i="89" s="1"/>
  <c r="U64" i="86"/>
  <c r="T47" i="86"/>
  <c r="S45" i="86"/>
  <c r="Y48" i="86"/>
  <c r="U29" i="89" l="1"/>
  <c r="T37" i="89"/>
  <c r="T39" i="89" s="1"/>
  <c r="T38" i="89"/>
  <c r="T40" i="89" s="1"/>
  <c r="V64" i="86"/>
  <c r="Z48" i="86"/>
  <c r="U47" i="86"/>
  <c r="T45" i="86"/>
  <c r="V29" i="89" l="1"/>
  <c r="U37" i="89"/>
  <c r="U39" i="89" s="1"/>
  <c r="U38" i="89"/>
  <c r="U40" i="89" s="1"/>
  <c r="W64" i="86"/>
  <c r="V47" i="86"/>
  <c r="U45" i="86"/>
  <c r="AA48" i="86"/>
  <c r="W29" i="89" l="1"/>
  <c r="V37" i="89"/>
  <c r="V39" i="89" s="1"/>
  <c r="V38" i="89"/>
  <c r="V40" i="89" s="1"/>
  <c r="X64" i="86"/>
  <c r="AB48" i="86"/>
  <c r="W47" i="86"/>
  <c r="V45" i="86"/>
  <c r="W37" i="89" l="1"/>
  <c r="W39" i="89" s="1"/>
  <c r="W38" i="89"/>
  <c r="W40" i="89" s="1"/>
  <c r="X29" i="89"/>
  <c r="X47" i="86"/>
  <c r="W45" i="86"/>
  <c r="AC48" i="86"/>
  <c r="X38" i="89" l="1"/>
  <c r="X40" i="89" s="1"/>
  <c r="X37" i="89"/>
  <c r="X39" i="89" s="1"/>
  <c r="Y29" i="89"/>
  <c r="AD48" i="86"/>
  <c r="Y47" i="86"/>
  <c r="X45" i="86"/>
  <c r="Y38" i="89" l="1"/>
  <c r="Y40" i="89" s="1"/>
  <c r="Y37" i="89"/>
  <c r="Y39" i="89" s="1"/>
  <c r="Z29" i="89"/>
  <c r="Z47" i="86"/>
  <c r="Y45" i="86"/>
  <c r="Z38" i="89" l="1"/>
  <c r="Z40" i="89" s="1"/>
  <c r="AA29" i="89"/>
  <c r="Z37" i="89"/>
  <c r="Z39" i="89" s="1"/>
  <c r="AA47" i="86"/>
  <c r="Z45" i="86"/>
  <c r="AA38" i="89" l="1"/>
  <c r="AA40" i="89" s="1"/>
  <c r="G35" i="89" s="1"/>
  <c r="AA37" i="89"/>
  <c r="AA39" i="89" s="1"/>
  <c r="G34" i="89" s="1"/>
  <c r="AB47" i="86"/>
  <c r="AA45" i="86"/>
  <c r="AC47" i="86" l="1"/>
  <c r="AB45" i="86"/>
  <c r="AD47" i="86" l="1"/>
  <c r="AD45" i="86" s="1"/>
  <c r="AC45" i="86"/>
  <c r="H16" i="73" l="1"/>
  <c r="I16" i="73"/>
  <c r="J16" i="73"/>
  <c r="K16" i="73"/>
  <c r="L16" i="73"/>
  <c r="M16" i="73"/>
  <c r="N16" i="73"/>
  <c r="O16" i="73"/>
  <c r="P16" i="73"/>
  <c r="Q16" i="73"/>
  <c r="R16" i="73"/>
  <c r="S16" i="73"/>
  <c r="T16" i="73"/>
  <c r="U16" i="73"/>
  <c r="V16" i="73"/>
  <c r="W16" i="73"/>
  <c r="X16" i="73"/>
  <c r="Y16" i="73"/>
  <c r="Z16" i="73"/>
  <c r="AA16" i="73"/>
  <c r="AB16" i="73"/>
  <c r="AC16" i="73"/>
  <c r="AD16" i="73"/>
  <c r="AE16" i="73"/>
  <c r="AF16" i="73"/>
  <c r="AG16" i="73"/>
  <c r="AH16" i="73"/>
  <c r="AI16" i="73"/>
  <c r="AJ16" i="73"/>
  <c r="AK16" i="73"/>
  <c r="AL16" i="73"/>
  <c r="AM16" i="73"/>
  <c r="AN16" i="73"/>
  <c r="AO16" i="73"/>
  <c r="AP16" i="73"/>
  <c r="AQ16" i="73"/>
  <c r="AR16" i="73"/>
  <c r="AS16" i="73"/>
  <c r="AT16" i="73"/>
  <c r="AU16" i="73"/>
  <c r="AV16" i="73"/>
  <c r="AW16" i="73"/>
  <c r="AX16" i="73"/>
  <c r="AY16" i="73"/>
  <c r="AZ16" i="73"/>
  <c r="BA16" i="73"/>
  <c r="BB16" i="73"/>
  <c r="BC16" i="73"/>
  <c r="BD16" i="73"/>
  <c r="BE16" i="73"/>
  <c r="BF16" i="73"/>
  <c r="BG16" i="73"/>
  <c r="BH16" i="73"/>
  <c r="BI16" i="73"/>
  <c r="BJ16" i="73"/>
  <c r="BK16" i="73"/>
  <c r="BL16" i="73"/>
  <c r="BM16" i="73"/>
  <c r="BN16" i="73"/>
  <c r="BO16" i="73"/>
  <c r="BP16" i="73"/>
  <c r="BQ16" i="73"/>
  <c r="BR16" i="73"/>
  <c r="BS16" i="73"/>
  <c r="BT16" i="73"/>
  <c r="BU16" i="73"/>
  <c r="BV16" i="73"/>
  <c r="BW16" i="73"/>
  <c r="BX16" i="73"/>
  <c r="BY16" i="73"/>
  <c r="BZ16" i="73"/>
  <c r="CA16" i="73"/>
  <c r="CB16" i="73"/>
  <c r="CC16" i="73"/>
  <c r="CD16" i="73"/>
  <c r="CE16" i="73"/>
  <c r="CF16" i="73"/>
  <c r="CG16" i="73"/>
  <c r="CH16" i="73"/>
  <c r="CI16" i="73"/>
  <c r="CJ16" i="73"/>
  <c r="CK16" i="73"/>
  <c r="CL16" i="73"/>
  <c r="G16" i="73"/>
  <c r="H15" i="73"/>
  <c r="I15" i="73"/>
  <c r="J15" i="73"/>
  <c r="K15" i="73"/>
  <c r="L15" i="73"/>
  <c r="M15" i="73"/>
  <c r="N15" i="73"/>
  <c r="O15" i="73"/>
  <c r="P15" i="73"/>
  <c r="Q15" i="73"/>
  <c r="R15" i="73"/>
  <c r="S15" i="73"/>
  <c r="T15" i="73"/>
  <c r="U15" i="73"/>
  <c r="V15" i="73"/>
  <c r="W15" i="73"/>
  <c r="X15" i="73"/>
  <c r="Y15" i="73"/>
  <c r="Z15" i="73"/>
  <c r="AA15" i="73"/>
  <c r="AB15" i="73"/>
  <c r="AC15" i="73"/>
  <c r="AD15" i="73"/>
  <c r="AE15" i="73"/>
  <c r="AF15" i="73"/>
  <c r="AG15" i="73"/>
  <c r="AH15" i="73"/>
  <c r="AI15" i="73"/>
  <c r="AJ15" i="73"/>
  <c r="AK15" i="73"/>
  <c r="AL15" i="73"/>
  <c r="AM15" i="73"/>
  <c r="AN15" i="73"/>
  <c r="AO15" i="73"/>
  <c r="AP15" i="73"/>
  <c r="AQ15" i="73"/>
  <c r="AR15" i="73"/>
  <c r="AS15" i="73"/>
  <c r="AT15" i="73"/>
  <c r="AU15" i="73"/>
  <c r="AV15" i="73"/>
  <c r="AW15" i="73"/>
  <c r="AX15" i="73"/>
  <c r="AY15" i="73"/>
  <c r="AZ15" i="73"/>
  <c r="BA15" i="73"/>
  <c r="BB15" i="73"/>
  <c r="BC15" i="73"/>
  <c r="BD15" i="73"/>
  <c r="BE15" i="73"/>
  <c r="BF15" i="73"/>
  <c r="BG15" i="73"/>
  <c r="BH15" i="73"/>
  <c r="BI15" i="73"/>
  <c r="BJ15" i="73"/>
  <c r="BK15" i="73"/>
  <c r="BL15" i="73"/>
  <c r="BM15" i="73"/>
  <c r="BN15" i="73"/>
  <c r="BO15" i="73"/>
  <c r="BP15" i="73"/>
  <c r="BQ15" i="73"/>
  <c r="BR15" i="73"/>
  <c r="BS15" i="73"/>
  <c r="BT15" i="73"/>
  <c r="BU15" i="73"/>
  <c r="BV15" i="73"/>
  <c r="BW15" i="73"/>
  <c r="BX15" i="73"/>
  <c r="BY15" i="73"/>
  <c r="BZ15" i="73"/>
  <c r="CA15" i="73"/>
  <c r="CB15" i="73"/>
  <c r="CC15" i="73"/>
  <c r="CD15" i="73"/>
  <c r="CE15" i="73"/>
  <c r="CF15" i="73"/>
  <c r="CG15" i="73"/>
  <c r="CH15" i="73"/>
  <c r="CI15" i="73"/>
  <c r="CJ15" i="73"/>
  <c r="CK15" i="73"/>
  <c r="CL15" i="73"/>
  <c r="G15" i="73"/>
  <c r="H14" i="73"/>
  <c r="I14" i="73"/>
  <c r="J14" i="73"/>
  <c r="K14" i="73"/>
  <c r="L14" i="73"/>
  <c r="M14" i="73"/>
  <c r="N14" i="73"/>
  <c r="O14" i="73"/>
  <c r="P14" i="73"/>
  <c r="Q14" i="73"/>
  <c r="R14" i="73"/>
  <c r="S14" i="73"/>
  <c r="T14" i="73"/>
  <c r="U14" i="73"/>
  <c r="V14" i="73"/>
  <c r="W14" i="73"/>
  <c r="X14" i="73"/>
  <c r="Y14" i="73"/>
  <c r="Z14" i="73"/>
  <c r="AA14" i="73"/>
  <c r="AB14" i="73"/>
  <c r="AC14" i="73"/>
  <c r="AD14" i="73"/>
  <c r="AE14" i="73"/>
  <c r="AF14" i="73"/>
  <c r="AG14" i="73"/>
  <c r="AH14" i="73"/>
  <c r="AI14" i="73"/>
  <c r="AJ14" i="73"/>
  <c r="AK14" i="73"/>
  <c r="AL14" i="73"/>
  <c r="AM14" i="73"/>
  <c r="AN14" i="73"/>
  <c r="AO14" i="73"/>
  <c r="AP14" i="73"/>
  <c r="AQ14" i="73"/>
  <c r="AR14" i="73"/>
  <c r="AS14" i="73"/>
  <c r="AT14" i="73"/>
  <c r="AU14" i="73"/>
  <c r="AV14" i="73"/>
  <c r="AW14" i="73"/>
  <c r="AX14" i="73"/>
  <c r="AY14" i="73"/>
  <c r="AZ14" i="73"/>
  <c r="BA14" i="73"/>
  <c r="BB14" i="73"/>
  <c r="BC14" i="73"/>
  <c r="BD14" i="73"/>
  <c r="BE14" i="73"/>
  <c r="BF14" i="73"/>
  <c r="BG14" i="73"/>
  <c r="BH14" i="73"/>
  <c r="BI14" i="73"/>
  <c r="BJ14" i="73"/>
  <c r="BK14" i="73"/>
  <c r="BL14" i="73"/>
  <c r="BM14" i="73"/>
  <c r="BN14" i="73"/>
  <c r="BO14" i="73"/>
  <c r="BP14" i="73"/>
  <c r="BQ14" i="73"/>
  <c r="BR14" i="73"/>
  <c r="BS14" i="73"/>
  <c r="BT14" i="73"/>
  <c r="BU14" i="73"/>
  <c r="BV14" i="73"/>
  <c r="BW14" i="73"/>
  <c r="BX14" i="73"/>
  <c r="BY14" i="73"/>
  <c r="BZ14" i="73"/>
  <c r="CA14" i="73"/>
  <c r="CB14" i="73"/>
  <c r="CC14" i="73"/>
  <c r="CD14" i="73"/>
  <c r="CE14" i="73"/>
  <c r="CF14" i="73"/>
  <c r="CG14" i="73"/>
  <c r="CH14" i="73"/>
  <c r="CI14" i="73"/>
  <c r="CJ14" i="73"/>
  <c r="CK14" i="73"/>
  <c r="CL14" i="73"/>
  <c r="G14" i="73"/>
  <c r="H13" i="73"/>
  <c r="I13" i="73"/>
  <c r="J13" i="73"/>
  <c r="K13" i="73"/>
  <c r="L13" i="73"/>
  <c r="M13" i="73"/>
  <c r="N13" i="73"/>
  <c r="O13" i="73"/>
  <c r="P13" i="73"/>
  <c r="Q13" i="73"/>
  <c r="R13" i="73"/>
  <c r="S13" i="73"/>
  <c r="T13" i="73"/>
  <c r="U13" i="73"/>
  <c r="V13" i="73"/>
  <c r="W13" i="73"/>
  <c r="X13" i="73"/>
  <c r="Y13" i="73"/>
  <c r="Z13" i="73"/>
  <c r="AA13" i="73"/>
  <c r="AB13" i="73"/>
  <c r="AC13" i="73"/>
  <c r="AD13" i="73"/>
  <c r="AE13" i="73"/>
  <c r="AF13" i="73"/>
  <c r="AG13" i="73"/>
  <c r="AH13" i="73"/>
  <c r="AI13" i="73"/>
  <c r="AJ13" i="73"/>
  <c r="AK13" i="73"/>
  <c r="AL13" i="73"/>
  <c r="AM13" i="73"/>
  <c r="AN13" i="73"/>
  <c r="AO13" i="73"/>
  <c r="AP13" i="73"/>
  <c r="AQ13" i="73"/>
  <c r="AR13" i="73"/>
  <c r="AS13" i="73"/>
  <c r="AT13" i="73"/>
  <c r="AU13" i="73"/>
  <c r="AV13" i="73"/>
  <c r="AW13" i="73"/>
  <c r="AX13" i="73"/>
  <c r="AY13" i="73"/>
  <c r="AZ13" i="73"/>
  <c r="BA13" i="73"/>
  <c r="BB13" i="73"/>
  <c r="BC13" i="73"/>
  <c r="BD13" i="73"/>
  <c r="BE13" i="73"/>
  <c r="BF13" i="73"/>
  <c r="BG13" i="73"/>
  <c r="BH13" i="73"/>
  <c r="BI13" i="73"/>
  <c r="BJ13" i="73"/>
  <c r="BK13" i="73"/>
  <c r="BL13" i="73"/>
  <c r="BM13" i="73"/>
  <c r="BN13" i="73"/>
  <c r="BO13" i="73"/>
  <c r="BP13" i="73"/>
  <c r="BQ13" i="73"/>
  <c r="BR13" i="73"/>
  <c r="BS13" i="73"/>
  <c r="BT13" i="73"/>
  <c r="BU13" i="73"/>
  <c r="BV13" i="73"/>
  <c r="BW13" i="73"/>
  <c r="BX13" i="73"/>
  <c r="BY13" i="73"/>
  <c r="BZ13" i="73"/>
  <c r="CA13" i="73"/>
  <c r="CB13" i="73"/>
  <c r="CC13" i="73"/>
  <c r="CD13" i="73"/>
  <c r="CE13" i="73"/>
  <c r="CF13" i="73"/>
  <c r="CG13" i="73"/>
  <c r="CH13" i="73"/>
  <c r="CI13" i="73"/>
  <c r="CJ13" i="73"/>
  <c r="CK13" i="73"/>
  <c r="CL13" i="73"/>
  <c r="G13" i="73"/>
  <c r="G9" i="84"/>
  <c r="G9" i="82"/>
  <c r="G11" i="82"/>
  <c r="D54" i="75" l="1"/>
  <c r="B54" i="75"/>
  <c r="A1" i="80"/>
  <c r="Z58" i="84"/>
  <c r="Y58" i="84"/>
  <c r="X58" i="84"/>
  <c r="W58" i="84"/>
  <c r="V58" i="84"/>
  <c r="U58" i="84"/>
  <c r="T58" i="84"/>
  <c r="S58" i="84"/>
  <c r="R58" i="84"/>
  <c r="Q58" i="84"/>
  <c r="P58" i="84"/>
  <c r="O58" i="84"/>
  <c r="N58" i="84"/>
  <c r="M58" i="84"/>
  <c r="L58" i="84"/>
  <c r="K58" i="84"/>
  <c r="J58" i="84"/>
  <c r="I58" i="84"/>
  <c r="H58" i="84"/>
  <c r="Z56" i="84"/>
  <c r="Y56" i="84"/>
  <c r="X56" i="84"/>
  <c r="W56" i="84"/>
  <c r="V56" i="84"/>
  <c r="U56" i="84"/>
  <c r="T56" i="84"/>
  <c r="S56" i="84"/>
  <c r="R56" i="84"/>
  <c r="Q56" i="84"/>
  <c r="P56" i="84"/>
  <c r="O56" i="84"/>
  <c r="N56" i="84"/>
  <c r="M56" i="84"/>
  <c r="L56" i="84"/>
  <c r="K56" i="84"/>
  <c r="J56" i="84"/>
  <c r="I56" i="84"/>
  <c r="H56" i="84"/>
  <c r="Z55" i="84"/>
  <c r="Z60" i="84" s="1"/>
  <c r="Y55" i="84"/>
  <c r="X55" i="84"/>
  <c r="W55" i="84"/>
  <c r="V55" i="84"/>
  <c r="U55" i="84"/>
  <c r="U60" i="84" s="1"/>
  <c r="T55" i="84"/>
  <c r="T60" i="84" s="1"/>
  <c r="S55" i="84"/>
  <c r="R55" i="84"/>
  <c r="R60" i="84" s="1"/>
  <c r="Q55" i="84"/>
  <c r="P55" i="84"/>
  <c r="O55" i="84"/>
  <c r="N55" i="84"/>
  <c r="M55" i="84"/>
  <c r="M60" i="84" s="1"/>
  <c r="L55" i="84"/>
  <c r="L60" i="84" s="1"/>
  <c r="K55" i="84"/>
  <c r="J55" i="84"/>
  <c r="J60" i="84" s="1"/>
  <c r="I55" i="84"/>
  <c r="H55" i="84"/>
  <c r="H33" i="84"/>
  <c r="I33" i="84" s="1"/>
  <c r="J33" i="84" s="1"/>
  <c r="K33" i="84" s="1"/>
  <c r="L33" i="84" s="1"/>
  <c r="M33" i="84" s="1"/>
  <c r="N33" i="84" s="1"/>
  <c r="O33" i="84" s="1"/>
  <c r="P33" i="84" s="1"/>
  <c r="Q33" i="84" s="1"/>
  <c r="R33" i="84" s="1"/>
  <c r="S33" i="84" s="1"/>
  <c r="T33" i="84" s="1"/>
  <c r="U33" i="84" s="1"/>
  <c r="V33" i="84" s="1"/>
  <c r="W33" i="84" s="1"/>
  <c r="X33" i="84" s="1"/>
  <c r="Y33" i="84" s="1"/>
  <c r="Z33" i="84" s="1"/>
  <c r="Z54" i="84"/>
  <c r="W54" i="84"/>
  <c r="V54" i="84"/>
  <c r="U54" i="84"/>
  <c r="T54" i="84"/>
  <c r="R54" i="84"/>
  <c r="O54" i="84"/>
  <c r="N54" i="84"/>
  <c r="M54" i="84"/>
  <c r="L54" i="84"/>
  <c r="J54" i="84"/>
  <c r="F9" i="84"/>
  <c r="E9" i="84"/>
  <c r="D9" i="84"/>
  <c r="C9" i="84"/>
  <c r="G8" i="84"/>
  <c r="A1" i="84"/>
  <c r="K8" i="47"/>
  <c r="J8" i="47"/>
  <c r="CM74" i="83"/>
  <c r="CM73" i="83"/>
  <c r="CM72" i="83"/>
  <c r="CL57" i="83"/>
  <c r="CK57" i="83"/>
  <c r="CJ57" i="83"/>
  <c r="CI57" i="83"/>
  <c r="CH57" i="83"/>
  <c r="CG57" i="83"/>
  <c r="CF57" i="83"/>
  <c r="CE57" i="83"/>
  <c r="CD57" i="83"/>
  <c r="CC57" i="83"/>
  <c r="CB57" i="83"/>
  <c r="CA57" i="83"/>
  <c r="BZ57" i="83"/>
  <c r="BY57" i="83"/>
  <c r="BX57" i="83"/>
  <c r="BW57" i="83"/>
  <c r="BV57" i="83"/>
  <c r="BU57" i="83"/>
  <c r="BT57" i="83"/>
  <c r="BS57" i="83"/>
  <c r="BR57" i="83"/>
  <c r="BQ57" i="83"/>
  <c r="BP57" i="83"/>
  <c r="BO57" i="83"/>
  <c r="BN57" i="83"/>
  <c r="BM57" i="83"/>
  <c r="BL57" i="83"/>
  <c r="BK57" i="83"/>
  <c r="BJ57" i="83"/>
  <c r="BI57" i="83"/>
  <c r="BH57" i="83"/>
  <c r="BG57" i="83"/>
  <c r="BF57" i="83"/>
  <c r="BE57" i="83"/>
  <c r="BD57" i="83"/>
  <c r="BC57" i="83"/>
  <c r="BB57" i="83"/>
  <c r="BA57" i="83"/>
  <c r="AZ57" i="83"/>
  <c r="AY57" i="83"/>
  <c r="AX57" i="83"/>
  <c r="AW57" i="83"/>
  <c r="AV57" i="83"/>
  <c r="AU57" i="83"/>
  <c r="AT57" i="83"/>
  <c r="AS57" i="83"/>
  <c r="AR57" i="83"/>
  <c r="AQ57" i="83"/>
  <c r="AP57" i="83"/>
  <c r="AO57" i="83"/>
  <c r="AN57" i="83"/>
  <c r="AM57" i="83"/>
  <c r="AL57" i="83"/>
  <c r="AK57" i="83"/>
  <c r="AJ57" i="83"/>
  <c r="AI57" i="83"/>
  <c r="AH57" i="83"/>
  <c r="AG57" i="83"/>
  <c r="AF57" i="83"/>
  <c r="AE57" i="83"/>
  <c r="AD57" i="83"/>
  <c r="AC57" i="83"/>
  <c r="AB57" i="83"/>
  <c r="AA57" i="83"/>
  <c r="Z57" i="83"/>
  <c r="Y57" i="83"/>
  <c r="X57" i="83"/>
  <c r="W57" i="83"/>
  <c r="V57" i="83"/>
  <c r="U57" i="83"/>
  <c r="T57" i="83"/>
  <c r="S57" i="83"/>
  <c r="CM56" i="83"/>
  <c r="FU41" i="83"/>
  <c r="FT41" i="83"/>
  <c r="FS41" i="83"/>
  <c r="FR41" i="83"/>
  <c r="FQ41" i="83"/>
  <c r="FP41" i="83"/>
  <c r="FO41" i="83"/>
  <c r="FN41" i="83"/>
  <c r="FM41" i="83"/>
  <c r="FL41" i="83"/>
  <c r="FK41" i="83"/>
  <c r="FJ41" i="83"/>
  <c r="FI41" i="83"/>
  <c r="FH41" i="83"/>
  <c r="FG41" i="83"/>
  <c r="FF41" i="83"/>
  <c r="FE41" i="83"/>
  <c r="FD41" i="83"/>
  <c r="FC41" i="83"/>
  <c r="FB41" i="83"/>
  <c r="FA41" i="83"/>
  <c r="EZ41" i="83"/>
  <c r="EY41" i="83"/>
  <c r="EX41" i="83"/>
  <c r="EW41" i="83"/>
  <c r="EV41" i="83"/>
  <c r="EU41" i="83"/>
  <c r="ET41" i="83"/>
  <c r="ES41" i="83"/>
  <c r="ER41" i="83"/>
  <c r="EQ41" i="83"/>
  <c r="EP41" i="83"/>
  <c r="EO41" i="83"/>
  <c r="EN41" i="83"/>
  <c r="EM41" i="83"/>
  <c r="EL41" i="83"/>
  <c r="EK41" i="83"/>
  <c r="EJ41" i="83"/>
  <c r="EI41" i="83"/>
  <c r="EH41" i="83"/>
  <c r="EG41" i="83"/>
  <c r="EF41" i="83"/>
  <c r="EE41" i="83"/>
  <c r="ED41" i="83"/>
  <c r="EC41" i="83"/>
  <c r="EB41" i="83"/>
  <c r="EA41" i="83"/>
  <c r="DZ41" i="83"/>
  <c r="DY41" i="83"/>
  <c r="DX41" i="83"/>
  <c r="DW41" i="83"/>
  <c r="DV41" i="83"/>
  <c r="DU41" i="83"/>
  <c r="DT41" i="83"/>
  <c r="DS41" i="83"/>
  <c r="DR41" i="83"/>
  <c r="DQ41" i="83"/>
  <c r="DP41" i="83"/>
  <c r="DO41" i="83"/>
  <c r="DN41" i="83"/>
  <c r="DM41" i="83"/>
  <c r="DL41" i="83"/>
  <c r="DK41" i="83"/>
  <c r="DJ41" i="83"/>
  <c r="DI41" i="83"/>
  <c r="DH41" i="83"/>
  <c r="DG41" i="83"/>
  <c r="DF41" i="83"/>
  <c r="DE41" i="83"/>
  <c r="DD41" i="83"/>
  <c r="DC41" i="83"/>
  <c r="DB41" i="83"/>
  <c r="DA41" i="83"/>
  <c r="CZ41" i="83"/>
  <c r="CY41" i="83"/>
  <c r="CX41" i="83"/>
  <c r="CW41" i="83"/>
  <c r="CV41" i="83"/>
  <c r="CU41" i="83"/>
  <c r="CT41" i="83"/>
  <c r="CS41" i="83"/>
  <c r="CR41" i="83"/>
  <c r="CQ41" i="83"/>
  <c r="CP41" i="83"/>
  <c r="CO41" i="83"/>
  <c r="FV40" i="83"/>
  <c r="FV39" i="83"/>
  <c r="FV38" i="83"/>
  <c r="FV37" i="83"/>
  <c r="FV36" i="83"/>
  <c r="FV35" i="83"/>
  <c r="FV34" i="83"/>
  <c r="D33" i="83"/>
  <c r="CI29" i="83"/>
  <c r="BM26" i="83"/>
  <c r="BE26" i="83"/>
  <c r="AW26" i="83"/>
  <c r="AO26" i="83"/>
  <c r="CH25" i="83"/>
  <c r="BZ25" i="83"/>
  <c r="BR25" i="83"/>
  <c r="V25" i="83"/>
  <c r="N25" i="83"/>
  <c r="CE24" i="83"/>
  <c r="AI24" i="83"/>
  <c r="AA24" i="83"/>
  <c r="S24" i="83"/>
  <c r="F22" i="83"/>
  <c r="F21" i="83"/>
  <c r="F20" i="83"/>
  <c r="F19" i="83"/>
  <c r="F18" i="83"/>
  <c r="CL26" i="83"/>
  <c r="CK26" i="83"/>
  <c r="CF26" i="83"/>
  <c r="CE32" i="83"/>
  <c r="CD26" i="83"/>
  <c r="CC26" i="83"/>
  <c r="CB49" i="83"/>
  <c r="BY49" i="83"/>
  <c r="BX26" i="83"/>
  <c r="BW26" i="83"/>
  <c r="BV26" i="83"/>
  <c r="BU26" i="83"/>
  <c r="BP26" i="83"/>
  <c r="BO26" i="83"/>
  <c r="BN49" i="83"/>
  <c r="BL49" i="83"/>
  <c r="BH26" i="83"/>
  <c r="BG26" i="83"/>
  <c r="BF26" i="83"/>
  <c r="AZ49" i="83"/>
  <c r="AY49" i="83"/>
  <c r="AX26" i="83"/>
  <c r="AR26" i="83"/>
  <c r="AQ26" i="83"/>
  <c r="AP26" i="83"/>
  <c r="AK49" i="83"/>
  <c r="AJ26" i="83"/>
  <c r="AI49" i="83"/>
  <c r="AH26" i="83"/>
  <c r="AG26" i="83"/>
  <c r="AC26" i="83"/>
  <c r="AB26" i="83"/>
  <c r="AA26" i="83"/>
  <c r="Z26" i="83"/>
  <c r="Y26" i="83"/>
  <c r="W49" i="83"/>
  <c r="U49" i="83"/>
  <c r="T26" i="83"/>
  <c r="S26" i="83"/>
  <c r="R26" i="83"/>
  <c r="Q26" i="83"/>
  <c r="L26" i="83"/>
  <c r="K26" i="83"/>
  <c r="J49" i="83"/>
  <c r="I26" i="83"/>
  <c r="H49" i="83"/>
  <c r="CK25" i="83"/>
  <c r="CJ25" i="83"/>
  <c r="CI25" i="83"/>
  <c r="CE25" i="83"/>
  <c r="CD25" i="83"/>
  <c r="CC25" i="83"/>
  <c r="CB48" i="83"/>
  <c r="CA25" i="83"/>
  <c r="BY48" i="83"/>
  <c r="BU25" i="83"/>
  <c r="BT25" i="83"/>
  <c r="BS25" i="83"/>
  <c r="BO25" i="83"/>
  <c r="BN48" i="83"/>
  <c r="BM48" i="83"/>
  <c r="BL25" i="83"/>
  <c r="BK25" i="83"/>
  <c r="BJ25" i="83"/>
  <c r="BE25" i="83"/>
  <c r="BD25" i="83"/>
  <c r="BC48" i="83"/>
  <c r="BB25" i="83"/>
  <c r="BA48" i="83"/>
  <c r="AX48" i="83"/>
  <c r="AW25" i="83"/>
  <c r="AV25" i="83"/>
  <c r="AU25" i="83"/>
  <c r="AT25" i="83"/>
  <c r="AP48" i="83"/>
  <c r="AO48" i="83"/>
  <c r="AN25" i="83"/>
  <c r="AM48" i="83"/>
  <c r="AL25" i="83"/>
  <c r="AH25" i="83"/>
  <c r="AG25" i="83"/>
  <c r="AF31" i="83"/>
  <c r="AE48" i="83"/>
  <c r="AD25" i="83"/>
  <c r="AC48" i="83"/>
  <c r="Z48" i="83"/>
  <c r="Y25" i="83"/>
  <c r="X25" i="83"/>
  <c r="W25" i="83"/>
  <c r="S25" i="83"/>
  <c r="R48" i="83"/>
  <c r="Q48" i="83"/>
  <c r="P25" i="83"/>
  <c r="O25" i="83"/>
  <c r="M48" i="83"/>
  <c r="CM14" i="83"/>
  <c r="I25" i="83"/>
  <c r="H25" i="83"/>
  <c r="G48" i="83"/>
  <c r="CL47" i="83"/>
  <c r="CI24" i="83"/>
  <c r="CH47" i="83"/>
  <c r="CG24" i="83"/>
  <c r="CF24" i="83"/>
  <c r="CC24" i="83"/>
  <c r="CB24" i="83"/>
  <c r="CA47" i="83"/>
  <c r="BZ24" i="83"/>
  <c r="BY47" i="83"/>
  <c r="BX24" i="83"/>
  <c r="BW24" i="83"/>
  <c r="BV47" i="83"/>
  <c r="BS47" i="83"/>
  <c r="BR24" i="83"/>
  <c r="BQ24" i="83"/>
  <c r="BP24" i="83"/>
  <c r="BO24" i="83"/>
  <c r="BN47" i="83"/>
  <c r="BM47" i="83"/>
  <c r="BK24" i="83"/>
  <c r="BJ47" i="83"/>
  <c r="BI24" i="83"/>
  <c r="BH47" i="83"/>
  <c r="BG24" i="83"/>
  <c r="BD24" i="83"/>
  <c r="BC47" i="83"/>
  <c r="BB47" i="83"/>
  <c r="BA24" i="83"/>
  <c r="AZ47" i="83"/>
  <c r="AY24" i="83"/>
  <c r="AW47" i="83"/>
  <c r="AT24" i="83"/>
  <c r="AS47" i="83"/>
  <c r="AR47" i="83"/>
  <c r="AQ24" i="83"/>
  <c r="AO47" i="83"/>
  <c r="AM24" i="83"/>
  <c r="AL47" i="83"/>
  <c r="AK24" i="83"/>
  <c r="AJ24" i="83"/>
  <c r="AH47" i="83"/>
  <c r="AG47" i="83"/>
  <c r="AD47" i="83"/>
  <c r="AC24" i="83"/>
  <c r="AB47" i="83"/>
  <c r="W47" i="83"/>
  <c r="V47" i="83"/>
  <c r="U24" i="83"/>
  <c r="T47" i="83"/>
  <c r="S30" i="83"/>
  <c r="Q47" i="83"/>
  <c r="P24" i="83"/>
  <c r="N30" i="83"/>
  <c r="M47" i="83"/>
  <c r="L47" i="83"/>
  <c r="K24" i="83"/>
  <c r="I47" i="83"/>
  <c r="H24" i="83"/>
  <c r="CI46" i="83"/>
  <c r="CH46" i="83"/>
  <c r="CE46" i="83"/>
  <c r="CC46" i="83"/>
  <c r="BX46" i="83"/>
  <c r="BW46" i="83"/>
  <c r="BU46" i="83"/>
  <c r="BR46" i="83"/>
  <c r="BN46" i="83"/>
  <c r="BM46" i="83"/>
  <c r="BJ46" i="83"/>
  <c r="BG46" i="83"/>
  <c r="BC46" i="83"/>
  <c r="BB46" i="83"/>
  <c r="AY46" i="83"/>
  <c r="AW46" i="83"/>
  <c r="AT46" i="83"/>
  <c r="AR46" i="83"/>
  <c r="AQ46" i="83"/>
  <c r="AO46" i="83"/>
  <c r="AL46" i="83"/>
  <c r="AI46" i="83"/>
  <c r="AH46" i="83"/>
  <c r="AG46" i="83"/>
  <c r="AD46" i="83"/>
  <c r="AB46" i="83"/>
  <c r="Z46" i="83"/>
  <c r="Y46" i="83"/>
  <c r="X46" i="83"/>
  <c r="V46" i="83"/>
  <c r="T46" i="83"/>
  <c r="R46" i="83"/>
  <c r="Q46" i="83"/>
  <c r="P46" i="83"/>
  <c r="N46" i="83"/>
  <c r="L46" i="83"/>
  <c r="J46" i="83"/>
  <c r="I46" i="83"/>
  <c r="CM11" i="83"/>
  <c r="CM10" i="83"/>
  <c r="CM9" i="83"/>
  <c r="CM8" i="83"/>
  <c r="CM7" i="83"/>
  <c r="CM6" i="83"/>
  <c r="D94" i="13"/>
  <c r="D91" i="13"/>
  <c r="D89" i="13"/>
  <c r="D88" i="13"/>
  <c r="D86" i="13"/>
  <c r="D85" i="13" s="1"/>
  <c r="D84" i="13"/>
  <c r="D83" i="13"/>
  <c r="D82" i="13" s="1"/>
  <c r="A79" i="13"/>
  <c r="V60" i="84" l="1"/>
  <c r="O60" i="84"/>
  <c r="W60" i="84"/>
  <c r="N60" i="84"/>
  <c r="P60" i="84"/>
  <c r="X60" i="84"/>
  <c r="H60" i="84"/>
  <c r="K60" i="84"/>
  <c r="S60" i="84"/>
  <c r="D87" i="13"/>
  <c r="D92" i="13"/>
  <c r="D90" i="13" s="1"/>
  <c r="K16" i="47"/>
  <c r="K17" i="47"/>
  <c r="K18" i="47"/>
  <c r="K19" i="47"/>
  <c r="K12" i="47"/>
  <c r="K20" i="47"/>
  <c r="K11" i="47"/>
  <c r="K15" i="47"/>
  <c r="K14" i="47"/>
  <c r="K13" i="47"/>
  <c r="A2" i="80"/>
  <c r="I60" i="84"/>
  <c r="Q60" i="84"/>
  <c r="Y60" i="84"/>
  <c r="H54" i="84"/>
  <c r="P54" i="84"/>
  <c r="X54" i="84"/>
  <c r="C10" i="80" a="1"/>
  <c r="C10" i="80" s="1"/>
  <c r="C9" i="80" a="1"/>
  <c r="C9" i="80" s="1"/>
  <c r="D8" i="84"/>
  <c r="D14" i="84" s="1"/>
  <c r="D31" i="84" s="1"/>
  <c r="G14" i="84"/>
  <c r="C8" i="84"/>
  <c r="C14" i="84" s="1"/>
  <c r="C31" i="84" s="1"/>
  <c r="F8" i="84"/>
  <c r="F14" i="84" s="1"/>
  <c r="F31" i="84" s="1"/>
  <c r="E8" i="84"/>
  <c r="E14" i="84" s="1"/>
  <c r="E31" i="84" s="1"/>
  <c r="K54" i="84"/>
  <c r="S54" i="84"/>
  <c r="I54" i="84"/>
  <c r="Q54" i="84"/>
  <c r="Y54" i="84"/>
  <c r="AS30" i="83"/>
  <c r="BN30" i="83"/>
  <c r="M31" i="83"/>
  <c r="BN29" i="83"/>
  <c r="Q29" i="83"/>
  <c r="H32" i="83"/>
  <c r="CE49" i="83"/>
  <c r="AD29" i="83"/>
  <c r="BL32" i="83"/>
  <c r="AT29" i="83"/>
  <c r="AJ46" i="83"/>
  <c r="AJ29" i="83"/>
  <c r="O47" i="83"/>
  <c r="O30" i="83"/>
  <c r="BQ32" i="83"/>
  <c r="BQ49" i="83"/>
  <c r="W30" i="83"/>
  <c r="BY46" i="83"/>
  <c r="BY29" i="83"/>
  <c r="AF47" i="83"/>
  <c r="AF30" i="83"/>
  <c r="BL47" i="83"/>
  <c r="BL30" i="83"/>
  <c r="CJ30" i="83"/>
  <c r="CJ47" i="83"/>
  <c r="AA48" i="83"/>
  <c r="AA31" i="83"/>
  <c r="AI48" i="83"/>
  <c r="AI31" i="83"/>
  <c r="BG48" i="83"/>
  <c r="BG31" i="83"/>
  <c r="N32" i="83"/>
  <c r="N49" i="83"/>
  <c r="V49" i="83"/>
  <c r="V32" i="83"/>
  <c r="AD49" i="83"/>
  <c r="AD32" i="83"/>
  <c r="AL49" i="83"/>
  <c r="AL32" i="83"/>
  <c r="AT49" i="83"/>
  <c r="AT32" i="83"/>
  <c r="BB49" i="83"/>
  <c r="BB32" i="83"/>
  <c r="BJ49" i="83"/>
  <c r="BJ32" i="83"/>
  <c r="BR49" i="83"/>
  <c r="BR32" i="83"/>
  <c r="BZ49" i="83"/>
  <c r="BZ32" i="83"/>
  <c r="CH49" i="83"/>
  <c r="CH32" i="83"/>
  <c r="L24" i="83"/>
  <c r="T24" i="83"/>
  <c r="AB24" i="83"/>
  <c r="AR24" i="83"/>
  <c r="AZ24" i="83"/>
  <c r="BH24" i="83"/>
  <c r="G25" i="83"/>
  <c r="AE25" i="83"/>
  <c r="AM25" i="83"/>
  <c r="BC25" i="83"/>
  <c r="J26" i="83"/>
  <c r="BN26" i="83"/>
  <c r="R29" i="83"/>
  <c r="AG29" i="83"/>
  <c r="AW29" i="83"/>
  <c r="BR29" i="83"/>
  <c r="AB30" i="83"/>
  <c r="AW30" i="83"/>
  <c r="BS30" i="83"/>
  <c r="Q31" i="83"/>
  <c r="AX31" i="83"/>
  <c r="J32" i="83"/>
  <c r="BN32" i="83"/>
  <c r="G47" i="83"/>
  <c r="G30" i="83"/>
  <c r="AK46" i="83"/>
  <c r="AK29" i="83"/>
  <c r="BU47" i="83"/>
  <c r="BU30" i="83"/>
  <c r="T48" i="83"/>
  <c r="T31" i="83"/>
  <c r="AZ48" i="83"/>
  <c r="AZ31" i="83"/>
  <c r="BH48" i="83"/>
  <c r="BH31" i="83"/>
  <c r="BX48" i="83"/>
  <c r="BX31" i="83"/>
  <c r="CF48" i="83"/>
  <c r="CF31" i="83"/>
  <c r="O49" i="83"/>
  <c r="O32" i="83"/>
  <c r="BC49" i="83"/>
  <c r="BC32" i="83"/>
  <c r="BK49" i="83"/>
  <c r="BK32" i="83"/>
  <c r="BS49" i="83"/>
  <c r="BS32" i="83"/>
  <c r="CA49" i="83"/>
  <c r="CA32" i="83"/>
  <c r="CI49" i="83"/>
  <c r="CI32" i="83"/>
  <c r="M24" i="83"/>
  <c r="AS24" i="83"/>
  <c r="BY24" i="83"/>
  <c r="AF25" i="83"/>
  <c r="CB25" i="83"/>
  <c r="AI26" i="83"/>
  <c r="AY26" i="83"/>
  <c r="CE26" i="83"/>
  <c r="H29" i="83"/>
  <c r="T29" i="83"/>
  <c r="AH29" i="83"/>
  <c r="AY29" i="83"/>
  <c r="BU29" i="83"/>
  <c r="I30" i="83"/>
  <c r="AD30" i="83"/>
  <c r="AZ30" i="83"/>
  <c r="BV30" i="83"/>
  <c r="R31" i="83"/>
  <c r="BA31" i="83"/>
  <c r="U32" i="83"/>
  <c r="BY32" i="83"/>
  <c r="AZ46" i="83"/>
  <c r="AZ29" i="83"/>
  <c r="AU47" i="83"/>
  <c r="AU30" i="83"/>
  <c r="BF48" i="83"/>
  <c r="BF31" i="83"/>
  <c r="CL48" i="83"/>
  <c r="CL31" i="83"/>
  <c r="M49" i="83"/>
  <c r="M32" i="83"/>
  <c r="BI49" i="83"/>
  <c r="BI32" i="83"/>
  <c r="CG49" i="83"/>
  <c r="CG32" i="83"/>
  <c r="BQ46" i="83"/>
  <c r="BQ29" i="83"/>
  <c r="BT47" i="83"/>
  <c r="BT30" i="83"/>
  <c r="AY31" i="83"/>
  <c r="AY48" i="83"/>
  <c r="CK47" i="83"/>
  <c r="CK30" i="83"/>
  <c r="G49" i="83"/>
  <c r="G32" i="83"/>
  <c r="G46" i="83"/>
  <c r="G29" i="83"/>
  <c r="O46" i="83"/>
  <c r="O29" i="83"/>
  <c r="W46" i="83"/>
  <c r="W29" i="83"/>
  <c r="AE46" i="83"/>
  <c r="AE29" i="83"/>
  <c r="AM46" i="83"/>
  <c r="AM29" i="83"/>
  <c r="AU46" i="83"/>
  <c r="AU29" i="83"/>
  <c r="BK46" i="83"/>
  <c r="BK29" i="83"/>
  <c r="BS46" i="83"/>
  <c r="BS29" i="83"/>
  <c r="CA46" i="83"/>
  <c r="CA29" i="83"/>
  <c r="J47" i="83"/>
  <c r="J30" i="83"/>
  <c r="R47" i="83"/>
  <c r="R30" i="83"/>
  <c r="Z47" i="83"/>
  <c r="Z30" i="83"/>
  <c r="AP47" i="83"/>
  <c r="AP30" i="83"/>
  <c r="AX47" i="83"/>
  <c r="AX30" i="83"/>
  <c r="BF47" i="83"/>
  <c r="BF30" i="83"/>
  <c r="CD47" i="83"/>
  <c r="CD30" i="83"/>
  <c r="U48" i="83"/>
  <c r="U31" i="83"/>
  <c r="AK48" i="83"/>
  <c r="AK31" i="83"/>
  <c r="AS48" i="83"/>
  <c r="AS31" i="83"/>
  <c r="BI48" i="83"/>
  <c r="BI31" i="83"/>
  <c r="BQ48" i="83"/>
  <c r="BQ31" i="83"/>
  <c r="CG48" i="83"/>
  <c r="CG31" i="83"/>
  <c r="P49" i="83"/>
  <c r="P32" i="83"/>
  <c r="X49" i="83"/>
  <c r="X32" i="83"/>
  <c r="AF49" i="83"/>
  <c r="AF32" i="83"/>
  <c r="AN49" i="83"/>
  <c r="AN32" i="83"/>
  <c r="AV49" i="83"/>
  <c r="AV32" i="83"/>
  <c r="BD49" i="83"/>
  <c r="BD32" i="83"/>
  <c r="BT49" i="83"/>
  <c r="BT32" i="83"/>
  <c r="CJ49" i="83"/>
  <c r="CJ32" i="83"/>
  <c r="N24" i="83"/>
  <c r="V24" i="83"/>
  <c r="AD24" i="83"/>
  <c r="AL24" i="83"/>
  <c r="BB24" i="83"/>
  <c r="BJ24" i="83"/>
  <c r="CH24" i="83"/>
  <c r="Q25" i="83"/>
  <c r="AO25" i="83"/>
  <c r="BM25" i="83"/>
  <c r="AZ26" i="83"/>
  <c r="I29" i="83"/>
  <c r="V29" i="83"/>
  <c r="AI29" i="83"/>
  <c r="BB29" i="83"/>
  <c r="BW29" i="83"/>
  <c r="L30" i="83"/>
  <c r="AG30" i="83"/>
  <c r="BB30" i="83"/>
  <c r="BY30" i="83"/>
  <c r="Z31" i="83"/>
  <c r="BC31" i="83"/>
  <c r="W32" i="83"/>
  <c r="CB32" i="83"/>
  <c r="H46" i="83"/>
  <c r="AE47" i="83"/>
  <c r="AE30" i="83"/>
  <c r="J48" i="83"/>
  <c r="J31" i="83"/>
  <c r="BV48" i="83"/>
  <c r="BV31" i="83"/>
  <c r="BA49" i="83"/>
  <c r="BA32" i="83"/>
  <c r="M46" i="83"/>
  <c r="M29" i="83"/>
  <c r="AS29" i="83"/>
  <c r="AS46" i="83"/>
  <c r="CG46" i="83"/>
  <c r="CG29" i="83"/>
  <c r="X47" i="83"/>
  <c r="X30" i="83"/>
  <c r="AN47" i="83"/>
  <c r="AN30" i="83"/>
  <c r="K48" i="83"/>
  <c r="K31" i="83"/>
  <c r="BW48" i="83"/>
  <c r="BW31" i="83"/>
  <c r="L48" i="83"/>
  <c r="L31" i="83"/>
  <c r="AR48" i="83"/>
  <c r="AR31" i="83"/>
  <c r="BP48" i="83"/>
  <c r="BP31" i="83"/>
  <c r="AM49" i="83"/>
  <c r="AM32" i="83"/>
  <c r="AF29" i="83"/>
  <c r="AF46" i="83"/>
  <c r="AN46" i="83"/>
  <c r="AN29" i="83"/>
  <c r="AV29" i="83"/>
  <c r="AV46" i="83"/>
  <c r="BD46" i="83"/>
  <c r="BD29" i="83"/>
  <c r="BL46" i="83"/>
  <c r="BL29" i="83"/>
  <c r="BT29" i="83"/>
  <c r="BT46" i="83"/>
  <c r="CB29" i="83"/>
  <c r="CB46" i="83"/>
  <c r="CJ29" i="83"/>
  <c r="CJ46" i="83"/>
  <c r="K47" i="83"/>
  <c r="K30" i="83"/>
  <c r="AA47" i="83"/>
  <c r="AA30" i="83"/>
  <c r="AI47" i="83"/>
  <c r="AI30" i="83"/>
  <c r="AQ30" i="83"/>
  <c r="AQ47" i="83"/>
  <c r="AY47" i="83"/>
  <c r="AY30" i="83"/>
  <c r="BG30" i="83"/>
  <c r="BG47" i="83"/>
  <c r="BO47" i="83"/>
  <c r="BO30" i="83"/>
  <c r="BW30" i="83"/>
  <c r="BW47" i="83"/>
  <c r="CE30" i="83"/>
  <c r="CE47" i="83"/>
  <c r="CM13" i="83"/>
  <c r="N48" i="83"/>
  <c r="N31" i="83"/>
  <c r="V48" i="83"/>
  <c r="V31" i="83"/>
  <c r="AD31" i="83"/>
  <c r="AD48" i="83"/>
  <c r="AL48" i="83"/>
  <c r="AL31" i="83"/>
  <c r="AT48" i="83"/>
  <c r="AT31" i="83"/>
  <c r="BB31" i="83"/>
  <c r="BB48" i="83"/>
  <c r="BJ31" i="83"/>
  <c r="BJ48" i="83"/>
  <c r="BR48" i="83"/>
  <c r="BR31" i="83"/>
  <c r="BZ48" i="83"/>
  <c r="BZ31" i="83"/>
  <c r="CH31" i="83"/>
  <c r="CH48" i="83"/>
  <c r="I49" i="83"/>
  <c r="I32" i="83"/>
  <c r="Q49" i="83"/>
  <c r="Q32" i="83"/>
  <c r="Y49" i="83"/>
  <c r="Y32" i="83"/>
  <c r="AG49" i="83"/>
  <c r="AG32" i="83"/>
  <c r="AO32" i="83"/>
  <c r="AO49" i="83"/>
  <c r="AW32" i="83"/>
  <c r="AW49" i="83"/>
  <c r="BE32" i="83"/>
  <c r="BE49" i="83"/>
  <c r="BM49" i="83"/>
  <c r="BM32" i="83"/>
  <c r="BU49" i="83"/>
  <c r="BU32" i="83"/>
  <c r="CC32" i="83"/>
  <c r="CC49" i="83"/>
  <c r="CK49" i="83"/>
  <c r="CK32" i="83"/>
  <c r="G24" i="83"/>
  <c r="O24" i="83"/>
  <c r="W24" i="83"/>
  <c r="AE24" i="83"/>
  <c r="AU24" i="83"/>
  <c r="BC24" i="83"/>
  <c r="BS24" i="83"/>
  <c r="CA24" i="83"/>
  <c r="J25" i="83"/>
  <c r="R25" i="83"/>
  <c r="Z25" i="83"/>
  <c r="AP25" i="83"/>
  <c r="AX25" i="83"/>
  <c r="BF25" i="83"/>
  <c r="BN25" i="83"/>
  <c r="BV25" i="83"/>
  <c r="CL25" i="83"/>
  <c r="M26" i="83"/>
  <c r="U26" i="83"/>
  <c r="AK26" i="83"/>
  <c r="AS26" i="83"/>
  <c r="BA26" i="83"/>
  <c r="BI26" i="83"/>
  <c r="BQ26" i="83"/>
  <c r="BY26" i="83"/>
  <c r="CG26" i="83"/>
  <c r="J29" i="83"/>
  <c r="X29" i="83"/>
  <c r="AL29" i="83"/>
  <c r="BC29" i="83"/>
  <c r="BX29" i="83"/>
  <c r="M30" i="83"/>
  <c r="AH30" i="83"/>
  <c r="BC30" i="83"/>
  <c r="CA30" i="83"/>
  <c r="AC31" i="83"/>
  <c r="BM31" i="83"/>
  <c r="AI32" i="83"/>
  <c r="N47" i="83"/>
  <c r="CF46" i="83"/>
  <c r="CF29" i="83"/>
  <c r="AM47" i="83"/>
  <c r="AM30" i="83"/>
  <c r="BK47" i="83"/>
  <c r="BK30" i="83"/>
  <c r="CI47" i="83"/>
  <c r="CI30" i="83"/>
  <c r="AH48" i="83"/>
  <c r="AH31" i="83"/>
  <c r="CD48" i="83"/>
  <c r="CD31" i="83"/>
  <c r="AC49" i="83"/>
  <c r="AC32" i="83"/>
  <c r="BA46" i="83"/>
  <c r="BA29" i="83"/>
  <c r="AV47" i="83"/>
  <c r="AV30" i="83"/>
  <c r="AQ48" i="83"/>
  <c r="AQ31" i="83"/>
  <c r="BZ46" i="83"/>
  <c r="BZ29" i="83"/>
  <c r="Y47" i="83"/>
  <c r="Y30" i="83"/>
  <c r="BE47" i="83"/>
  <c r="BE30" i="83"/>
  <c r="AB48" i="83"/>
  <c r="AB31" i="83"/>
  <c r="AE49" i="83"/>
  <c r="AE32" i="83"/>
  <c r="BE46" i="83"/>
  <c r="BE29" i="83"/>
  <c r="CK46" i="83"/>
  <c r="CK29" i="83"/>
  <c r="AJ47" i="83"/>
  <c r="AJ30" i="83"/>
  <c r="BP47" i="83"/>
  <c r="BP30" i="83"/>
  <c r="BX47" i="83"/>
  <c r="BX30" i="83"/>
  <c r="CF47" i="83"/>
  <c r="CF30" i="83"/>
  <c r="O48" i="83"/>
  <c r="O31" i="83"/>
  <c r="W48" i="83"/>
  <c r="W31" i="83"/>
  <c r="AU31" i="83"/>
  <c r="AU48" i="83"/>
  <c r="BK48" i="83"/>
  <c r="BK31" i="83"/>
  <c r="BS48" i="83"/>
  <c r="BS31" i="83"/>
  <c r="CA48" i="83"/>
  <c r="CA31" i="83"/>
  <c r="CI48" i="83"/>
  <c r="CI31" i="83"/>
  <c r="R49" i="83"/>
  <c r="R32" i="83"/>
  <c r="Z49" i="83"/>
  <c r="Z32" i="83"/>
  <c r="AH49" i="83"/>
  <c r="AH32" i="83"/>
  <c r="AP49" i="83"/>
  <c r="AP32" i="83"/>
  <c r="AX49" i="83"/>
  <c r="AX32" i="83"/>
  <c r="BF49" i="83"/>
  <c r="BF32" i="83"/>
  <c r="BV49" i="83"/>
  <c r="BV32" i="83"/>
  <c r="CD49" i="83"/>
  <c r="CD32" i="83"/>
  <c r="CL49" i="83"/>
  <c r="CL32" i="83"/>
  <c r="X24" i="83"/>
  <c r="AF24" i="83"/>
  <c r="AN24" i="83"/>
  <c r="AV24" i="83"/>
  <c r="BL24" i="83"/>
  <c r="BT24" i="83"/>
  <c r="CJ24" i="83"/>
  <c r="K25" i="83"/>
  <c r="AA25" i="83"/>
  <c r="AI25" i="83"/>
  <c r="AQ25" i="83"/>
  <c r="AY25" i="83"/>
  <c r="BG25" i="83"/>
  <c r="BW25" i="83"/>
  <c r="N26" i="83"/>
  <c r="V26" i="83"/>
  <c r="AD26" i="83"/>
  <c r="AL26" i="83"/>
  <c r="AT26" i="83"/>
  <c r="BB26" i="83"/>
  <c r="BJ26" i="83"/>
  <c r="BR26" i="83"/>
  <c r="BZ26" i="83"/>
  <c r="CH26" i="83"/>
  <c r="L29" i="83"/>
  <c r="Y29" i="83"/>
  <c r="AO29" i="83"/>
  <c r="BG29" i="83"/>
  <c r="CC29" i="83"/>
  <c r="Q30" i="83"/>
  <c r="Q28" i="83" s="1"/>
  <c r="AL30" i="83"/>
  <c r="BH30" i="83"/>
  <c r="CH30" i="83"/>
  <c r="AE31" i="83"/>
  <c r="BN31" i="83"/>
  <c r="AK32" i="83"/>
  <c r="S47" i="83"/>
  <c r="BP46" i="83"/>
  <c r="BP29" i="83"/>
  <c r="AP31" i="83"/>
  <c r="U46" i="83"/>
  <c r="U29" i="83"/>
  <c r="H47" i="83"/>
  <c r="H30" i="83"/>
  <c r="CB47" i="83"/>
  <c r="CB30" i="83"/>
  <c r="BO48" i="83"/>
  <c r="BO31" i="83"/>
  <c r="AJ48" i="83"/>
  <c r="AJ31" i="83"/>
  <c r="AU49" i="83"/>
  <c r="AU32" i="83"/>
  <c r="AP46" i="83"/>
  <c r="AP29" i="83"/>
  <c r="AX46" i="83"/>
  <c r="AX29" i="83"/>
  <c r="BF46" i="83"/>
  <c r="BF29" i="83"/>
  <c r="BF28" i="83" s="1"/>
  <c r="BV46" i="83"/>
  <c r="BV29" i="83"/>
  <c r="CD46" i="83"/>
  <c r="CD29" i="83"/>
  <c r="CL46" i="83"/>
  <c r="CL29" i="83"/>
  <c r="U47" i="83"/>
  <c r="U30" i="83"/>
  <c r="AC47" i="83"/>
  <c r="AC30" i="83"/>
  <c r="AK47" i="83"/>
  <c r="AK30" i="83"/>
  <c r="BA47" i="83"/>
  <c r="BA30" i="83"/>
  <c r="BI30" i="83"/>
  <c r="BI47" i="83"/>
  <c r="BQ47" i="83"/>
  <c r="BQ30" i="83"/>
  <c r="CG47" i="83"/>
  <c r="CG30" i="83"/>
  <c r="H48" i="83"/>
  <c r="H31" i="83"/>
  <c r="P48" i="83"/>
  <c r="P31" i="83"/>
  <c r="X48" i="83"/>
  <c r="X31" i="83"/>
  <c r="AN48" i="83"/>
  <c r="AN31" i="83"/>
  <c r="AV48" i="83"/>
  <c r="AV31" i="83"/>
  <c r="BD48" i="83"/>
  <c r="BD31" i="83"/>
  <c r="BL48" i="83"/>
  <c r="BL31" i="83"/>
  <c r="BT48" i="83"/>
  <c r="BT31" i="83"/>
  <c r="CJ48" i="83"/>
  <c r="CJ31" i="83"/>
  <c r="K49" i="83"/>
  <c r="K32" i="83"/>
  <c r="S49" i="83"/>
  <c r="S32" i="83"/>
  <c r="AA49" i="83"/>
  <c r="AA32" i="83"/>
  <c r="AQ49" i="83"/>
  <c r="AQ32" i="83"/>
  <c r="BG49" i="83"/>
  <c r="BG32" i="83"/>
  <c r="BO49" i="83"/>
  <c r="BO32" i="83"/>
  <c r="BW49" i="83"/>
  <c r="BW32" i="83"/>
  <c r="CM15" i="83"/>
  <c r="I24" i="83"/>
  <c r="Q24" i="83"/>
  <c r="Y24" i="83"/>
  <c r="AG24" i="83"/>
  <c r="AO24" i="83"/>
  <c r="AW24" i="83"/>
  <c r="BE24" i="83"/>
  <c r="BM24" i="83"/>
  <c r="BU24" i="83"/>
  <c r="CK24" i="83"/>
  <c r="L25" i="83"/>
  <c r="T25" i="83"/>
  <c r="AB25" i="83"/>
  <c r="AJ25" i="83"/>
  <c r="AR25" i="83"/>
  <c r="AZ25" i="83"/>
  <c r="BH25" i="83"/>
  <c r="BP25" i="83"/>
  <c r="BX25" i="83"/>
  <c r="CF25" i="83"/>
  <c r="G26" i="83"/>
  <c r="O26" i="83"/>
  <c r="W26" i="83"/>
  <c r="AE26" i="83"/>
  <c r="AM26" i="83"/>
  <c r="AU26" i="83"/>
  <c r="BC26" i="83"/>
  <c r="BK26" i="83"/>
  <c r="BS26" i="83"/>
  <c r="CA26" i="83"/>
  <c r="CI26" i="83"/>
  <c r="N29" i="83"/>
  <c r="Z29" i="83"/>
  <c r="AQ29" i="83"/>
  <c r="BJ29" i="83"/>
  <c r="CE29" i="83"/>
  <c r="T30" i="83"/>
  <c r="AO30" i="83"/>
  <c r="BJ30" i="83"/>
  <c r="CL30" i="83"/>
  <c r="AM31" i="83"/>
  <c r="BY31" i="83"/>
  <c r="AY32" i="83"/>
  <c r="AF48" i="83"/>
  <c r="BH29" i="83"/>
  <c r="BH46" i="83"/>
  <c r="AS49" i="83"/>
  <c r="AS32" i="83"/>
  <c r="AC46" i="83"/>
  <c r="AC29" i="83"/>
  <c r="AC28" i="83" s="1"/>
  <c r="BI46" i="83"/>
  <c r="BI29" i="83"/>
  <c r="P47" i="83"/>
  <c r="P30" i="83"/>
  <c r="BD30" i="83"/>
  <c r="BD47" i="83"/>
  <c r="S48" i="83"/>
  <c r="S31" i="83"/>
  <c r="CE48" i="83"/>
  <c r="CE31" i="83"/>
  <c r="CC47" i="83"/>
  <c r="CC30" i="83"/>
  <c r="K46" i="83"/>
  <c r="K29" i="83"/>
  <c r="S46" i="83"/>
  <c r="S29" i="83"/>
  <c r="S28" i="83" s="1"/>
  <c r="AA46" i="83"/>
  <c r="AA29" i="83"/>
  <c r="BO46" i="83"/>
  <c r="BO29" i="83"/>
  <c r="BO28" i="83" s="1"/>
  <c r="CM12" i="83"/>
  <c r="AT47" i="83"/>
  <c r="AT30" i="83"/>
  <c r="BR47" i="83"/>
  <c r="BR30" i="83"/>
  <c r="BZ47" i="83"/>
  <c r="BZ30" i="83"/>
  <c r="I48" i="83"/>
  <c r="I31" i="83"/>
  <c r="Y48" i="83"/>
  <c r="Y31" i="83"/>
  <c r="AG48" i="83"/>
  <c r="AG31" i="83"/>
  <c r="AW48" i="83"/>
  <c r="AW31" i="83"/>
  <c r="BE48" i="83"/>
  <c r="BE31" i="83"/>
  <c r="BU48" i="83"/>
  <c r="BU31" i="83"/>
  <c r="CC48" i="83"/>
  <c r="CC31" i="83"/>
  <c r="CK31" i="83"/>
  <c r="CK48" i="83"/>
  <c r="L49" i="83"/>
  <c r="L32" i="83"/>
  <c r="T49" i="83"/>
  <c r="T32" i="83"/>
  <c r="AB49" i="83"/>
  <c r="AB32" i="83"/>
  <c r="AJ49" i="83"/>
  <c r="AJ32" i="83"/>
  <c r="AR49" i="83"/>
  <c r="AR32" i="83"/>
  <c r="BH49" i="83"/>
  <c r="BH32" i="83"/>
  <c r="BP49" i="83"/>
  <c r="BP32" i="83"/>
  <c r="BX49" i="83"/>
  <c r="BX32" i="83"/>
  <c r="CF49" i="83"/>
  <c r="CF32" i="83"/>
  <c r="J24" i="83"/>
  <c r="R24" i="83"/>
  <c r="Z24" i="83"/>
  <c r="AH24" i="83"/>
  <c r="AP24" i="83"/>
  <c r="AX24" i="83"/>
  <c r="BF24" i="83"/>
  <c r="BN24" i="83"/>
  <c r="BV24" i="83"/>
  <c r="CD24" i="83"/>
  <c r="CL24" i="83"/>
  <c r="M25" i="83"/>
  <c r="U25" i="83"/>
  <c r="AC25" i="83"/>
  <c r="AK25" i="83"/>
  <c r="AS25" i="83"/>
  <c r="BA25" i="83"/>
  <c r="BI25" i="83"/>
  <c r="BQ25" i="83"/>
  <c r="BY25" i="83"/>
  <c r="CG25" i="83"/>
  <c r="H26" i="83"/>
  <c r="P26" i="83"/>
  <c r="X26" i="83"/>
  <c r="AF26" i="83"/>
  <c r="AN26" i="83"/>
  <c r="AV26" i="83"/>
  <c r="BD26" i="83"/>
  <c r="BL26" i="83"/>
  <c r="BT26" i="83"/>
  <c r="CB26" i="83"/>
  <c r="CJ26" i="83"/>
  <c r="P29" i="83"/>
  <c r="AB29" i="83"/>
  <c r="AR29" i="83"/>
  <c r="BM29" i="83"/>
  <c r="CH29" i="83"/>
  <c r="V30" i="83"/>
  <c r="AR30" i="83"/>
  <c r="BM30" i="83"/>
  <c r="G31" i="83"/>
  <c r="AO31" i="83"/>
  <c r="CB31" i="83"/>
  <c r="AZ32" i="83"/>
  <c r="FV41" i="83"/>
  <c r="CM57" i="83"/>
  <c r="E82" i="13"/>
  <c r="F82" i="13" s="1"/>
  <c r="G82" i="13" s="1"/>
  <c r="H82" i="13" s="1"/>
  <c r="I82" i="13" s="1"/>
  <c r="J82" i="13" s="1"/>
  <c r="K82" i="13" s="1"/>
  <c r="L82" i="13" s="1"/>
  <c r="M82" i="13" s="1"/>
  <c r="N82" i="13" s="1"/>
  <c r="O82" i="13" s="1"/>
  <c r="P82" i="13" s="1"/>
  <c r="Q82" i="13" s="1"/>
  <c r="R82" i="13" s="1"/>
  <c r="S82" i="13" s="1"/>
  <c r="T82" i="13" s="1"/>
  <c r="U82" i="13" s="1"/>
  <c r="V82" i="13" s="1"/>
  <c r="W82" i="13" s="1"/>
  <c r="D81" i="13"/>
  <c r="D95" i="13" s="1"/>
  <c r="D93" i="13" s="1"/>
  <c r="D96" i="13" s="1"/>
  <c r="E19" i="81"/>
  <c r="Z56" i="82"/>
  <c r="Y56" i="82"/>
  <c r="X56" i="82"/>
  <c r="W56" i="82"/>
  <c r="V56" i="82"/>
  <c r="U56" i="82"/>
  <c r="T56" i="82"/>
  <c r="S56" i="82"/>
  <c r="R56" i="82"/>
  <c r="Q56" i="82"/>
  <c r="P56" i="82"/>
  <c r="O56" i="82"/>
  <c r="N56" i="82"/>
  <c r="M56" i="82"/>
  <c r="L56" i="82"/>
  <c r="K56" i="82"/>
  <c r="J56" i="82"/>
  <c r="I56" i="82"/>
  <c r="H56" i="82"/>
  <c r="Z54" i="82"/>
  <c r="Y54" i="82"/>
  <c r="X54" i="82"/>
  <c r="W54" i="82"/>
  <c r="V54" i="82"/>
  <c r="U54" i="82"/>
  <c r="T54" i="82"/>
  <c r="S54" i="82"/>
  <c r="R54" i="82"/>
  <c r="Q54" i="82"/>
  <c r="P54" i="82"/>
  <c r="O54" i="82"/>
  <c r="N54" i="82"/>
  <c r="M54" i="82"/>
  <c r="L54" i="82"/>
  <c r="K54" i="82"/>
  <c r="J54" i="82"/>
  <c r="I54" i="82"/>
  <c r="H54" i="82"/>
  <c r="Z53" i="82"/>
  <c r="Z58" i="82" s="1"/>
  <c r="Y53" i="82"/>
  <c r="Y58" i="82" s="1"/>
  <c r="X53" i="82"/>
  <c r="W53" i="82"/>
  <c r="V53" i="82"/>
  <c r="V58" i="82" s="1"/>
  <c r="U53" i="82"/>
  <c r="T53" i="82"/>
  <c r="S53" i="82"/>
  <c r="R53" i="82"/>
  <c r="R58" i="82" s="1"/>
  <c r="Q53" i="82"/>
  <c r="Q58" i="82" s="1"/>
  <c r="P53" i="82"/>
  <c r="O53" i="82"/>
  <c r="N53" i="82"/>
  <c r="N58" i="82" s="1"/>
  <c r="M53" i="82"/>
  <c r="L53" i="82"/>
  <c r="K53" i="82"/>
  <c r="J53" i="82"/>
  <c r="J58" i="82" s="1"/>
  <c r="I53" i="82"/>
  <c r="I58" i="82" s="1"/>
  <c r="H53" i="82"/>
  <c r="H31" i="82"/>
  <c r="I31" i="82" s="1"/>
  <c r="J31" i="82" s="1"/>
  <c r="K31" i="82" s="1"/>
  <c r="L31" i="82" s="1"/>
  <c r="M31" i="82" s="1"/>
  <c r="N31" i="82" s="1"/>
  <c r="O31" i="82" s="1"/>
  <c r="P31" i="82" s="1"/>
  <c r="Q31" i="82" s="1"/>
  <c r="R31" i="82" s="1"/>
  <c r="S31" i="82" s="1"/>
  <c r="T31" i="82" s="1"/>
  <c r="U31" i="82" s="1"/>
  <c r="V31" i="82" s="1"/>
  <c r="W31" i="82" s="1"/>
  <c r="X31" i="82" s="1"/>
  <c r="Y31" i="82" s="1"/>
  <c r="Z31" i="82" s="1"/>
  <c r="Z52" i="82"/>
  <c r="Y52" i="82"/>
  <c r="X52" i="82"/>
  <c r="W52" i="82"/>
  <c r="U52" i="82"/>
  <c r="S52" i="82"/>
  <c r="R52" i="82"/>
  <c r="Q52" i="82"/>
  <c r="P52" i="82"/>
  <c r="O52" i="82"/>
  <c r="M52" i="82"/>
  <c r="K52" i="82"/>
  <c r="J52" i="82"/>
  <c r="I52" i="82"/>
  <c r="H52" i="82"/>
  <c r="F9" i="82"/>
  <c r="E9" i="82"/>
  <c r="D9" i="82"/>
  <c r="C9" i="82"/>
  <c r="A1" i="82"/>
  <c r="P58" i="82" l="1"/>
  <c r="O58" i="82"/>
  <c r="W58" i="82"/>
  <c r="H58" i="82"/>
  <c r="CH28" i="83"/>
  <c r="Z28" i="83"/>
  <c r="BM28" i="83"/>
  <c r="CD28" i="83"/>
  <c r="S58" i="82"/>
  <c r="AF28" i="83"/>
  <c r="L58" i="82"/>
  <c r="T58" i="82"/>
  <c r="AB28" i="83"/>
  <c r="AT28" i="83"/>
  <c r="K58" i="82"/>
  <c r="M58" i="82"/>
  <c r="U58" i="82"/>
  <c r="P28" i="83"/>
  <c r="H19" i="83"/>
  <c r="P19" i="83"/>
  <c r="X19" i="83"/>
  <c r="AF19" i="83"/>
  <c r="AF54" i="83" s="1"/>
  <c r="AN19" i="83"/>
  <c r="AV19" i="83"/>
  <c r="BD19" i="83"/>
  <c r="BL19" i="83"/>
  <c r="BT19" i="83"/>
  <c r="CB19" i="83"/>
  <c r="CJ19" i="83"/>
  <c r="I19" i="83"/>
  <c r="Q19" i="83"/>
  <c r="Y19" i="83"/>
  <c r="AG19" i="83"/>
  <c r="AO19" i="83"/>
  <c r="AW19" i="83"/>
  <c r="BE19" i="83"/>
  <c r="BM19" i="83"/>
  <c r="BU19" i="83"/>
  <c r="CC19" i="83"/>
  <c r="CK19" i="83"/>
  <c r="J19" i="83"/>
  <c r="R19" i="83"/>
  <c r="Z19" i="83"/>
  <c r="AH19" i="83"/>
  <c r="AP19" i="83"/>
  <c r="AX19" i="83"/>
  <c r="BF19" i="83"/>
  <c r="BN19" i="83"/>
  <c r="BV19" i="83"/>
  <c r="CD19" i="83"/>
  <c r="CL19" i="83"/>
  <c r="K19" i="83"/>
  <c r="S19" i="83"/>
  <c r="AA19" i="83"/>
  <c r="AI19" i="83"/>
  <c r="AQ19" i="83"/>
  <c r="AY19" i="83"/>
  <c r="BG19" i="83"/>
  <c r="BO19" i="83"/>
  <c r="BW19" i="83"/>
  <c r="CE19" i="83"/>
  <c r="G19" i="83"/>
  <c r="G54" i="83" s="1"/>
  <c r="L19" i="83"/>
  <c r="T19" i="83"/>
  <c r="AB19" i="83"/>
  <c r="AJ19" i="83"/>
  <c r="AR19" i="83"/>
  <c r="AZ19" i="83"/>
  <c r="BH19" i="83"/>
  <c r="BP19" i="83"/>
  <c r="BP54" i="83" s="1"/>
  <c r="BX19" i="83"/>
  <c r="CF19" i="83"/>
  <c r="M19" i="83"/>
  <c r="AE19" i="83"/>
  <c r="BB19" i="83"/>
  <c r="BY19" i="83"/>
  <c r="N19" i="83"/>
  <c r="AK19" i="83"/>
  <c r="BC19" i="83"/>
  <c r="BZ19" i="83"/>
  <c r="AC19" i="83"/>
  <c r="AD19" i="83"/>
  <c r="O19" i="83"/>
  <c r="AL19" i="83"/>
  <c r="BI19" i="83"/>
  <c r="CA19" i="83"/>
  <c r="CA54" i="83" s="1"/>
  <c r="BA19" i="83"/>
  <c r="U19" i="83"/>
  <c r="AM19" i="83"/>
  <c r="BJ19" i="83"/>
  <c r="CG19" i="83"/>
  <c r="AU19" i="83"/>
  <c r="BS19" i="83"/>
  <c r="V19" i="83"/>
  <c r="AS19" i="83"/>
  <c r="BK19" i="83"/>
  <c r="CH19" i="83"/>
  <c r="W19" i="83"/>
  <c r="AT19" i="83"/>
  <c r="BQ19" i="83"/>
  <c r="CI19" i="83"/>
  <c r="BR19" i="83"/>
  <c r="H16" i="83"/>
  <c r="P16" i="83"/>
  <c r="X16" i="83"/>
  <c r="AF16" i="83"/>
  <c r="AN16" i="83"/>
  <c r="AV16" i="83"/>
  <c r="BD16" i="83"/>
  <c r="BL16" i="83"/>
  <c r="BT16" i="83"/>
  <c r="CB16" i="83"/>
  <c r="CJ16" i="83"/>
  <c r="I16" i="83"/>
  <c r="Q16" i="83"/>
  <c r="Y16" i="83"/>
  <c r="AG16" i="83"/>
  <c r="AO16" i="83"/>
  <c r="AW16" i="83"/>
  <c r="BE16" i="83"/>
  <c r="BM16" i="83"/>
  <c r="BU16" i="83"/>
  <c r="CC16" i="83"/>
  <c r="CK16" i="83"/>
  <c r="J16" i="83"/>
  <c r="R16" i="83"/>
  <c r="Z16" i="83"/>
  <c r="AH16" i="83"/>
  <c r="AP16" i="83"/>
  <c r="AX16" i="83"/>
  <c r="BF16" i="83"/>
  <c r="BN16" i="83"/>
  <c r="BV16" i="83"/>
  <c r="CD16" i="83"/>
  <c r="CL16" i="83"/>
  <c r="K16" i="83"/>
  <c r="S16" i="83"/>
  <c r="AA16" i="83"/>
  <c r="AI16" i="83"/>
  <c r="AQ16" i="83"/>
  <c r="AY16" i="83"/>
  <c r="BG16" i="83"/>
  <c r="BO16" i="83"/>
  <c r="BW16" i="83"/>
  <c r="CE16" i="83"/>
  <c r="G16" i="83"/>
  <c r="L16" i="83"/>
  <c r="T16" i="83"/>
  <c r="AB16" i="83"/>
  <c r="AJ16" i="83"/>
  <c r="AR16" i="83"/>
  <c r="AZ16" i="83"/>
  <c r="BH16" i="83"/>
  <c r="BP16" i="83"/>
  <c r="BX16" i="83"/>
  <c r="CF16" i="83"/>
  <c r="N16" i="83"/>
  <c r="AK16" i="83"/>
  <c r="BC16" i="83"/>
  <c r="BZ16" i="83"/>
  <c r="BS16" i="83"/>
  <c r="BB16" i="83"/>
  <c r="O16" i="83"/>
  <c r="AL16" i="83"/>
  <c r="BI16" i="83"/>
  <c r="CA16" i="83"/>
  <c r="U16" i="83"/>
  <c r="AM16" i="83"/>
  <c r="BJ16" i="83"/>
  <c r="CG16" i="83"/>
  <c r="M16" i="83"/>
  <c r="BY16" i="83"/>
  <c r="V16" i="83"/>
  <c r="AS16" i="83"/>
  <c r="BK16" i="83"/>
  <c r="CH16" i="83"/>
  <c r="AU16" i="83"/>
  <c r="AD16" i="83"/>
  <c r="AE16" i="83"/>
  <c r="W16" i="83"/>
  <c r="AT16" i="83"/>
  <c r="BQ16" i="83"/>
  <c r="CI16" i="83"/>
  <c r="AC16" i="83"/>
  <c r="BR16" i="83"/>
  <c r="BA16" i="83"/>
  <c r="L17" i="83"/>
  <c r="T17" i="83"/>
  <c r="T66" i="83" s="1"/>
  <c r="AB17" i="83"/>
  <c r="AB66" i="83" s="1"/>
  <c r="AJ17" i="83"/>
  <c r="AR17" i="83"/>
  <c r="AZ17" i="83"/>
  <c r="AZ66" i="83" s="1"/>
  <c r="BH17" i="83"/>
  <c r="BP17" i="83"/>
  <c r="BP66" i="83" s="1"/>
  <c r="BX17" i="83"/>
  <c r="CF17" i="83"/>
  <c r="CF66" i="83" s="1"/>
  <c r="M17" i="83"/>
  <c r="M66" i="83" s="1"/>
  <c r="U17" i="83"/>
  <c r="U66" i="83" s="1"/>
  <c r="AC17" i="83"/>
  <c r="AC66" i="83" s="1"/>
  <c r="AK17" i="83"/>
  <c r="AS17" i="83"/>
  <c r="BA17" i="83"/>
  <c r="BA66" i="83" s="1"/>
  <c r="BI17" i="83"/>
  <c r="BI66" i="83" s="1"/>
  <c r="BQ17" i="83"/>
  <c r="BY17" i="83"/>
  <c r="BY66" i="83" s="1"/>
  <c r="CG17" i="83"/>
  <c r="CG66" i="83" s="1"/>
  <c r="N17" i="83"/>
  <c r="N66" i="83" s="1"/>
  <c r="V17" i="83"/>
  <c r="V66" i="83" s="1"/>
  <c r="AD17" i="83"/>
  <c r="AD66" i="83" s="1"/>
  <c r="AL17" i="83"/>
  <c r="AL66" i="83" s="1"/>
  <c r="AT17" i="83"/>
  <c r="AT66" i="83" s="1"/>
  <c r="BB17" i="83"/>
  <c r="BB66" i="83" s="1"/>
  <c r="BJ17" i="83"/>
  <c r="BR17" i="83"/>
  <c r="BZ17" i="83"/>
  <c r="BZ66" i="83" s="1"/>
  <c r="CH17" i="83"/>
  <c r="CH66" i="83" s="1"/>
  <c r="O17" i="83"/>
  <c r="O66" i="83" s="1"/>
  <c r="W17" i="83"/>
  <c r="W66" i="83" s="1"/>
  <c r="AE17" i="83"/>
  <c r="AE66" i="83" s="1"/>
  <c r="AM17" i="83"/>
  <c r="AM66" i="83" s="1"/>
  <c r="AU17" i="83"/>
  <c r="BC17" i="83"/>
  <c r="BC66" i="83" s="1"/>
  <c r="BK17" i="83"/>
  <c r="BK66" i="83" s="1"/>
  <c r="BS17" i="83"/>
  <c r="BS66" i="83" s="1"/>
  <c r="CA17" i="83"/>
  <c r="CI17" i="83"/>
  <c r="CI66" i="83" s="1"/>
  <c r="H17" i="83"/>
  <c r="H66" i="83" s="1"/>
  <c r="P17" i="83"/>
  <c r="P66" i="83" s="1"/>
  <c r="X17" i="83"/>
  <c r="X66" i="83" s="1"/>
  <c r="AF17" i="83"/>
  <c r="AF66" i="83" s="1"/>
  <c r="AN17" i="83"/>
  <c r="AN66" i="83" s="1"/>
  <c r="AV17" i="83"/>
  <c r="AV66" i="83" s="1"/>
  <c r="BD17" i="83"/>
  <c r="BD66" i="83" s="1"/>
  <c r="BL17" i="83"/>
  <c r="BT17" i="83"/>
  <c r="BT66" i="83" s="1"/>
  <c r="CB17" i="83"/>
  <c r="CB66" i="83" s="1"/>
  <c r="CJ17" i="83"/>
  <c r="CJ66" i="83" s="1"/>
  <c r="K17" i="83"/>
  <c r="K66" i="83" s="1"/>
  <c r="AH17" i="83"/>
  <c r="AH66" i="83" s="1"/>
  <c r="BE17" i="83"/>
  <c r="BE66" i="83" s="1"/>
  <c r="BW17" i="83"/>
  <c r="BW66" i="83" s="1"/>
  <c r="AI17" i="83"/>
  <c r="AI66" i="83" s="1"/>
  <c r="AY17" i="83"/>
  <c r="AY66" i="83" s="1"/>
  <c r="Q17" i="83"/>
  <c r="Q66" i="83" s="1"/>
  <c r="BF17" i="83"/>
  <c r="BF66" i="83" s="1"/>
  <c r="CC17" i="83"/>
  <c r="CC66" i="83" s="1"/>
  <c r="G17" i="83"/>
  <c r="BV17" i="83"/>
  <c r="BV66" i="83" s="1"/>
  <c r="R17" i="83"/>
  <c r="AO17" i="83"/>
  <c r="BG17" i="83"/>
  <c r="CD17" i="83"/>
  <c r="AA17" i="83"/>
  <c r="AA66" i="83" s="1"/>
  <c r="J17" i="83"/>
  <c r="J66" i="83" s="1"/>
  <c r="S17" i="83"/>
  <c r="S66" i="83" s="1"/>
  <c r="AP17" i="83"/>
  <c r="AP66" i="83" s="1"/>
  <c r="BM17" i="83"/>
  <c r="CE17" i="83"/>
  <c r="CE66" i="83" s="1"/>
  <c r="I17" i="83"/>
  <c r="I66" i="83" s="1"/>
  <c r="BU17" i="83"/>
  <c r="BU66" i="83" s="1"/>
  <c r="AG17" i="83"/>
  <c r="AG66" i="83" s="1"/>
  <c r="Y17" i="83"/>
  <c r="Y66" i="83" s="1"/>
  <c r="AQ17" i="83"/>
  <c r="AQ66" i="83" s="1"/>
  <c r="BN17" i="83"/>
  <c r="BN66" i="83" s="1"/>
  <c r="CK17" i="83"/>
  <c r="CK66" i="83" s="1"/>
  <c r="Z17" i="83"/>
  <c r="Z66" i="83" s="1"/>
  <c r="AW17" i="83"/>
  <c r="AW66" i="83" s="1"/>
  <c r="BO17" i="83"/>
  <c r="BO66" i="83" s="1"/>
  <c r="CL17" i="83"/>
  <c r="CL66" i="83" s="1"/>
  <c r="AX17" i="83"/>
  <c r="AX66" i="83" s="1"/>
  <c r="L18" i="83"/>
  <c r="L54" i="83" s="1"/>
  <c r="T18" i="83"/>
  <c r="AB18" i="83"/>
  <c r="AB54" i="83" s="1"/>
  <c r="AJ18" i="83"/>
  <c r="AJ54" i="83" s="1"/>
  <c r="AR18" i="83"/>
  <c r="AR54" i="83" s="1"/>
  <c r="AZ18" i="83"/>
  <c r="BH18" i="83"/>
  <c r="BH54" i="83" s="1"/>
  <c r="BP18" i="83"/>
  <c r="BX18" i="83"/>
  <c r="BX54" i="83" s="1"/>
  <c r="CF18" i="83"/>
  <c r="CF54" i="83" s="1"/>
  <c r="M18" i="83"/>
  <c r="U18" i="83"/>
  <c r="AC18" i="83"/>
  <c r="AC54" i="83" s="1"/>
  <c r="AK18" i="83"/>
  <c r="AS18" i="83"/>
  <c r="AS54" i="83" s="1"/>
  <c r="BA18" i="83"/>
  <c r="BI18" i="83"/>
  <c r="BQ18" i="83"/>
  <c r="BQ54" i="83" s="1"/>
  <c r="BY18" i="83"/>
  <c r="BY54" i="83" s="1"/>
  <c r="CG18" i="83"/>
  <c r="N18" i="83"/>
  <c r="N54" i="83" s="1"/>
  <c r="V18" i="83"/>
  <c r="AD18" i="83"/>
  <c r="AD54" i="83" s="1"/>
  <c r="AL18" i="83"/>
  <c r="AL54" i="83" s="1"/>
  <c r="AT18" i="83"/>
  <c r="AT54" i="83" s="1"/>
  <c r="BB18" i="83"/>
  <c r="BB54" i="83" s="1"/>
  <c r="BJ18" i="83"/>
  <c r="BR18" i="83"/>
  <c r="BZ18" i="83"/>
  <c r="BZ54" i="83" s="1"/>
  <c r="CH18" i="83"/>
  <c r="O18" i="83"/>
  <c r="W18" i="83"/>
  <c r="AE18" i="83"/>
  <c r="AE54" i="83" s="1"/>
  <c r="AM18" i="83"/>
  <c r="AM54" i="83" s="1"/>
  <c r="AU18" i="83"/>
  <c r="BC18" i="83"/>
  <c r="BK18" i="83"/>
  <c r="BK54" i="83" s="1"/>
  <c r="BS18" i="83"/>
  <c r="CA18" i="83"/>
  <c r="CI18" i="83"/>
  <c r="H18" i="83"/>
  <c r="H54" i="83" s="1"/>
  <c r="P18" i="83"/>
  <c r="P54" i="83" s="1"/>
  <c r="X18" i="83"/>
  <c r="X54" i="83" s="1"/>
  <c r="AF18" i="83"/>
  <c r="AN18" i="83"/>
  <c r="AN54" i="83" s="1"/>
  <c r="AV18" i="83"/>
  <c r="BD18" i="83"/>
  <c r="BL18" i="83"/>
  <c r="BT18" i="83"/>
  <c r="CB18" i="83"/>
  <c r="CB54" i="83" s="1"/>
  <c r="CJ18" i="83"/>
  <c r="CJ54" i="83" s="1"/>
  <c r="J18" i="83"/>
  <c r="AG18" i="83"/>
  <c r="AG54" i="83" s="1"/>
  <c r="AY18" i="83"/>
  <c r="AY54" i="83" s="1"/>
  <c r="BV18" i="83"/>
  <c r="BV54" i="83" s="1"/>
  <c r="G18" i="83"/>
  <c r="K18" i="83"/>
  <c r="AH18" i="83"/>
  <c r="BE18" i="83"/>
  <c r="BE54" i="83" s="1"/>
  <c r="BW18" i="83"/>
  <c r="Q18" i="83"/>
  <c r="Q54" i="83" s="1"/>
  <c r="AI18" i="83"/>
  <c r="BF18" i="83"/>
  <c r="BF54" i="83" s="1"/>
  <c r="CC18" i="83"/>
  <c r="CC54" i="83" s="1"/>
  <c r="BO18" i="83"/>
  <c r="BO54" i="83" s="1"/>
  <c r="I18" i="83"/>
  <c r="AX18" i="83"/>
  <c r="R18" i="83"/>
  <c r="R54" i="83" s="1"/>
  <c r="AO18" i="83"/>
  <c r="AO54" i="83" s="1"/>
  <c r="BG18" i="83"/>
  <c r="BG54" i="83" s="1"/>
  <c r="CD18" i="83"/>
  <c r="CD54" i="83" s="1"/>
  <c r="Z18" i="83"/>
  <c r="AW18" i="83"/>
  <c r="CL18" i="83"/>
  <c r="CL54" i="83" s="1"/>
  <c r="AA18" i="83"/>
  <c r="BU18" i="83"/>
  <c r="S18" i="83"/>
  <c r="S54" i="83" s="1"/>
  <c r="AP18" i="83"/>
  <c r="AP54" i="83" s="1"/>
  <c r="BM18" i="83"/>
  <c r="CE18" i="83"/>
  <c r="CE54" i="83" s="1"/>
  <c r="Y18" i="83"/>
  <c r="AQ18" i="83"/>
  <c r="AQ54" i="83" s="1"/>
  <c r="BN18" i="83"/>
  <c r="CK18" i="83"/>
  <c r="CK54" i="83" s="1"/>
  <c r="AQ28" i="83"/>
  <c r="T54" i="83"/>
  <c r="BL54" i="83"/>
  <c r="AI54" i="83"/>
  <c r="K54" i="83"/>
  <c r="Y54" i="83"/>
  <c r="J54" i="83"/>
  <c r="K28" i="83"/>
  <c r="CI54" i="83"/>
  <c r="BR54" i="83"/>
  <c r="BN28" i="83"/>
  <c r="M28" i="83"/>
  <c r="U28" i="83"/>
  <c r="BC28" i="83"/>
  <c r="BN54" i="83"/>
  <c r="AZ54" i="83"/>
  <c r="BA54" i="83"/>
  <c r="U54" i="83"/>
  <c r="X58" i="82"/>
  <c r="AH54" i="83"/>
  <c r="BC54" i="83"/>
  <c r="CM48" i="83"/>
  <c r="BD54" i="83"/>
  <c r="AR28" i="83"/>
  <c r="Z54" i="83"/>
  <c r="AV54" i="83"/>
  <c r="N28" i="83"/>
  <c r="AU54" i="83"/>
  <c r="CH54" i="83"/>
  <c r="M54" i="83"/>
  <c r="CC28" i="83"/>
  <c r="AX28" i="83"/>
  <c r="BW54" i="83"/>
  <c r="BM54" i="83"/>
  <c r="W54" i="83"/>
  <c r="BJ54" i="83"/>
  <c r="CI28" i="83"/>
  <c r="X28" i="83"/>
  <c r="CG54" i="83"/>
  <c r="BL28" i="83"/>
  <c r="O28" i="83"/>
  <c r="BI54" i="83"/>
  <c r="O54" i="83"/>
  <c r="BV28" i="83"/>
  <c r="AD28" i="83"/>
  <c r="BT54" i="83"/>
  <c r="BJ28" i="83"/>
  <c r="AW54" i="83"/>
  <c r="BS54" i="83"/>
  <c r="CK28" i="83"/>
  <c r="BS28" i="83"/>
  <c r="BI28" i="83"/>
  <c r="CM22" i="83"/>
  <c r="AL28" i="83"/>
  <c r="CM21" i="83"/>
  <c r="AW28" i="83"/>
  <c r="CM20" i="83"/>
  <c r="AM28" i="83"/>
  <c r="G28" i="83"/>
  <c r="CM29" i="83"/>
  <c r="AZ28" i="83"/>
  <c r="BU28" i="83"/>
  <c r="AK28" i="83"/>
  <c r="AG28" i="83"/>
  <c r="CM31" i="83"/>
  <c r="BG28" i="83"/>
  <c r="BE28" i="83"/>
  <c r="BA28" i="83"/>
  <c r="J28" i="83"/>
  <c r="CM24" i="83"/>
  <c r="BD28" i="83"/>
  <c r="BW28" i="83"/>
  <c r="BK28" i="83"/>
  <c r="CM46" i="83"/>
  <c r="AY28" i="83"/>
  <c r="R28" i="83"/>
  <c r="CM25" i="83"/>
  <c r="AP28" i="83"/>
  <c r="AO28" i="83"/>
  <c r="CJ28" i="83"/>
  <c r="CG28" i="83"/>
  <c r="BB28" i="83"/>
  <c r="AE28" i="83"/>
  <c r="CM32" i="83"/>
  <c r="AH28" i="83"/>
  <c r="AJ28" i="83"/>
  <c r="BH28" i="83"/>
  <c r="Y28" i="83"/>
  <c r="AI28" i="83"/>
  <c r="CM49" i="83"/>
  <c r="T28" i="83"/>
  <c r="AA28" i="83"/>
  <c r="CM26" i="83"/>
  <c r="BP28" i="83"/>
  <c r="L28" i="83"/>
  <c r="CF28" i="83"/>
  <c r="CB28" i="83"/>
  <c r="AV28" i="83"/>
  <c r="V28" i="83"/>
  <c r="W28" i="83"/>
  <c r="H28" i="83"/>
  <c r="CE28" i="83"/>
  <c r="CL28" i="83"/>
  <c r="BZ28" i="83"/>
  <c r="BX28" i="83"/>
  <c r="AN28" i="83"/>
  <c r="AS28" i="83"/>
  <c r="I28" i="83"/>
  <c r="CA28" i="83"/>
  <c r="BQ28" i="83"/>
  <c r="CM30" i="83"/>
  <c r="BT28" i="83"/>
  <c r="AU28" i="83"/>
  <c r="CM47" i="83"/>
  <c r="BR28" i="83"/>
  <c r="BY28" i="83"/>
  <c r="A12" i="80" a="1"/>
  <c r="E15" i="81" a="1"/>
  <c r="E15" i="81" s="1"/>
  <c r="E14" i="81" a="1"/>
  <c r="E14" i="81" s="1"/>
  <c r="E13" i="81" a="1"/>
  <c r="E13" i="81" s="1"/>
  <c r="E12" i="81" a="1"/>
  <c r="E12" i="81" s="1"/>
  <c r="E11" i="81" a="1"/>
  <c r="E11" i="81" s="1"/>
  <c r="N52" i="82"/>
  <c r="V52" i="82"/>
  <c r="L52" i="82"/>
  <c r="T52" i="82"/>
  <c r="BU54" i="83" l="1"/>
  <c r="CD66" i="83"/>
  <c r="BQ66" i="83"/>
  <c r="AA54" i="83"/>
  <c r="AX54" i="83"/>
  <c r="BG66" i="83"/>
  <c r="BX66" i="83"/>
  <c r="L66" i="83"/>
  <c r="I54" i="83"/>
  <c r="AO66" i="83"/>
  <c r="BL66" i="83"/>
  <c r="R66" i="83"/>
  <c r="CA66" i="83"/>
  <c r="AK66" i="83"/>
  <c r="AR66" i="83"/>
  <c r="V54" i="83"/>
  <c r="CM54" i="83" s="1"/>
  <c r="AK54" i="83"/>
  <c r="AJ66" i="83"/>
  <c r="CM18" i="83"/>
  <c r="BR35" i="83"/>
  <c r="BR34" i="83"/>
  <c r="BR33" i="83"/>
  <c r="BR44" i="83"/>
  <c r="BR64" i="83" s="1"/>
  <c r="BR45" i="83"/>
  <c r="BR63" i="83" s="1"/>
  <c r="BR36" i="83"/>
  <c r="BR38" i="83"/>
  <c r="BR43" i="83"/>
  <c r="BR61" i="83" s="1"/>
  <c r="BR37" i="83"/>
  <c r="BR42" i="83"/>
  <c r="BR60" i="83" s="1"/>
  <c r="BR39" i="83"/>
  <c r="BR23" i="83"/>
  <c r="BR40" i="83"/>
  <c r="BR27" i="83"/>
  <c r="AU27" i="83"/>
  <c r="AU33" i="83"/>
  <c r="AU44" i="83"/>
  <c r="AU64" i="83" s="1"/>
  <c r="AU39" i="83"/>
  <c r="AU36" i="83"/>
  <c r="AU43" i="83"/>
  <c r="AU61" i="83" s="1"/>
  <c r="AU35" i="83"/>
  <c r="AU37" i="83"/>
  <c r="AU34" i="83"/>
  <c r="AU40" i="83"/>
  <c r="AU38" i="83"/>
  <c r="AU45" i="83"/>
  <c r="AU63" i="83" s="1"/>
  <c r="AU42" i="83"/>
  <c r="AU60" i="83" s="1"/>
  <c r="AU23" i="83"/>
  <c r="BJ27" i="83"/>
  <c r="BJ40" i="83"/>
  <c r="BJ36" i="83"/>
  <c r="BJ45" i="83"/>
  <c r="BJ63" i="83" s="1"/>
  <c r="BJ42" i="83"/>
  <c r="BJ60" i="83" s="1"/>
  <c r="BJ35" i="83"/>
  <c r="BJ43" i="83"/>
  <c r="BJ61" i="83" s="1"/>
  <c r="BJ34" i="83"/>
  <c r="BJ33" i="83"/>
  <c r="BJ39" i="83"/>
  <c r="BJ23" i="83"/>
  <c r="BJ38" i="83"/>
  <c r="BJ44" i="83"/>
  <c r="BJ64" i="83" s="1"/>
  <c r="BJ37" i="83"/>
  <c r="BS39" i="83"/>
  <c r="BS34" i="83"/>
  <c r="BS43" i="83"/>
  <c r="BS61" i="83" s="1"/>
  <c r="BS33" i="83"/>
  <c r="BS42" i="83"/>
  <c r="BS60" i="83" s="1"/>
  <c r="BS40" i="83"/>
  <c r="BS45" i="83"/>
  <c r="BS63" i="83" s="1"/>
  <c r="BS38" i="83"/>
  <c r="BS44" i="83"/>
  <c r="BS64" i="83" s="1"/>
  <c r="BS27" i="83"/>
  <c r="BS23" i="83"/>
  <c r="BS36" i="83"/>
  <c r="BS37" i="83"/>
  <c r="BS35" i="83"/>
  <c r="BH36" i="83"/>
  <c r="BH38" i="83"/>
  <c r="BH27" i="83"/>
  <c r="BH42" i="83"/>
  <c r="BH60" i="83" s="1"/>
  <c r="BH33" i="83"/>
  <c r="BH40" i="83"/>
  <c r="BH45" i="83"/>
  <c r="BH63" i="83" s="1"/>
  <c r="BH23" i="83"/>
  <c r="BH55" i="83" s="1"/>
  <c r="BH43" i="83"/>
  <c r="BH61" i="83" s="1"/>
  <c r="BH37" i="83"/>
  <c r="BH34" i="83"/>
  <c r="BH39" i="83"/>
  <c r="BH35" i="83"/>
  <c r="BH44" i="83"/>
  <c r="BH64" i="83" s="1"/>
  <c r="CE38" i="83"/>
  <c r="CE43" i="83"/>
  <c r="CE61" i="83" s="1"/>
  <c r="CE33" i="83"/>
  <c r="CE37" i="83"/>
  <c r="CE42" i="83"/>
  <c r="CE60" i="83" s="1"/>
  <c r="CE39" i="83"/>
  <c r="CE36" i="83"/>
  <c r="CE40" i="83"/>
  <c r="CE45" i="83"/>
  <c r="CE63" i="83" s="1"/>
  <c r="CE44" i="83"/>
  <c r="CE64" i="83" s="1"/>
  <c r="CE34" i="83"/>
  <c r="CE35" i="83"/>
  <c r="CE23" i="83"/>
  <c r="CE27" i="83"/>
  <c r="S45" i="83"/>
  <c r="S63" i="83" s="1"/>
  <c r="S44" i="83"/>
  <c r="S64" i="83" s="1"/>
  <c r="S34" i="83"/>
  <c r="S35" i="83"/>
  <c r="S42" i="83"/>
  <c r="S60" i="83" s="1"/>
  <c r="S43" i="83"/>
  <c r="S61" i="83" s="1"/>
  <c r="S40" i="83"/>
  <c r="S37" i="83"/>
  <c r="S38" i="83"/>
  <c r="S36" i="83"/>
  <c r="S23" i="83"/>
  <c r="S55" i="83" s="1"/>
  <c r="S39" i="83"/>
  <c r="S27" i="83"/>
  <c r="AP43" i="83"/>
  <c r="AP61" i="83" s="1"/>
  <c r="AP36" i="83"/>
  <c r="AP42" i="83"/>
  <c r="AP60" i="83" s="1"/>
  <c r="AP38" i="83"/>
  <c r="AP39" i="83"/>
  <c r="AP34" i="83"/>
  <c r="AP35" i="83"/>
  <c r="AP23" i="83"/>
  <c r="AP40" i="83"/>
  <c r="AP45" i="83"/>
  <c r="AP63" i="83" s="1"/>
  <c r="AP37" i="83"/>
  <c r="AP44" i="83"/>
  <c r="AP64" i="83" s="1"/>
  <c r="AP33" i="83"/>
  <c r="AP27" i="83"/>
  <c r="BM44" i="83"/>
  <c r="BM64" i="83" s="1"/>
  <c r="BM43" i="83"/>
  <c r="BM61" i="83" s="1"/>
  <c r="BM42" i="83"/>
  <c r="BM60" i="83" s="1"/>
  <c r="BM37" i="83"/>
  <c r="BM45" i="83"/>
  <c r="BM63" i="83" s="1"/>
  <c r="BM39" i="83"/>
  <c r="BM40" i="83"/>
  <c r="BM35" i="83"/>
  <c r="BM23" i="83"/>
  <c r="BM55" i="83" s="1"/>
  <c r="BM33" i="83"/>
  <c r="BM36" i="83"/>
  <c r="BM27" i="83"/>
  <c r="BM38" i="83"/>
  <c r="BM34" i="83"/>
  <c r="CJ36" i="83"/>
  <c r="CJ23" i="83"/>
  <c r="CJ55" i="83" s="1"/>
  <c r="CJ27" i="83"/>
  <c r="CJ43" i="83"/>
  <c r="CJ61" i="83" s="1"/>
  <c r="CJ33" i="83"/>
  <c r="CJ34" i="83"/>
  <c r="CJ40" i="83"/>
  <c r="CJ39" i="83"/>
  <c r="CJ42" i="83"/>
  <c r="CJ60" i="83" s="1"/>
  <c r="CJ38" i="83"/>
  <c r="CJ45" i="83"/>
  <c r="CJ63" i="83" s="1"/>
  <c r="CJ35" i="83"/>
  <c r="CJ44" i="83"/>
  <c r="CJ64" i="83" s="1"/>
  <c r="CJ37" i="83"/>
  <c r="X39" i="83"/>
  <c r="X27" i="83"/>
  <c r="X23" i="83"/>
  <c r="X38" i="83"/>
  <c r="X35" i="83"/>
  <c r="X43" i="83"/>
  <c r="X61" i="83" s="1"/>
  <c r="X37" i="83"/>
  <c r="X42" i="83"/>
  <c r="X60" i="83" s="1"/>
  <c r="X36" i="83"/>
  <c r="X40" i="83"/>
  <c r="X33" i="83"/>
  <c r="X34" i="83"/>
  <c r="X44" i="83"/>
  <c r="X64" i="83" s="1"/>
  <c r="X45" i="83"/>
  <c r="X63" i="83" s="1"/>
  <c r="G66" i="83"/>
  <c r="CM17" i="83"/>
  <c r="AC34" i="83"/>
  <c r="AC27" i="83"/>
  <c r="AC40" i="83"/>
  <c r="AC44" i="83"/>
  <c r="AC64" i="83" s="1"/>
  <c r="AC37" i="83"/>
  <c r="AC43" i="83"/>
  <c r="AC61" i="83" s="1"/>
  <c r="AC42" i="83"/>
  <c r="AC60" i="83" s="1"/>
  <c r="AC23" i="83"/>
  <c r="AC35" i="83"/>
  <c r="AC33" i="83"/>
  <c r="AC38" i="83"/>
  <c r="AC36" i="83"/>
  <c r="AC45" i="83"/>
  <c r="AC63" i="83" s="1"/>
  <c r="AC39" i="83"/>
  <c r="CH36" i="83"/>
  <c r="CH27" i="83"/>
  <c r="CH44" i="83"/>
  <c r="CH64" i="83" s="1"/>
  <c r="CH34" i="83"/>
  <c r="CH23" i="83"/>
  <c r="CH45" i="83"/>
  <c r="CH63" i="83" s="1"/>
  <c r="CH33" i="83"/>
  <c r="CH43" i="83"/>
  <c r="CH61" i="83" s="1"/>
  <c r="CH35" i="83"/>
  <c r="CH42" i="83"/>
  <c r="CH60" i="83" s="1"/>
  <c r="CH38" i="83"/>
  <c r="CH37" i="83"/>
  <c r="CH40" i="83"/>
  <c r="CH39" i="83"/>
  <c r="AM27" i="83"/>
  <c r="AM42" i="83"/>
  <c r="AM60" i="83" s="1"/>
  <c r="AM35" i="83"/>
  <c r="AM40" i="83"/>
  <c r="AM36" i="83"/>
  <c r="AM45" i="83"/>
  <c r="AM63" i="83" s="1"/>
  <c r="AM44" i="83"/>
  <c r="AM64" i="83" s="1"/>
  <c r="AM39" i="83"/>
  <c r="AM34" i="83"/>
  <c r="AM37" i="83"/>
  <c r="AM33" i="83"/>
  <c r="AM43" i="83"/>
  <c r="AM61" i="83" s="1"/>
  <c r="AM38" i="83"/>
  <c r="AM23" i="83"/>
  <c r="AM55" i="83" s="1"/>
  <c r="BZ33" i="83"/>
  <c r="BZ35" i="83"/>
  <c r="BZ27" i="83"/>
  <c r="BZ43" i="83"/>
  <c r="BZ61" i="83" s="1"/>
  <c r="BZ42" i="83"/>
  <c r="BZ60" i="83" s="1"/>
  <c r="BZ39" i="83"/>
  <c r="BZ45" i="83"/>
  <c r="BZ63" i="83" s="1"/>
  <c r="BZ38" i="83"/>
  <c r="BZ37" i="83"/>
  <c r="BZ36" i="83"/>
  <c r="BZ44" i="83"/>
  <c r="BZ64" i="83" s="1"/>
  <c r="BZ40" i="83"/>
  <c r="BZ23" i="83"/>
  <c r="BZ55" i="83" s="1"/>
  <c r="BZ34" i="83"/>
  <c r="AZ36" i="83"/>
  <c r="AZ45" i="83"/>
  <c r="AZ63" i="83" s="1"/>
  <c r="AZ44" i="83"/>
  <c r="AZ64" i="83" s="1"/>
  <c r="AZ40" i="83"/>
  <c r="AZ43" i="83"/>
  <c r="AZ61" i="83" s="1"/>
  <c r="AZ37" i="83"/>
  <c r="AZ38" i="83"/>
  <c r="AZ34" i="83"/>
  <c r="AZ39" i="83"/>
  <c r="AZ35" i="83"/>
  <c r="AZ33" i="83"/>
  <c r="AZ42" i="83"/>
  <c r="AZ60" i="83" s="1"/>
  <c r="AZ23" i="83"/>
  <c r="AZ55" i="83" s="1"/>
  <c r="AZ27" i="83"/>
  <c r="BW27" i="83"/>
  <c r="BW34" i="83"/>
  <c r="BW38" i="83"/>
  <c r="BW45" i="83"/>
  <c r="BW63" i="83" s="1"/>
  <c r="BW44" i="83"/>
  <c r="BW64" i="83" s="1"/>
  <c r="BW43" i="83"/>
  <c r="BW61" i="83" s="1"/>
  <c r="BW36" i="83"/>
  <c r="BW37" i="83"/>
  <c r="BW40" i="83"/>
  <c r="BW39" i="83"/>
  <c r="BW35" i="83"/>
  <c r="BW23" i="83"/>
  <c r="BW42" i="83"/>
  <c r="BW60" i="83" s="1"/>
  <c r="BW33" i="83"/>
  <c r="K35" i="83"/>
  <c r="K34" i="83"/>
  <c r="K45" i="83"/>
  <c r="K63" i="83" s="1"/>
  <c r="K44" i="83"/>
  <c r="K64" i="83" s="1"/>
  <c r="K38" i="83"/>
  <c r="K43" i="83"/>
  <c r="K61" i="83" s="1"/>
  <c r="K40" i="83"/>
  <c r="K37" i="83"/>
  <c r="K39" i="83"/>
  <c r="K23" i="83"/>
  <c r="K42" i="83"/>
  <c r="K60" i="83" s="1"/>
  <c r="K36" i="83"/>
  <c r="K27" i="83"/>
  <c r="AH35" i="83"/>
  <c r="AH39" i="83"/>
  <c r="AH38" i="83"/>
  <c r="AH23" i="83"/>
  <c r="AH37" i="83"/>
  <c r="AH34" i="83"/>
  <c r="AH44" i="83"/>
  <c r="AH64" i="83" s="1"/>
  <c r="AH43" i="83"/>
  <c r="AH61" i="83" s="1"/>
  <c r="AH45" i="83"/>
  <c r="AH63" i="83" s="1"/>
  <c r="AH42" i="83"/>
  <c r="AH60" i="83" s="1"/>
  <c r="AH40" i="83"/>
  <c r="AH27" i="83"/>
  <c r="AH36" i="83"/>
  <c r="AH33" i="83"/>
  <c r="BE37" i="83"/>
  <c r="BE45" i="83"/>
  <c r="BE63" i="83" s="1"/>
  <c r="BE35" i="83"/>
  <c r="BE40" i="83"/>
  <c r="BE27" i="83"/>
  <c r="BE36" i="83"/>
  <c r="BE34" i="83"/>
  <c r="BE38" i="83"/>
  <c r="BE33" i="83"/>
  <c r="BE39" i="83"/>
  <c r="BE23" i="83"/>
  <c r="BE44" i="83"/>
  <c r="BE64" i="83" s="1"/>
  <c r="BE43" i="83"/>
  <c r="BE61" i="83" s="1"/>
  <c r="BE42" i="83"/>
  <c r="BE60" i="83" s="1"/>
  <c r="CB36" i="83"/>
  <c r="CB38" i="83"/>
  <c r="CB33" i="83"/>
  <c r="CB35" i="83"/>
  <c r="CB40" i="83"/>
  <c r="CB34" i="83"/>
  <c r="CB45" i="83"/>
  <c r="CB63" i="83" s="1"/>
  <c r="CB44" i="83"/>
  <c r="CB64" i="83" s="1"/>
  <c r="CB42" i="83"/>
  <c r="CB60" i="83" s="1"/>
  <c r="CB43" i="83"/>
  <c r="CB61" i="83" s="1"/>
  <c r="CB27" i="83"/>
  <c r="CB23" i="83"/>
  <c r="CB37" i="83"/>
  <c r="CB39" i="83"/>
  <c r="P27" i="83"/>
  <c r="P39" i="83"/>
  <c r="P34" i="83"/>
  <c r="P23" i="83"/>
  <c r="P36" i="83"/>
  <c r="P35" i="83"/>
  <c r="P42" i="83"/>
  <c r="P60" i="83" s="1"/>
  <c r="P40" i="83"/>
  <c r="P45" i="83"/>
  <c r="P63" i="83" s="1"/>
  <c r="P38" i="83"/>
  <c r="P44" i="83"/>
  <c r="P64" i="83" s="1"/>
  <c r="P43" i="83"/>
  <c r="P61" i="83" s="1"/>
  <c r="P37" i="83"/>
  <c r="BR66" i="83"/>
  <c r="CI40" i="83"/>
  <c r="CI43" i="83"/>
  <c r="CI61" i="83" s="1"/>
  <c r="CI34" i="83"/>
  <c r="CI44" i="83"/>
  <c r="CI64" i="83" s="1"/>
  <c r="CI38" i="83"/>
  <c r="CI23" i="83"/>
  <c r="CI35" i="83"/>
  <c r="CI39" i="83"/>
  <c r="CI37" i="83"/>
  <c r="CI42" i="83"/>
  <c r="CI60" i="83" s="1"/>
  <c r="CI45" i="83"/>
  <c r="CI63" i="83" s="1"/>
  <c r="CI36" i="83"/>
  <c r="CI27" i="83"/>
  <c r="CI33" i="83"/>
  <c r="BK34" i="83"/>
  <c r="BK33" i="83"/>
  <c r="BK35" i="83"/>
  <c r="BK37" i="83"/>
  <c r="BK42" i="83"/>
  <c r="BK60" i="83" s="1"/>
  <c r="BK38" i="83"/>
  <c r="BK36" i="83"/>
  <c r="BK27" i="83"/>
  <c r="BK39" i="83"/>
  <c r="BK43" i="83"/>
  <c r="BK61" i="83" s="1"/>
  <c r="BK40" i="83"/>
  <c r="BK44" i="83"/>
  <c r="BK64" i="83" s="1"/>
  <c r="BK45" i="83"/>
  <c r="BK63" i="83" s="1"/>
  <c r="BK23" i="83"/>
  <c r="U27" i="83"/>
  <c r="U35" i="83"/>
  <c r="U39" i="83"/>
  <c r="U38" i="83"/>
  <c r="U33" i="83"/>
  <c r="U23" i="83"/>
  <c r="U55" i="83" s="1"/>
  <c r="U45" i="83"/>
  <c r="U63" i="83" s="1"/>
  <c r="U37" i="83"/>
  <c r="U40" i="83"/>
  <c r="U34" i="83"/>
  <c r="U41" i="83" s="1"/>
  <c r="U62" i="83" s="1"/>
  <c r="U44" i="83"/>
  <c r="U64" i="83" s="1"/>
  <c r="U36" i="83"/>
  <c r="U43" i="83"/>
  <c r="U61" i="83" s="1"/>
  <c r="U42" i="83"/>
  <c r="U60" i="83" s="1"/>
  <c r="BC40" i="83"/>
  <c r="BC42" i="83"/>
  <c r="BC60" i="83" s="1"/>
  <c r="BC44" i="83"/>
  <c r="BC64" i="83" s="1"/>
  <c r="BC36" i="83"/>
  <c r="BC33" i="83"/>
  <c r="BC39" i="83"/>
  <c r="BC27" i="83"/>
  <c r="BC43" i="83"/>
  <c r="BC61" i="83" s="1"/>
  <c r="BC35" i="83"/>
  <c r="BC34" i="83"/>
  <c r="BC38" i="83"/>
  <c r="BC37" i="83"/>
  <c r="BC23" i="83"/>
  <c r="BC45" i="83"/>
  <c r="BC63" i="83" s="1"/>
  <c r="AR42" i="83"/>
  <c r="AR60" i="83" s="1"/>
  <c r="AR34" i="83"/>
  <c r="AR23" i="83"/>
  <c r="AR37" i="83"/>
  <c r="AR36" i="83"/>
  <c r="AR45" i="83"/>
  <c r="AR63" i="83" s="1"/>
  <c r="AR44" i="83"/>
  <c r="AR64" i="83" s="1"/>
  <c r="AR43" i="83"/>
  <c r="AR61" i="83" s="1"/>
  <c r="AR40" i="83"/>
  <c r="AR27" i="83"/>
  <c r="AR38" i="83"/>
  <c r="AR39" i="83"/>
  <c r="AR33" i="83"/>
  <c r="AR35" i="83"/>
  <c r="BO43" i="83"/>
  <c r="BO61" i="83" s="1"/>
  <c r="BO35" i="83"/>
  <c r="BO37" i="83"/>
  <c r="BO44" i="83"/>
  <c r="BO64" i="83" s="1"/>
  <c r="BO39" i="83"/>
  <c r="BO33" i="83"/>
  <c r="BO40" i="83"/>
  <c r="BO45" i="83"/>
  <c r="BO63" i="83" s="1"/>
  <c r="BO34" i="83"/>
  <c r="BO42" i="83"/>
  <c r="BO60" i="83" s="1"/>
  <c r="BO23" i="83"/>
  <c r="BO55" i="83" s="1"/>
  <c r="BO36" i="83"/>
  <c r="BO38" i="83"/>
  <c r="BO27" i="83"/>
  <c r="CL35" i="83"/>
  <c r="CL39" i="83"/>
  <c r="CL23" i="83"/>
  <c r="CL36" i="83"/>
  <c r="CL45" i="83"/>
  <c r="CL63" i="83" s="1"/>
  <c r="CL34" i="83"/>
  <c r="CL44" i="83"/>
  <c r="CL64" i="83" s="1"/>
  <c r="CL33" i="83"/>
  <c r="CL40" i="83"/>
  <c r="CL43" i="83"/>
  <c r="CL61" i="83" s="1"/>
  <c r="CL38" i="83"/>
  <c r="CL42" i="83"/>
  <c r="CL60" i="83" s="1"/>
  <c r="CL27" i="83"/>
  <c r="CL37" i="83"/>
  <c r="Z36" i="83"/>
  <c r="Z34" i="83"/>
  <c r="Z23" i="83"/>
  <c r="Z44" i="83"/>
  <c r="Z64" i="83" s="1"/>
  <c r="Z33" i="83"/>
  <c r="Z40" i="83"/>
  <c r="Z42" i="83"/>
  <c r="Z60" i="83" s="1"/>
  <c r="Z43" i="83"/>
  <c r="Z61" i="83" s="1"/>
  <c r="Z38" i="83"/>
  <c r="Z39" i="83"/>
  <c r="Z37" i="83"/>
  <c r="Z45" i="83"/>
  <c r="Z63" i="83" s="1"/>
  <c r="Z35" i="83"/>
  <c r="Z27" i="83"/>
  <c r="AW43" i="83"/>
  <c r="AW61" i="83" s="1"/>
  <c r="AW42" i="83"/>
  <c r="AW60" i="83" s="1"/>
  <c r="AW39" i="83"/>
  <c r="AW45" i="83"/>
  <c r="AW63" i="83" s="1"/>
  <c r="AW37" i="83"/>
  <c r="AW23" i="83"/>
  <c r="AW40" i="83"/>
  <c r="AW34" i="83"/>
  <c r="AW36" i="83"/>
  <c r="AW33" i="83"/>
  <c r="AW38" i="83"/>
  <c r="AW35" i="83"/>
  <c r="AW44" i="83"/>
  <c r="AW64" i="83" s="1"/>
  <c r="AW27" i="83"/>
  <c r="BT27" i="83"/>
  <c r="BT44" i="83"/>
  <c r="BT64" i="83" s="1"/>
  <c r="BT43" i="83"/>
  <c r="BT61" i="83" s="1"/>
  <c r="BT33" i="83"/>
  <c r="BT34" i="83"/>
  <c r="BT23" i="83"/>
  <c r="BT35" i="83"/>
  <c r="BT42" i="83"/>
  <c r="BT60" i="83" s="1"/>
  <c r="BT37" i="83"/>
  <c r="BT40" i="83"/>
  <c r="BT36" i="83"/>
  <c r="BT45" i="83"/>
  <c r="BT63" i="83" s="1"/>
  <c r="BT38" i="83"/>
  <c r="BT39" i="83"/>
  <c r="H27" i="83"/>
  <c r="H23" i="83"/>
  <c r="H55" i="83" s="1"/>
  <c r="H45" i="83"/>
  <c r="H63" i="83" s="1"/>
  <c r="H37" i="83"/>
  <c r="H44" i="83"/>
  <c r="H64" i="83" s="1"/>
  <c r="H40" i="83"/>
  <c r="H43" i="83"/>
  <c r="H61" i="83" s="1"/>
  <c r="H34" i="83"/>
  <c r="H39" i="83"/>
  <c r="H38" i="83"/>
  <c r="H36" i="83"/>
  <c r="H42" i="83"/>
  <c r="H60" i="83" s="1"/>
  <c r="H35" i="83"/>
  <c r="AU66" i="83"/>
  <c r="BJ66" i="83"/>
  <c r="BQ35" i="83"/>
  <c r="BQ23" i="83"/>
  <c r="BQ33" i="83"/>
  <c r="BQ44" i="83"/>
  <c r="BQ64" i="83" s="1"/>
  <c r="BQ38" i="83"/>
  <c r="BQ43" i="83"/>
  <c r="BQ61" i="83" s="1"/>
  <c r="BQ45" i="83"/>
  <c r="BQ63" i="83" s="1"/>
  <c r="BQ42" i="83"/>
  <c r="BQ60" i="83" s="1"/>
  <c r="BQ40" i="83"/>
  <c r="BQ34" i="83"/>
  <c r="BQ36" i="83"/>
  <c r="BQ27" i="83"/>
  <c r="BQ37" i="83"/>
  <c r="BQ39" i="83"/>
  <c r="AS34" i="83"/>
  <c r="AS36" i="83"/>
  <c r="AS37" i="83"/>
  <c r="AS44" i="83"/>
  <c r="AS64" i="83" s="1"/>
  <c r="AS43" i="83"/>
  <c r="AS61" i="83" s="1"/>
  <c r="AS42" i="83"/>
  <c r="AS60" i="83" s="1"/>
  <c r="AS35" i="83"/>
  <c r="AS38" i="83"/>
  <c r="AS33" i="83"/>
  <c r="AS23" i="83"/>
  <c r="AS55" i="83" s="1"/>
  <c r="AS45" i="83"/>
  <c r="AS63" i="83" s="1"/>
  <c r="AS39" i="83"/>
  <c r="AS40" i="83"/>
  <c r="AS27" i="83"/>
  <c r="CA40" i="83"/>
  <c r="CA45" i="83"/>
  <c r="CA63" i="83" s="1"/>
  <c r="CA27" i="83"/>
  <c r="CA38" i="83"/>
  <c r="CA39" i="83"/>
  <c r="CA36" i="83"/>
  <c r="CA33" i="83"/>
  <c r="CA23" i="83"/>
  <c r="CA43" i="83"/>
  <c r="CA61" i="83" s="1"/>
  <c r="CA37" i="83"/>
  <c r="CA44" i="83"/>
  <c r="CA64" i="83" s="1"/>
  <c r="CA42" i="83"/>
  <c r="CA60" i="83" s="1"/>
  <c r="CA35" i="83"/>
  <c r="CA34" i="83"/>
  <c r="AK38" i="83"/>
  <c r="AK34" i="83"/>
  <c r="AK45" i="83"/>
  <c r="AK63" i="83" s="1"/>
  <c r="AK43" i="83"/>
  <c r="AK61" i="83" s="1"/>
  <c r="AK40" i="83"/>
  <c r="AK27" i="83"/>
  <c r="AK37" i="83"/>
  <c r="AK44" i="83"/>
  <c r="AK64" i="83" s="1"/>
  <c r="AK35" i="83"/>
  <c r="AK42" i="83"/>
  <c r="AK60" i="83" s="1"/>
  <c r="AK23" i="83"/>
  <c r="AK33" i="83"/>
  <c r="AK39" i="83"/>
  <c r="AK36" i="83"/>
  <c r="AJ27" i="83"/>
  <c r="AJ43" i="83"/>
  <c r="AJ61" i="83" s="1"/>
  <c r="AJ42" i="83"/>
  <c r="AJ60" i="83" s="1"/>
  <c r="AJ37" i="83"/>
  <c r="AJ40" i="83"/>
  <c r="AJ35" i="83"/>
  <c r="AJ33" i="83"/>
  <c r="AJ45" i="83"/>
  <c r="AJ63" i="83" s="1"/>
  <c r="AJ44" i="83"/>
  <c r="AJ64" i="83" s="1"/>
  <c r="AJ39" i="83"/>
  <c r="AJ38" i="83"/>
  <c r="AJ36" i="83"/>
  <c r="AJ23" i="83"/>
  <c r="AJ55" i="83" s="1"/>
  <c r="AJ34" i="83"/>
  <c r="BG42" i="83"/>
  <c r="BG60" i="83" s="1"/>
  <c r="BG27" i="83"/>
  <c r="BG45" i="83"/>
  <c r="BG63" i="83" s="1"/>
  <c r="BG44" i="83"/>
  <c r="BG64" i="83" s="1"/>
  <c r="BG36" i="83"/>
  <c r="BG34" i="83"/>
  <c r="BG35" i="83"/>
  <c r="BG23" i="83"/>
  <c r="BG43" i="83"/>
  <c r="BG61" i="83" s="1"/>
  <c r="BG33" i="83"/>
  <c r="BG37" i="83"/>
  <c r="BG40" i="83"/>
  <c r="BG39" i="83"/>
  <c r="BG38" i="83"/>
  <c r="CD38" i="83"/>
  <c r="CD36" i="83"/>
  <c r="CD23" i="83"/>
  <c r="CD55" i="83" s="1"/>
  <c r="CD39" i="83"/>
  <c r="CD44" i="83"/>
  <c r="CD64" i="83" s="1"/>
  <c r="CD37" i="83"/>
  <c r="CD43" i="83"/>
  <c r="CD61" i="83" s="1"/>
  <c r="CD42" i="83"/>
  <c r="CD60" i="83" s="1"/>
  <c r="CD40" i="83"/>
  <c r="CD45" i="83"/>
  <c r="CD63" i="83" s="1"/>
  <c r="CD35" i="83"/>
  <c r="CD33" i="83"/>
  <c r="CD27" i="83"/>
  <c r="CD34" i="83"/>
  <c r="R43" i="83"/>
  <c r="R61" i="83" s="1"/>
  <c r="R37" i="83"/>
  <c r="R23" i="83"/>
  <c r="R42" i="83"/>
  <c r="R60" i="83" s="1"/>
  <c r="R34" i="83"/>
  <c r="R35" i="83"/>
  <c r="R36" i="83"/>
  <c r="R45" i="83"/>
  <c r="R63" i="83" s="1"/>
  <c r="R40" i="83"/>
  <c r="R39" i="83"/>
  <c r="R44" i="83"/>
  <c r="R64" i="83" s="1"/>
  <c r="R38" i="83"/>
  <c r="R27" i="83"/>
  <c r="AO38" i="83"/>
  <c r="AO39" i="83"/>
  <c r="AO34" i="83"/>
  <c r="AO35" i="83"/>
  <c r="AO33" i="83"/>
  <c r="AO27" i="83"/>
  <c r="AO23" i="83"/>
  <c r="AO44" i="83"/>
  <c r="AO64" i="83" s="1"/>
  <c r="AO43" i="83"/>
  <c r="AO61" i="83" s="1"/>
  <c r="AO42" i="83"/>
  <c r="AO60" i="83" s="1"/>
  <c r="AO45" i="83"/>
  <c r="AO63" i="83" s="1"/>
  <c r="AO37" i="83"/>
  <c r="AO40" i="83"/>
  <c r="AO36" i="83"/>
  <c r="BL23" i="83"/>
  <c r="BL27" i="83"/>
  <c r="BL38" i="83"/>
  <c r="BL34" i="83"/>
  <c r="BL42" i="83"/>
  <c r="BL60" i="83" s="1"/>
  <c r="BL40" i="83"/>
  <c r="BL45" i="83"/>
  <c r="BL63" i="83" s="1"/>
  <c r="BL37" i="83"/>
  <c r="BL44" i="83"/>
  <c r="BL64" i="83" s="1"/>
  <c r="BL36" i="83"/>
  <c r="BL43" i="83"/>
  <c r="BL61" i="83" s="1"/>
  <c r="BL35" i="83"/>
  <c r="BL33" i="83"/>
  <c r="BL39" i="83"/>
  <c r="CM19" i="83"/>
  <c r="AT33" i="83"/>
  <c r="AT34" i="83"/>
  <c r="AT36" i="83"/>
  <c r="AT44" i="83"/>
  <c r="AT64" i="83" s="1"/>
  <c r="AT35" i="83"/>
  <c r="AT45" i="83"/>
  <c r="AT63" i="83" s="1"/>
  <c r="AT40" i="83"/>
  <c r="AT39" i="83"/>
  <c r="AT23" i="83"/>
  <c r="AT43" i="83"/>
  <c r="AT61" i="83" s="1"/>
  <c r="AT42" i="83"/>
  <c r="AT60" i="83" s="1"/>
  <c r="AT38" i="83"/>
  <c r="AT37" i="83"/>
  <c r="AT27" i="83"/>
  <c r="V27" i="83"/>
  <c r="V45" i="83"/>
  <c r="V63" i="83" s="1"/>
  <c r="V35" i="83"/>
  <c r="V23" i="83"/>
  <c r="V38" i="83"/>
  <c r="V37" i="83"/>
  <c r="V40" i="83"/>
  <c r="V39" i="83"/>
  <c r="V44" i="83"/>
  <c r="V64" i="83" s="1"/>
  <c r="V34" i="83"/>
  <c r="V43" i="83"/>
  <c r="V61" i="83" s="1"/>
  <c r="V36" i="83"/>
  <c r="V42" i="83"/>
  <c r="V60" i="83" s="1"/>
  <c r="V33" i="83"/>
  <c r="BI40" i="83"/>
  <c r="BI37" i="83"/>
  <c r="BI36" i="83"/>
  <c r="BI27" i="83"/>
  <c r="BI44" i="83"/>
  <c r="BI64" i="83" s="1"/>
  <c r="BI34" i="83"/>
  <c r="BI43" i="83"/>
  <c r="BI61" i="83" s="1"/>
  <c r="BI42" i="83"/>
  <c r="BI60" i="83" s="1"/>
  <c r="BI35" i="83"/>
  <c r="BI38" i="83"/>
  <c r="BI33" i="83"/>
  <c r="BI45" i="83"/>
  <c r="BI63" i="83" s="1"/>
  <c r="BI39" i="83"/>
  <c r="BI23" i="83"/>
  <c r="N27" i="83"/>
  <c r="N36" i="83"/>
  <c r="N37" i="83"/>
  <c r="N44" i="83"/>
  <c r="N64" i="83" s="1"/>
  <c r="N35" i="83"/>
  <c r="N40" i="83"/>
  <c r="N34" i="83"/>
  <c r="N39" i="83"/>
  <c r="N38" i="83"/>
  <c r="N43" i="83"/>
  <c r="N61" i="83" s="1"/>
  <c r="N42" i="83"/>
  <c r="N60" i="83" s="1"/>
  <c r="N45" i="83"/>
  <c r="N63" i="83" s="1"/>
  <c r="N23" i="83"/>
  <c r="N55" i="83" s="1"/>
  <c r="AB27" i="83"/>
  <c r="AB40" i="83"/>
  <c r="AB44" i="83"/>
  <c r="AB64" i="83" s="1"/>
  <c r="AB43" i="83"/>
  <c r="AB61" i="83" s="1"/>
  <c r="AB38" i="83"/>
  <c r="AB33" i="83"/>
  <c r="AB42" i="83"/>
  <c r="AB60" i="83" s="1"/>
  <c r="AB37" i="83"/>
  <c r="AB45" i="83"/>
  <c r="AB63" i="83" s="1"/>
  <c r="AB36" i="83"/>
  <c r="AB23" i="83"/>
  <c r="AB35" i="83"/>
  <c r="AB34" i="83"/>
  <c r="AB39" i="83"/>
  <c r="AY42" i="83"/>
  <c r="AY60" i="83" s="1"/>
  <c r="AY43" i="83"/>
  <c r="AY61" i="83" s="1"/>
  <c r="AY38" i="83"/>
  <c r="AY37" i="83"/>
  <c r="AY35" i="83"/>
  <c r="AY39" i="83"/>
  <c r="AY33" i="83"/>
  <c r="AY23" i="83"/>
  <c r="AY40" i="83"/>
  <c r="AY36" i="83"/>
  <c r="AY45" i="83"/>
  <c r="AY63" i="83" s="1"/>
  <c r="AY27" i="83"/>
  <c r="AY44" i="83"/>
  <c r="AY64" i="83" s="1"/>
  <c r="AY34" i="83"/>
  <c r="BV27" i="83"/>
  <c r="BV39" i="83"/>
  <c r="BV33" i="83"/>
  <c r="BV35" i="83"/>
  <c r="BV40" i="83"/>
  <c r="BV43" i="83"/>
  <c r="BV61" i="83" s="1"/>
  <c r="BV42" i="83"/>
  <c r="BV60" i="83" s="1"/>
  <c r="BV38" i="83"/>
  <c r="BV37" i="83"/>
  <c r="BV44" i="83"/>
  <c r="BV64" i="83" s="1"/>
  <c r="BV36" i="83"/>
  <c r="BV45" i="83"/>
  <c r="BV63" i="83" s="1"/>
  <c r="BV34" i="83"/>
  <c r="BV23" i="83"/>
  <c r="J39" i="83"/>
  <c r="J35" i="83"/>
  <c r="J38" i="83"/>
  <c r="J37" i="83"/>
  <c r="J44" i="83"/>
  <c r="J64" i="83" s="1"/>
  <c r="J45" i="83"/>
  <c r="J63" i="83" s="1"/>
  <c r="J43" i="83"/>
  <c r="J61" i="83" s="1"/>
  <c r="J36" i="83"/>
  <c r="J42" i="83"/>
  <c r="J60" i="83" s="1"/>
  <c r="J34" i="83"/>
  <c r="J27" i="83"/>
  <c r="J23" i="83"/>
  <c r="J40" i="83"/>
  <c r="AG43" i="83"/>
  <c r="AG61" i="83" s="1"/>
  <c r="AG42" i="83"/>
  <c r="AG60" i="83" s="1"/>
  <c r="AG23" i="83"/>
  <c r="AG37" i="83"/>
  <c r="AG39" i="83"/>
  <c r="AG45" i="83"/>
  <c r="AG63" i="83" s="1"/>
  <c r="AG35" i="83"/>
  <c r="AG40" i="83"/>
  <c r="AG34" i="83"/>
  <c r="AG38" i="83"/>
  <c r="AG36" i="83"/>
  <c r="AG44" i="83"/>
  <c r="AG64" i="83" s="1"/>
  <c r="AG33" i="83"/>
  <c r="AG27" i="83"/>
  <c r="BD34" i="83"/>
  <c r="BD45" i="83"/>
  <c r="BD63" i="83" s="1"/>
  <c r="BD43" i="83"/>
  <c r="BD61" i="83" s="1"/>
  <c r="BD39" i="83"/>
  <c r="BD38" i="83"/>
  <c r="BD36" i="83"/>
  <c r="BD42" i="83"/>
  <c r="BD60" i="83" s="1"/>
  <c r="BD35" i="83"/>
  <c r="BD33" i="83"/>
  <c r="BD44" i="83"/>
  <c r="BD64" i="83" s="1"/>
  <c r="BD23" i="83"/>
  <c r="BD55" i="83" s="1"/>
  <c r="BD27" i="83"/>
  <c r="BD40" i="83"/>
  <c r="BD37" i="83"/>
  <c r="W27" i="83"/>
  <c r="W37" i="83"/>
  <c r="W35" i="83"/>
  <c r="W45" i="83"/>
  <c r="W63" i="83" s="1"/>
  <c r="W34" i="83"/>
  <c r="W44" i="83"/>
  <c r="W64" i="83" s="1"/>
  <c r="W36" i="83"/>
  <c r="W40" i="83"/>
  <c r="W42" i="83"/>
  <c r="W60" i="83" s="1"/>
  <c r="W23" i="83"/>
  <c r="W55" i="83" s="1"/>
  <c r="W43" i="83"/>
  <c r="W61" i="83" s="1"/>
  <c r="W33" i="83"/>
  <c r="W39" i="83"/>
  <c r="W38" i="83"/>
  <c r="BY38" i="83"/>
  <c r="BY42" i="83"/>
  <c r="BY60" i="83" s="1"/>
  <c r="BY45" i="83"/>
  <c r="BY63" i="83" s="1"/>
  <c r="BY39" i="83"/>
  <c r="BY23" i="83"/>
  <c r="BY40" i="83"/>
  <c r="BY37" i="83"/>
  <c r="BY36" i="83"/>
  <c r="BY27" i="83"/>
  <c r="BY35" i="83"/>
  <c r="BY34" i="83"/>
  <c r="BY33" i="83"/>
  <c r="BY44" i="83"/>
  <c r="BY64" i="83" s="1"/>
  <c r="BY43" i="83"/>
  <c r="BY61" i="83" s="1"/>
  <c r="AL27" i="83"/>
  <c r="AL42" i="83"/>
  <c r="AL60" i="83" s="1"/>
  <c r="AL45" i="83"/>
  <c r="AL63" i="83" s="1"/>
  <c r="AL38" i="83"/>
  <c r="AL37" i="83"/>
  <c r="AL23" i="83"/>
  <c r="AL55" i="83" s="1"/>
  <c r="AL36" i="83"/>
  <c r="AL35" i="83"/>
  <c r="AL44" i="83"/>
  <c r="AL64" i="83" s="1"/>
  <c r="AL34" i="83"/>
  <c r="AL40" i="83"/>
  <c r="AL33" i="83"/>
  <c r="AL43" i="83"/>
  <c r="AL61" i="83" s="1"/>
  <c r="AL39" i="83"/>
  <c r="CF35" i="83"/>
  <c r="CF40" i="83"/>
  <c r="CF27" i="83"/>
  <c r="CF37" i="83"/>
  <c r="CF33" i="83"/>
  <c r="CF36" i="83"/>
  <c r="CF45" i="83"/>
  <c r="CF63" i="83" s="1"/>
  <c r="CF23" i="83"/>
  <c r="CF55" i="83" s="1"/>
  <c r="CF42" i="83"/>
  <c r="CF60" i="83" s="1"/>
  <c r="CF34" i="83"/>
  <c r="CF44" i="83"/>
  <c r="CF64" i="83" s="1"/>
  <c r="CF39" i="83"/>
  <c r="CF38" i="83"/>
  <c r="CF43" i="83"/>
  <c r="CF61" i="83" s="1"/>
  <c r="T27" i="83"/>
  <c r="T40" i="83"/>
  <c r="T37" i="83"/>
  <c r="T44" i="83"/>
  <c r="T64" i="83" s="1"/>
  <c r="T43" i="83"/>
  <c r="T61" i="83" s="1"/>
  <c r="T39" i="83"/>
  <c r="T38" i="83"/>
  <c r="T35" i="83"/>
  <c r="T42" i="83"/>
  <c r="T60" i="83" s="1"/>
  <c r="T23" i="83"/>
  <c r="T55" i="83" s="1"/>
  <c r="T36" i="83"/>
  <c r="T34" i="83"/>
  <c r="T33" i="83"/>
  <c r="T45" i="83"/>
  <c r="T63" i="83" s="1"/>
  <c r="AQ39" i="83"/>
  <c r="AQ33" i="83"/>
  <c r="AQ42" i="83"/>
  <c r="AQ60" i="83" s="1"/>
  <c r="AQ34" i="83"/>
  <c r="AQ23" i="83"/>
  <c r="AQ45" i="83"/>
  <c r="AQ63" i="83" s="1"/>
  <c r="AQ44" i="83"/>
  <c r="AQ64" i="83" s="1"/>
  <c r="AQ38" i="83"/>
  <c r="AQ43" i="83"/>
  <c r="AQ61" i="83" s="1"/>
  <c r="AQ40" i="83"/>
  <c r="AQ35" i="83"/>
  <c r="AQ37" i="83"/>
  <c r="AQ36" i="83"/>
  <c r="AQ27" i="83"/>
  <c r="BN37" i="83"/>
  <c r="BN39" i="83"/>
  <c r="BN44" i="83"/>
  <c r="BN64" i="83" s="1"/>
  <c r="BN42" i="83"/>
  <c r="BN60" i="83" s="1"/>
  <c r="BN45" i="83"/>
  <c r="BN63" i="83" s="1"/>
  <c r="BN34" i="83"/>
  <c r="BN40" i="83"/>
  <c r="BN33" i="83"/>
  <c r="BN36" i="83"/>
  <c r="BN43" i="83"/>
  <c r="BN61" i="83" s="1"/>
  <c r="BN27" i="83"/>
  <c r="BN35" i="83"/>
  <c r="BN23" i="83"/>
  <c r="BN55" i="83" s="1"/>
  <c r="BN38" i="83"/>
  <c r="CK40" i="83"/>
  <c r="CK42" i="83"/>
  <c r="CK60" i="83" s="1"/>
  <c r="CK23" i="83"/>
  <c r="CK55" i="83" s="1"/>
  <c r="CK36" i="83"/>
  <c r="CK34" i="83"/>
  <c r="CK38" i="83"/>
  <c r="CK33" i="83"/>
  <c r="CK45" i="83"/>
  <c r="CK63" i="83" s="1"/>
  <c r="CK27" i="83"/>
  <c r="CK39" i="83"/>
  <c r="CK37" i="83"/>
  <c r="CK35" i="83"/>
  <c r="CK44" i="83"/>
  <c r="CK64" i="83" s="1"/>
  <c r="CK43" i="83"/>
  <c r="CK61" i="83" s="1"/>
  <c r="Y45" i="83"/>
  <c r="Y63" i="83" s="1"/>
  <c r="Y35" i="83"/>
  <c r="Y23" i="83"/>
  <c r="Y40" i="83"/>
  <c r="Y33" i="83"/>
  <c r="Y38" i="83"/>
  <c r="Y37" i="83"/>
  <c r="Y39" i="83"/>
  <c r="Y34" i="83"/>
  <c r="Y44" i="83"/>
  <c r="Y64" i="83" s="1"/>
  <c r="Y43" i="83"/>
  <c r="Y61" i="83" s="1"/>
  <c r="Y42" i="83"/>
  <c r="Y60" i="83" s="1"/>
  <c r="Y36" i="83"/>
  <c r="Y27" i="83"/>
  <c r="AV27" i="83"/>
  <c r="AV45" i="83"/>
  <c r="AV63" i="83" s="1"/>
  <c r="AV44" i="83"/>
  <c r="AV64" i="83" s="1"/>
  <c r="AV42" i="83"/>
  <c r="AV60" i="83" s="1"/>
  <c r="AV43" i="83"/>
  <c r="AV61" i="83" s="1"/>
  <c r="AV37" i="83"/>
  <c r="AV39" i="83"/>
  <c r="AV36" i="83"/>
  <c r="AV38" i="83"/>
  <c r="AV33" i="83"/>
  <c r="AV35" i="83"/>
  <c r="AV40" i="83"/>
  <c r="AV23" i="83"/>
  <c r="AV34" i="83"/>
  <c r="AE27" i="83"/>
  <c r="AE34" i="83"/>
  <c r="AE38" i="83"/>
  <c r="AE42" i="83"/>
  <c r="AE60" i="83" s="1"/>
  <c r="AE39" i="83"/>
  <c r="AE40" i="83"/>
  <c r="AE43" i="83"/>
  <c r="AE61" i="83" s="1"/>
  <c r="AE35" i="83"/>
  <c r="AE37" i="83"/>
  <c r="AE33" i="83"/>
  <c r="AE45" i="83"/>
  <c r="AE63" i="83" s="1"/>
  <c r="AE36" i="83"/>
  <c r="AE44" i="83"/>
  <c r="AE64" i="83" s="1"/>
  <c r="AE23" i="83"/>
  <c r="AE55" i="83" s="1"/>
  <c r="M27" i="83"/>
  <c r="M37" i="83"/>
  <c r="M38" i="83"/>
  <c r="M39" i="83"/>
  <c r="M23" i="83"/>
  <c r="M45" i="83"/>
  <c r="M63" i="83" s="1"/>
  <c r="M36" i="83"/>
  <c r="M40" i="83"/>
  <c r="M35" i="83"/>
  <c r="M44" i="83"/>
  <c r="M64" i="83" s="1"/>
  <c r="M43" i="83"/>
  <c r="M61" i="83" s="1"/>
  <c r="M42" i="83"/>
  <c r="M60" i="83" s="1"/>
  <c r="M34" i="83"/>
  <c r="O40" i="83"/>
  <c r="O27" i="83"/>
  <c r="O38" i="83"/>
  <c r="O36" i="83"/>
  <c r="O45" i="83"/>
  <c r="O63" i="83" s="1"/>
  <c r="O44" i="83"/>
  <c r="O64" i="83" s="1"/>
  <c r="O39" i="83"/>
  <c r="O35" i="83"/>
  <c r="O43" i="83"/>
  <c r="O61" i="83" s="1"/>
  <c r="O34" i="83"/>
  <c r="O42" i="83"/>
  <c r="O60" i="83" s="1"/>
  <c r="O23" i="83"/>
  <c r="O37" i="83"/>
  <c r="BX27" i="83"/>
  <c r="BX39" i="83"/>
  <c r="BX43" i="83"/>
  <c r="BX61" i="83" s="1"/>
  <c r="BX34" i="83"/>
  <c r="BX23" i="83"/>
  <c r="BX55" i="83" s="1"/>
  <c r="BX40" i="83"/>
  <c r="BX35" i="83"/>
  <c r="BX33" i="83"/>
  <c r="BX42" i="83"/>
  <c r="BX60" i="83" s="1"/>
  <c r="BX45" i="83"/>
  <c r="BX63" i="83" s="1"/>
  <c r="BX44" i="83"/>
  <c r="BX64" i="83" s="1"/>
  <c r="BX37" i="83"/>
  <c r="BX36" i="83"/>
  <c r="BX38" i="83"/>
  <c r="L40" i="83"/>
  <c r="L44" i="83"/>
  <c r="L64" i="83" s="1"/>
  <c r="L27" i="83"/>
  <c r="L38" i="83"/>
  <c r="L23" i="83"/>
  <c r="L35" i="83"/>
  <c r="L43" i="83"/>
  <c r="L61" i="83" s="1"/>
  <c r="L37" i="83"/>
  <c r="L36" i="83"/>
  <c r="L39" i="83"/>
  <c r="L34" i="83"/>
  <c r="L42" i="83"/>
  <c r="L60" i="83" s="1"/>
  <c r="L45" i="83"/>
  <c r="L63" i="83" s="1"/>
  <c r="AI40" i="83"/>
  <c r="AI36" i="83"/>
  <c r="AI23" i="83"/>
  <c r="AI55" i="83" s="1"/>
  <c r="AI43" i="83"/>
  <c r="AI61" i="83" s="1"/>
  <c r="AI35" i="83"/>
  <c r="AI37" i="83"/>
  <c r="AI45" i="83"/>
  <c r="AI63" i="83" s="1"/>
  <c r="AI39" i="83"/>
  <c r="AI33" i="83"/>
  <c r="AI42" i="83"/>
  <c r="AI60" i="83" s="1"/>
  <c r="AI44" i="83"/>
  <c r="AI64" i="83" s="1"/>
  <c r="AI34" i="83"/>
  <c r="AI38" i="83"/>
  <c r="AI27" i="83"/>
  <c r="BF36" i="83"/>
  <c r="BF40" i="83"/>
  <c r="BF33" i="83"/>
  <c r="BF43" i="83"/>
  <c r="BF61" i="83" s="1"/>
  <c r="BF39" i="83"/>
  <c r="BF42" i="83"/>
  <c r="BF60" i="83" s="1"/>
  <c r="BF38" i="83"/>
  <c r="BF37" i="83"/>
  <c r="BF45" i="83"/>
  <c r="BF63" i="83" s="1"/>
  <c r="BF23" i="83"/>
  <c r="BF35" i="83"/>
  <c r="BF34" i="83"/>
  <c r="BF44" i="83"/>
  <c r="BF64" i="83" s="1"/>
  <c r="BF27" i="83"/>
  <c r="CC39" i="83"/>
  <c r="CC44" i="83"/>
  <c r="CC64" i="83" s="1"/>
  <c r="CC43" i="83"/>
  <c r="CC61" i="83" s="1"/>
  <c r="CC42" i="83"/>
  <c r="CC60" i="83" s="1"/>
  <c r="CC37" i="83"/>
  <c r="CC45" i="83"/>
  <c r="CC63" i="83" s="1"/>
  <c r="CC35" i="83"/>
  <c r="CC40" i="83"/>
  <c r="CC34" i="83"/>
  <c r="CC36" i="83"/>
  <c r="CC33" i="83"/>
  <c r="CC23" i="83"/>
  <c r="CC38" i="83"/>
  <c r="CC27" i="83"/>
  <c r="Q36" i="83"/>
  <c r="Q44" i="83"/>
  <c r="Q64" i="83" s="1"/>
  <c r="Q43" i="83"/>
  <c r="Q61" i="83" s="1"/>
  <c r="Q42" i="83"/>
  <c r="Q60" i="83" s="1"/>
  <c r="Q34" i="83"/>
  <c r="Q45" i="83"/>
  <c r="Q63" i="83" s="1"/>
  <c r="Q39" i="83"/>
  <c r="Q40" i="83"/>
  <c r="Q35" i="83"/>
  <c r="Q37" i="83"/>
  <c r="Q27" i="83"/>
  <c r="Q38" i="83"/>
  <c r="Q23" i="83"/>
  <c r="AN36" i="83"/>
  <c r="AN42" i="83"/>
  <c r="AN60" i="83" s="1"/>
  <c r="AN35" i="83"/>
  <c r="AN40" i="83"/>
  <c r="AN38" i="83"/>
  <c r="AN45" i="83"/>
  <c r="AN63" i="83" s="1"/>
  <c r="AN37" i="83"/>
  <c r="AN44" i="83"/>
  <c r="AN64" i="83" s="1"/>
  <c r="AN39" i="83"/>
  <c r="AN27" i="83"/>
  <c r="AN43" i="83"/>
  <c r="AN61" i="83" s="1"/>
  <c r="AN33" i="83"/>
  <c r="AN23" i="83"/>
  <c r="AN34" i="83"/>
  <c r="BM66" i="83"/>
  <c r="AS66" i="83"/>
  <c r="BH66" i="83"/>
  <c r="BA42" i="83"/>
  <c r="BA60" i="83" s="1"/>
  <c r="BA38" i="83"/>
  <c r="BA39" i="83"/>
  <c r="BA45" i="83"/>
  <c r="BA63" i="83" s="1"/>
  <c r="BA33" i="83"/>
  <c r="BA40" i="83"/>
  <c r="BA34" i="83"/>
  <c r="BA36" i="83"/>
  <c r="BA27" i="83"/>
  <c r="BA35" i="83"/>
  <c r="BA37" i="83"/>
  <c r="BA44" i="83"/>
  <c r="BA64" i="83" s="1"/>
  <c r="BA23" i="83"/>
  <c r="BA43" i="83"/>
  <c r="BA61" i="83" s="1"/>
  <c r="AD27" i="83"/>
  <c r="AD33" i="83"/>
  <c r="AD44" i="83"/>
  <c r="AD64" i="83" s="1"/>
  <c r="AD39" i="83"/>
  <c r="AD23" i="83"/>
  <c r="AD55" i="83" s="1"/>
  <c r="AD40" i="83"/>
  <c r="AD38" i="83"/>
  <c r="AD45" i="83"/>
  <c r="AD63" i="83" s="1"/>
  <c r="AD37" i="83"/>
  <c r="AD43" i="83"/>
  <c r="AD61" i="83" s="1"/>
  <c r="AD36" i="83"/>
  <c r="AD42" i="83"/>
  <c r="AD60" i="83" s="1"/>
  <c r="AD35" i="83"/>
  <c r="AD34" i="83"/>
  <c r="CG45" i="83"/>
  <c r="CG63" i="83" s="1"/>
  <c r="CG37" i="83"/>
  <c r="CG35" i="83"/>
  <c r="CG44" i="83"/>
  <c r="CG64" i="83" s="1"/>
  <c r="CG43" i="83"/>
  <c r="CG61" i="83" s="1"/>
  <c r="CG23" i="83"/>
  <c r="CG55" i="83" s="1"/>
  <c r="CG42" i="83"/>
  <c r="CG60" i="83" s="1"/>
  <c r="CG39" i="83"/>
  <c r="CG38" i="83"/>
  <c r="CG33" i="83"/>
  <c r="CG40" i="83"/>
  <c r="CG27" i="83"/>
  <c r="CG36" i="83"/>
  <c r="CG34" i="83"/>
  <c r="BB27" i="83"/>
  <c r="BB38" i="83"/>
  <c r="BB37" i="83"/>
  <c r="BB35" i="83"/>
  <c r="BB44" i="83"/>
  <c r="BB64" i="83" s="1"/>
  <c r="BB34" i="83"/>
  <c r="BB43" i="83"/>
  <c r="BB61" i="83" s="1"/>
  <c r="BB33" i="83"/>
  <c r="BB23" i="83"/>
  <c r="BB55" i="83" s="1"/>
  <c r="BB42" i="83"/>
  <c r="BB60" i="83" s="1"/>
  <c r="BB39" i="83"/>
  <c r="BB40" i="83"/>
  <c r="BB36" i="83"/>
  <c r="BB45" i="83"/>
  <c r="BB63" i="83" s="1"/>
  <c r="BP38" i="83"/>
  <c r="BP36" i="83"/>
  <c r="BP35" i="83"/>
  <c r="BP42" i="83"/>
  <c r="BP60" i="83" s="1"/>
  <c r="BP33" i="83"/>
  <c r="BP37" i="83"/>
  <c r="BP34" i="83"/>
  <c r="BP23" i="83"/>
  <c r="BP40" i="83"/>
  <c r="BP39" i="83"/>
  <c r="BP45" i="83"/>
  <c r="BP63" i="83" s="1"/>
  <c r="BP44" i="83"/>
  <c r="BP64" i="83" s="1"/>
  <c r="BP43" i="83"/>
  <c r="BP61" i="83" s="1"/>
  <c r="BP27" i="83"/>
  <c r="G27" i="83"/>
  <c r="CM16" i="83"/>
  <c r="G40" i="83"/>
  <c r="G39" i="83"/>
  <c r="G38" i="83"/>
  <c r="G43" i="83"/>
  <c r="G35" i="83"/>
  <c r="G37" i="83"/>
  <c r="G34" i="83"/>
  <c r="G42" i="83"/>
  <c r="G45" i="83"/>
  <c r="G36" i="83"/>
  <c r="G23" i="83"/>
  <c r="G44" i="83"/>
  <c r="AA45" i="83"/>
  <c r="AA63" i="83" s="1"/>
  <c r="AA43" i="83"/>
  <c r="AA61" i="83" s="1"/>
  <c r="AA44" i="83"/>
  <c r="AA64" i="83" s="1"/>
  <c r="AA23" i="83"/>
  <c r="AA37" i="83"/>
  <c r="AA40" i="83"/>
  <c r="AA39" i="83"/>
  <c r="AA34" i="83"/>
  <c r="AA42" i="83"/>
  <c r="AA60" i="83" s="1"/>
  <c r="AA36" i="83"/>
  <c r="AA35" i="83"/>
  <c r="AA33" i="83"/>
  <c r="AA38" i="83"/>
  <c r="AA27" i="83"/>
  <c r="AX39" i="83"/>
  <c r="AX38" i="83"/>
  <c r="AX37" i="83"/>
  <c r="AX27" i="83"/>
  <c r="AX44" i="83"/>
  <c r="AX64" i="83" s="1"/>
  <c r="AX36" i="83"/>
  <c r="AX43" i="83"/>
  <c r="AX61" i="83" s="1"/>
  <c r="AX34" i="83"/>
  <c r="AX23" i="83"/>
  <c r="AX55" i="83" s="1"/>
  <c r="AX42" i="83"/>
  <c r="AX60" i="83" s="1"/>
  <c r="AX33" i="83"/>
  <c r="AX45" i="83"/>
  <c r="AX63" i="83" s="1"/>
  <c r="AX40" i="83"/>
  <c r="AX35" i="83"/>
  <c r="BU40" i="83"/>
  <c r="BU39" i="83"/>
  <c r="BU36" i="83"/>
  <c r="BU35" i="83"/>
  <c r="BU38" i="83"/>
  <c r="BU27" i="83"/>
  <c r="BU44" i="83"/>
  <c r="BU64" i="83" s="1"/>
  <c r="BU37" i="83"/>
  <c r="BU43" i="83"/>
  <c r="BU61" i="83" s="1"/>
  <c r="BU42" i="83"/>
  <c r="BU60" i="83" s="1"/>
  <c r="BU34" i="83"/>
  <c r="BU23" i="83"/>
  <c r="BU45" i="83"/>
  <c r="BU63" i="83" s="1"/>
  <c r="BU33" i="83"/>
  <c r="I39" i="83"/>
  <c r="I44" i="83"/>
  <c r="I64" i="83" s="1"/>
  <c r="I42" i="83"/>
  <c r="I60" i="83" s="1"/>
  <c r="I45" i="83"/>
  <c r="I63" i="83" s="1"/>
  <c r="I43" i="83"/>
  <c r="I61" i="83" s="1"/>
  <c r="I35" i="83"/>
  <c r="I40" i="83"/>
  <c r="I36" i="83"/>
  <c r="I38" i="83"/>
  <c r="I37" i="83"/>
  <c r="I23" i="83"/>
  <c r="I27" i="83"/>
  <c r="I34" i="83"/>
  <c r="I41" i="83" s="1"/>
  <c r="I62" i="83" s="1"/>
  <c r="AF43" i="83"/>
  <c r="AF61" i="83" s="1"/>
  <c r="AF23" i="83"/>
  <c r="AF40" i="83"/>
  <c r="AF42" i="83"/>
  <c r="AF60" i="83" s="1"/>
  <c r="AF35" i="83"/>
  <c r="AF33" i="83"/>
  <c r="AF36" i="83"/>
  <c r="AF39" i="83"/>
  <c r="AF38" i="83"/>
  <c r="AF34" i="83"/>
  <c r="AF45" i="83"/>
  <c r="AF63" i="83" s="1"/>
  <c r="AF37" i="83"/>
  <c r="AF44" i="83"/>
  <c r="AF64" i="83" s="1"/>
  <c r="AF27" i="83"/>
  <c r="A12" i="80"/>
  <c r="E13" i="80"/>
  <c r="E14" i="80"/>
  <c r="C14" i="80"/>
  <c r="C13" i="80"/>
  <c r="CM28" i="83"/>
  <c r="BR55" i="83" l="1"/>
  <c r="Q55" i="83"/>
  <c r="CA55" i="83"/>
  <c r="CL55" i="83"/>
  <c r="BC55" i="83"/>
  <c r="AC55" i="83"/>
  <c r="AG41" i="83"/>
  <c r="AG62" i="83" s="1"/>
  <c r="CI55" i="83"/>
  <c r="BA55" i="83"/>
  <c r="AN55" i="83"/>
  <c r="AV55" i="83"/>
  <c r="BU41" i="83"/>
  <c r="BU62" i="83" s="1"/>
  <c r="CM38" i="83"/>
  <c r="BN41" i="83"/>
  <c r="BN62" i="83" s="1"/>
  <c r="BN65" i="83" s="1"/>
  <c r="BN67" i="83" s="1"/>
  <c r="BN68" i="83" s="1"/>
  <c r="AQ41" i="83"/>
  <c r="AQ62" i="83" s="1"/>
  <c r="AQ65" i="83" s="1"/>
  <c r="AQ67" i="83" s="1"/>
  <c r="BT41" i="83"/>
  <c r="BT62" i="83" s="1"/>
  <c r="BT65" i="83" s="1"/>
  <c r="BT67" i="83" s="1"/>
  <c r="AR55" i="83"/>
  <c r="CI41" i="83"/>
  <c r="CI62" i="83" s="1"/>
  <c r="CI65" i="83" s="1"/>
  <c r="CI67" i="83" s="1"/>
  <c r="AP41" i="83"/>
  <c r="AP62" i="83" s="1"/>
  <c r="AP65" i="83" s="1"/>
  <c r="AP67" i="83" s="1"/>
  <c r="S41" i="83"/>
  <c r="S62" i="83" s="1"/>
  <c r="S65" i="83" s="1"/>
  <c r="S67" i="83" s="1"/>
  <c r="S68" i="83" s="1"/>
  <c r="BJ55" i="83"/>
  <c r="AU41" i="83"/>
  <c r="AU62" i="83" s="1"/>
  <c r="AU65" i="83" s="1"/>
  <c r="AU67" i="83" s="1"/>
  <c r="CG41" i="83"/>
  <c r="CG62" i="83" s="1"/>
  <c r="CG65" i="83" s="1"/>
  <c r="CG67" i="83" s="1"/>
  <c r="CG68" i="83" s="1"/>
  <c r="X55" i="83"/>
  <c r="X41" i="83"/>
  <c r="X62" i="83" s="1"/>
  <c r="X65" i="83" s="1"/>
  <c r="X67" i="83" s="1"/>
  <c r="X68" i="83" s="1"/>
  <c r="AB41" i="83"/>
  <c r="AB62" i="83" s="1"/>
  <c r="AB65" i="83" s="1"/>
  <c r="AB67" i="83" s="1"/>
  <c r="CM36" i="83"/>
  <c r="O41" i="83"/>
  <c r="O62" i="83" s="1"/>
  <c r="O65" i="83" s="1"/>
  <c r="O67" i="83" s="1"/>
  <c r="BY41" i="83"/>
  <c r="BY62" i="83" s="1"/>
  <c r="BY65" i="83" s="1"/>
  <c r="BY67" i="83" s="1"/>
  <c r="J41" i="83"/>
  <c r="J62" i="83" s="1"/>
  <c r="J65" i="83" s="1"/>
  <c r="J67" i="83" s="1"/>
  <c r="AY41" i="83"/>
  <c r="AY62" i="83" s="1"/>
  <c r="AY65" i="83" s="1"/>
  <c r="AY67" i="83" s="1"/>
  <c r="R41" i="83"/>
  <c r="R62" i="83" s="1"/>
  <c r="R65" i="83" s="1"/>
  <c r="R67" i="83" s="1"/>
  <c r="AS41" i="83"/>
  <c r="AS62" i="83" s="1"/>
  <c r="CL41" i="83"/>
  <c r="CL62" i="83" s="1"/>
  <c r="CL65" i="83" s="1"/>
  <c r="CL67" i="83" s="1"/>
  <c r="CL68" i="83" s="1"/>
  <c r="AR41" i="83"/>
  <c r="AR62" i="83" s="1"/>
  <c r="AR65" i="83" s="1"/>
  <c r="AR67" i="83" s="1"/>
  <c r="AR68" i="83" s="1"/>
  <c r="U65" i="83"/>
  <c r="U67" i="83" s="1"/>
  <c r="U68" i="83" s="1"/>
  <c r="CB41" i="83"/>
  <c r="CB62" i="83" s="1"/>
  <c r="CB65" i="83" s="1"/>
  <c r="CB67" i="83" s="1"/>
  <c r="CH55" i="83"/>
  <c r="CM39" i="83"/>
  <c r="BF41" i="83"/>
  <c r="BF62" i="83" s="1"/>
  <c r="I55" i="83"/>
  <c r="I65" i="83"/>
  <c r="I67" i="83" s="1"/>
  <c r="G63" i="83"/>
  <c r="CM63" i="83" s="1"/>
  <c r="CM45" i="83"/>
  <c r="CM40" i="83"/>
  <c r="BX41" i="83"/>
  <c r="BX62" i="83" s="1"/>
  <c r="BX65" i="83" s="1"/>
  <c r="BX67" i="83" s="1"/>
  <c r="BX68" i="83" s="1"/>
  <c r="AB55" i="83"/>
  <c r="BI55" i="83"/>
  <c r="BI41" i="83"/>
  <c r="BI62" i="83" s="1"/>
  <c r="BI65" i="83" s="1"/>
  <c r="BI67" i="83" s="1"/>
  <c r="V55" i="83"/>
  <c r="AT41" i="83"/>
  <c r="AT62" i="83" s="1"/>
  <c r="AT65" i="83" s="1"/>
  <c r="AT67" i="83" s="1"/>
  <c r="BL55" i="83"/>
  <c r="AO55" i="83"/>
  <c r="BG55" i="83"/>
  <c r="AJ41" i="83"/>
  <c r="AJ62" i="83" s="1"/>
  <c r="BE55" i="83"/>
  <c r="BW55" i="83"/>
  <c r="CH41" i="83"/>
  <c r="CH62" i="83" s="1"/>
  <c r="BM41" i="83"/>
  <c r="BM62" i="83" s="1"/>
  <c r="BS55" i="83"/>
  <c r="G55" i="83"/>
  <c r="CM23" i="83"/>
  <c r="BU65" i="83"/>
  <c r="BU67" i="83" s="1"/>
  <c r="AA55" i="83"/>
  <c r="G60" i="83"/>
  <c r="CM60" i="83" s="1"/>
  <c r="CM42" i="83"/>
  <c r="D41" i="75"/>
  <c r="D80" i="75"/>
  <c r="D79" i="75"/>
  <c r="D56" i="75"/>
  <c r="D68" i="75"/>
  <c r="D67" i="75"/>
  <c r="D55" i="75"/>
  <c r="D40" i="75"/>
  <c r="BP55" i="83"/>
  <c r="BB41" i="83"/>
  <c r="BB62" i="83" s="1"/>
  <c r="BB65" i="83" s="1"/>
  <c r="BB67" i="83" s="1"/>
  <c r="BB68" i="83" s="1"/>
  <c r="CC55" i="83"/>
  <c r="BF55" i="83"/>
  <c r="L55" i="83"/>
  <c r="M41" i="83"/>
  <c r="M62" i="83" s="1"/>
  <c r="M65" i="83" s="1"/>
  <c r="M67" i="83" s="1"/>
  <c r="M55" i="83"/>
  <c r="CK41" i="83"/>
  <c r="CK62" i="83" s="1"/>
  <c r="CK65" i="83" s="1"/>
  <c r="CK67" i="83" s="1"/>
  <c r="CK68" i="83" s="1"/>
  <c r="AG55" i="83"/>
  <c r="BV55" i="83"/>
  <c r="N41" i="83"/>
  <c r="N62" i="83" s="1"/>
  <c r="N65" i="83" s="1"/>
  <c r="N67" i="83" s="1"/>
  <c r="N68" i="83" s="1"/>
  <c r="AT55" i="83"/>
  <c r="R55" i="83"/>
  <c r="AK55" i="83"/>
  <c r="AW41" i="83"/>
  <c r="AW62" i="83" s="1"/>
  <c r="AW65" i="83" s="1"/>
  <c r="AW67" i="83" s="1"/>
  <c r="CB55" i="83"/>
  <c r="AC41" i="83"/>
  <c r="AC62" i="83" s="1"/>
  <c r="BS41" i="83"/>
  <c r="BS62" i="83" s="1"/>
  <c r="BS65" i="83" s="1"/>
  <c r="BS67" i="83" s="1"/>
  <c r="BS68" i="83" s="1"/>
  <c r="BJ41" i="83"/>
  <c r="BJ62" i="83" s="1"/>
  <c r="BJ65" i="83" s="1"/>
  <c r="BJ67" i="83" s="1"/>
  <c r="BJ68" i="83" s="1"/>
  <c r="AU55" i="83"/>
  <c r="Y41" i="83"/>
  <c r="Y62" i="83" s="1"/>
  <c r="Y65" i="83" s="1"/>
  <c r="Y67" i="83" s="1"/>
  <c r="CM34" i="83"/>
  <c r="G41" i="83"/>
  <c r="CM27" i="83"/>
  <c r="BP41" i="83"/>
  <c r="BP62" i="83" s="1"/>
  <c r="BP65" i="83" s="1"/>
  <c r="BP67" i="83" s="1"/>
  <c r="BP68" i="83" s="1"/>
  <c r="BA41" i="83"/>
  <c r="BA62" i="83" s="1"/>
  <c r="BA65" i="83" s="1"/>
  <c r="BA67" i="83" s="1"/>
  <c r="BA68" i="83" s="1"/>
  <c r="Q41" i="83"/>
  <c r="Q62" i="83" s="1"/>
  <c r="Q65" i="83" s="1"/>
  <c r="Q67" i="83" s="1"/>
  <c r="Q68" i="83" s="1"/>
  <c r="AE41" i="83"/>
  <c r="AE62" i="83" s="1"/>
  <c r="AE65" i="83" s="1"/>
  <c r="AE67" i="83" s="1"/>
  <c r="AE68" i="83" s="1"/>
  <c r="AL41" i="83"/>
  <c r="AL62" i="83" s="1"/>
  <c r="AL65" i="83" s="1"/>
  <c r="AL67" i="83" s="1"/>
  <c r="AL68" i="83" s="1"/>
  <c r="BV41" i="83"/>
  <c r="BV62" i="83" s="1"/>
  <c r="BV65" i="83" s="1"/>
  <c r="BV67" i="83" s="1"/>
  <c r="V41" i="83"/>
  <c r="V62" i="83" s="1"/>
  <c r="V65" i="83" s="1"/>
  <c r="V67" i="83" s="1"/>
  <c r="V68" i="83" s="1"/>
  <c r="BG41" i="83"/>
  <c r="BG62" i="83" s="1"/>
  <c r="BG65" i="83" s="1"/>
  <c r="BG67" i="83" s="1"/>
  <c r="BG68" i="83" s="1"/>
  <c r="AK41" i="83"/>
  <c r="AK62" i="83" s="1"/>
  <c r="AK65" i="83" s="1"/>
  <c r="AK67" i="83" s="1"/>
  <c r="AS65" i="83"/>
  <c r="AS67" i="83" s="1"/>
  <c r="AS68" i="83" s="1"/>
  <c r="BO41" i="83"/>
  <c r="BO62" i="83" s="1"/>
  <c r="BO65" i="83" s="1"/>
  <c r="BO67" i="83" s="1"/>
  <c r="BO68" i="83" s="1"/>
  <c r="BK41" i="83"/>
  <c r="BK62" i="83" s="1"/>
  <c r="BK65" i="83" s="1"/>
  <c r="BK67" i="83" s="1"/>
  <c r="BW41" i="83"/>
  <c r="BW62" i="83" s="1"/>
  <c r="BW65" i="83" s="1"/>
  <c r="BW67" i="83" s="1"/>
  <c r="AZ41" i="83"/>
  <c r="AZ62" i="83" s="1"/>
  <c r="AZ65" i="83" s="1"/>
  <c r="AZ67" i="83" s="1"/>
  <c r="AZ68" i="83" s="1"/>
  <c r="BZ41" i="83"/>
  <c r="BZ62" i="83" s="1"/>
  <c r="BZ65" i="83" s="1"/>
  <c r="BZ67" i="83" s="1"/>
  <c r="BZ68" i="83" s="1"/>
  <c r="CH65" i="83"/>
  <c r="CH67" i="83" s="1"/>
  <c r="D57" i="75"/>
  <c r="D81" i="75"/>
  <c r="F81" i="75" s="1"/>
  <c r="D69" i="75"/>
  <c r="D42" i="75"/>
  <c r="CJ41" i="83"/>
  <c r="CJ62" i="83" s="1"/>
  <c r="CJ65" i="83" s="1"/>
  <c r="CJ67" i="83" s="1"/>
  <c r="CJ68" i="83" s="1"/>
  <c r="CE55" i="83"/>
  <c r="BH41" i="83"/>
  <c r="BH62" i="83" s="1"/>
  <c r="BH65" i="83" s="1"/>
  <c r="BH67" i="83" s="1"/>
  <c r="BH68" i="83" s="1"/>
  <c r="AX41" i="83"/>
  <c r="AX62" i="83" s="1"/>
  <c r="AX65" i="83" s="1"/>
  <c r="AX67" i="83" s="1"/>
  <c r="AX68" i="83" s="1"/>
  <c r="CM37" i="83"/>
  <c r="L41" i="83"/>
  <c r="L62" i="83" s="1"/>
  <c r="L65" i="83" s="1"/>
  <c r="L67" i="83" s="1"/>
  <c r="CM33" i="83"/>
  <c r="W41" i="83"/>
  <c r="W62" i="83" s="1"/>
  <c r="W65" i="83" s="1"/>
  <c r="W67" i="83" s="1"/>
  <c r="W68" i="83" s="1"/>
  <c r="AG65" i="83"/>
  <c r="AG67" i="83" s="1"/>
  <c r="AG68" i="83" s="1"/>
  <c r="AJ65" i="83"/>
  <c r="AJ67" i="83" s="1"/>
  <c r="AJ68" i="83" s="1"/>
  <c r="AW55" i="83"/>
  <c r="P55" i="83"/>
  <c r="AH41" i="83"/>
  <c r="AH62" i="83" s="1"/>
  <c r="AH65" i="83" s="1"/>
  <c r="AH67" i="83" s="1"/>
  <c r="AC65" i="83"/>
  <c r="AC67" i="83" s="1"/>
  <c r="AC68" i="83" s="1"/>
  <c r="CM66" i="83"/>
  <c r="BM65" i="83"/>
  <c r="BM67" i="83" s="1"/>
  <c r="BM68" i="83" s="1"/>
  <c r="BR41" i="83"/>
  <c r="BR62" i="83" s="1"/>
  <c r="BR65" i="83" s="1"/>
  <c r="BR67" i="83" s="1"/>
  <c r="BR68" i="83" s="1"/>
  <c r="AF41" i="83"/>
  <c r="AF62" i="83" s="1"/>
  <c r="AF65" i="83" s="1"/>
  <c r="AF67" i="83" s="1"/>
  <c r="AF55" i="83"/>
  <c r="CM35" i="83"/>
  <c r="AN41" i="83"/>
  <c r="AN62" i="83" s="1"/>
  <c r="AN65" i="83" s="1"/>
  <c r="AN67" i="83" s="1"/>
  <c r="AN68" i="83" s="1"/>
  <c r="CC41" i="83"/>
  <c r="CC62" i="83" s="1"/>
  <c r="CC65" i="83" s="1"/>
  <c r="CC67" i="83" s="1"/>
  <c r="AV41" i="83"/>
  <c r="AV62" i="83" s="1"/>
  <c r="AV65" i="83" s="1"/>
  <c r="AV67" i="83" s="1"/>
  <c r="AV68" i="83" s="1"/>
  <c r="T41" i="83"/>
  <c r="T62" i="83" s="1"/>
  <c r="T65" i="83" s="1"/>
  <c r="T67" i="83" s="1"/>
  <c r="T68" i="83" s="1"/>
  <c r="CF41" i="83"/>
  <c r="CF62" i="83" s="1"/>
  <c r="AO41" i="83"/>
  <c r="AO62" i="83" s="1"/>
  <c r="AO65" i="83" s="1"/>
  <c r="AO67" i="83" s="1"/>
  <c r="CD41" i="83"/>
  <c r="CD62" i="83" s="1"/>
  <c r="CD65" i="83" s="1"/>
  <c r="CD67" i="83" s="1"/>
  <c r="CD68" i="83" s="1"/>
  <c r="CA41" i="83"/>
  <c r="CA62" i="83" s="1"/>
  <c r="CA65" i="83" s="1"/>
  <c r="CA67" i="83" s="1"/>
  <c r="CA68" i="83" s="1"/>
  <c r="BQ41" i="83"/>
  <c r="BQ62" i="83" s="1"/>
  <c r="BQ65" i="83" s="1"/>
  <c r="BQ67" i="83" s="1"/>
  <c r="BQ55" i="83"/>
  <c r="Z55" i="83"/>
  <c r="P41" i="83"/>
  <c r="P62" i="83" s="1"/>
  <c r="P65" i="83" s="1"/>
  <c r="P67" i="83" s="1"/>
  <c r="BE41" i="83"/>
  <c r="BE62" i="83" s="1"/>
  <c r="BE65" i="83" s="1"/>
  <c r="BE67" i="83" s="1"/>
  <c r="K55" i="83"/>
  <c r="K41" i="83"/>
  <c r="K62" i="83" s="1"/>
  <c r="K65" i="83" s="1"/>
  <c r="K67" i="83" s="1"/>
  <c r="AP55" i="83"/>
  <c r="AP68" i="83" s="1"/>
  <c r="CE41" i="83"/>
  <c r="CE62" i="83" s="1"/>
  <c r="CE65" i="83" s="1"/>
  <c r="CE67" i="83" s="1"/>
  <c r="BU55" i="83"/>
  <c r="AA41" i="83"/>
  <c r="AA62" i="83" s="1"/>
  <c r="AA65" i="83" s="1"/>
  <c r="AA67" i="83" s="1"/>
  <c r="AA68" i="83" s="1"/>
  <c r="G64" i="83"/>
  <c r="CM64" i="83" s="1"/>
  <c r="CM44" i="83"/>
  <c r="G61" i="83"/>
  <c r="CM61" i="83" s="1"/>
  <c r="CM43" i="83"/>
  <c r="AD41" i="83"/>
  <c r="AD62" i="83" s="1"/>
  <c r="AD65" i="83" s="1"/>
  <c r="AD67" i="83" s="1"/>
  <c r="AD68" i="83" s="1"/>
  <c r="BF65" i="83"/>
  <c r="BF67" i="83" s="1"/>
  <c r="BF68" i="83" s="1"/>
  <c r="AI41" i="83"/>
  <c r="AI62" i="83" s="1"/>
  <c r="AI65" i="83" s="1"/>
  <c r="AI67" i="83" s="1"/>
  <c r="AI68" i="83" s="1"/>
  <c r="O55" i="83"/>
  <c r="Y55" i="83"/>
  <c r="AQ55" i="83"/>
  <c r="CF65" i="83"/>
  <c r="CF67" i="83" s="1"/>
  <c r="CF68" i="83" s="1"/>
  <c r="BY55" i="83"/>
  <c r="BD41" i="83"/>
  <c r="BD62" i="83" s="1"/>
  <c r="BD65" i="83" s="1"/>
  <c r="BD67" i="83" s="1"/>
  <c r="BD68" i="83" s="1"/>
  <c r="J55" i="83"/>
  <c r="AY55" i="83"/>
  <c r="BL41" i="83"/>
  <c r="BL62" i="83" s="1"/>
  <c r="BL65" i="83" s="1"/>
  <c r="BL67" i="83" s="1"/>
  <c r="H41" i="83"/>
  <c r="H62" i="83" s="1"/>
  <c r="H65" i="83" s="1"/>
  <c r="H67" i="83" s="1"/>
  <c r="H68" i="83" s="1"/>
  <c r="BT55" i="83"/>
  <c r="BT68" i="83" s="1"/>
  <c r="Z41" i="83"/>
  <c r="Z62" i="83" s="1"/>
  <c r="Z65" i="83" s="1"/>
  <c r="Z67" i="83" s="1"/>
  <c r="BC41" i="83"/>
  <c r="BC62" i="83" s="1"/>
  <c r="BC65" i="83" s="1"/>
  <c r="BC67" i="83" s="1"/>
  <c r="BC68" i="83" s="1"/>
  <c r="BK55" i="83"/>
  <c r="AH55" i="83"/>
  <c r="AM41" i="83"/>
  <c r="AM62" i="83" s="1"/>
  <c r="AM65" i="83" s="1"/>
  <c r="AM67" i="83" s="1"/>
  <c r="AM68" i="83" s="1"/>
  <c r="E12" i="80"/>
  <c r="C12" i="80"/>
  <c r="BV68" i="83" l="1"/>
  <c r="AQ68" i="83"/>
  <c r="CI68" i="83"/>
  <c r="P68" i="83"/>
  <c r="BL68" i="83"/>
  <c r="Z68" i="83"/>
  <c r="CC68" i="83"/>
  <c r="M68" i="83"/>
  <c r="BE68" i="83"/>
  <c r="AO68" i="83"/>
  <c r="AF68" i="83"/>
  <c r="BW68" i="83"/>
  <c r="CH68" i="83"/>
  <c r="AU68" i="83"/>
  <c r="D44" i="75"/>
  <c r="K68" i="83"/>
  <c r="BK68" i="83"/>
  <c r="L68" i="83"/>
  <c r="CE68" i="83"/>
  <c r="BQ68" i="83"/>
  <c r="AT68" i="83"/>
  <c r="D71" i="75"/>
  <c r="D59" i="75"/>
  <c r="I68" i="83"/>
  <c r="F79" i="75"/>
  <c r="D82" i="75"/>
  <c r="CM55" i="83"/>
  <c r="O68" i="83"/>
  <c r="BY68" i="83"/>
  <c r="R68" i="83"/>
  <c r="G62" i="83"/>
  <c r="CM41" i="83"/>
  <c r="AW68" i="83"/>
  <c r="AY68" i="83"/>
  <c r="AB68" i="83"/>
  <c r="CB68" i="83"/>
  <c r="J68" i="83"/>
  <c r="Y68" i="83"/>
  <c r="BI68" i="83"/>
  <c r="AH68" i="83"/>
  <c r="AK68" i="83"/>
  <c r="BU68" i="83"/>
  <c r="CM62" i="83" l="1"/>
  <c r="G65" i="83"/>
  <c r="G67" i="83" l="1"/>
  <c r="CM65" i="83"/>
  <c r="CM67" i="83" l="1"/>
  <c r="G68" i="83"/>
  <c r="CM68" i="83" l="1"/>
  <c r="A1" i="81" l="1"/>
  <c r="E21" i="81" s="1"/>
  <c r="F10" i="19"/>
  <c r="D50" i="13"/>
  <c r="C9" i="51"/>
  <c r="E9" i="51" s="1"/>
  <c r="H12" i="76" s="1"/>
  <c r="E10" i="51"/>
  <c r="H13" i="76" s="1"/>
  <c r="D69" i="13"/>
  <c r="R8" i="17"/>
  <c r="D64" i="13" s="1"/>
  <c r="I15" i="19"/>
  <c r="I13" i="19"/>
  <c r="I12" i="19"/>
  <c r="I11" i="19"/>
  <c r="I10" i="19"/>
  <c r="I9" i="19"/>
  <c r="I8" i="19"/>
  <c r="I7" i="19"/>
  <c r="I6" i="19"/>
  <c r="R11" i="17" s="1"/>
  <c r="D70" i="13" s="1"/>
  <c r="D68" i="13" s="1"/>
  <c r="I5" i="19"/>
  <c r="H27" i="76"/>
  <c r="I27" i="76" s="1"/>
  <c r="J27" i="76" s="1"/>
  <c r="K27" i="76" s="1"/>
  <c r="L27" i="76" s="1"/>
  <c r="M27" i="76" s="1"/>
  <c r="N27" i="76" s="1"/>
  <c r="O27" i="76" s="1"/>
  <c r="P27" i="76" s="1"/>
  <c r="Q27" i="76" s="1"/>
  <c r="R27" i="76" s="1"/>
  <c r="S27" i="76" s="1"/>
  <c r="T27" i="76" s="1"/>
  <c r="U27" i="76" s="1"/>
  <c r="V27" i="76" s="1"/>
  <c r="W27" i="76" s="1"/>
  <c r="X27" i="76" s="1"/>
  <c r="Y27" i="76" s="1"/>
  <c r="Z27" i="76" s="1"/>
  <c r="AA27" i="76" s="1"/>
  <c r="C41" i="75"/>
  <c r="C42" i="75"/>
  <c r="C40" i="75"/>
  <c r="B22" i="75"/>
  <c r="B12" i="75"/>
  <c r="K19" i="48"/>
  <c r="J19" i="48"/>
  <c r="I19" i="48"/>
  <c r="H19" i="48"/>
  <c r="G19" i="48"/>
  <c r="F19" i="48"/>
  <c r="E19" i="48"/>
  <c r="D19" i="48"/>
  <c r="C19" i="48"/>
  <c r="B19" i="48"/>
  <c r="G1" i="19"/>
  <c r="E20" i="19"/>
  <c r="D45" i="75" l="1"/>
  <c r="D21" i="81"/>
  <c r="G6" i="81"/>
  <c r="B13" i="81" a="1"/>
  <c r="B13" i="81" s="1"/>
  <c r="H17" i="76"/>
  <c r="H11" i="76"/>
  <c r="E11" i="51"/>
  <c r="C12" i="75"/>
  <c r="C22" i="75"/>
  <c r="C32" i="75"/>
  <c r="M1" i="17"/>
  <c r="A41" i="13"/>
  <c r="A1" i="69" s="1"/>
  <c r="A21" i="13"/>
  <c r="A1" i="68" s="1"/>
  <c r="C1" i="19"/>
  <c r="A1" i="13" s="1"/>
  <c r="XFD1" i="81" s="1"/>
  <c r="G3" i="81" s="1"/>
  <c r="C71" i="75" l="1"/>
  <c r="D72" i="75" s="1"/>
  <c r="E28" i="80" s="1"/>
  <c r="C82" i="75"/>
  <c r="C59" i="75"/>
  <c r="D60" i="75" s="1"/>
  <c r="E25" i="80" s="1"/>
  <c r="C44" i="75"/>
  <c r="D46" i="75" s="1"/>
  <c r="B9" i="77"/>
  <c r="B6" i="79"/>
  <c r="B5" i="77"/>
  <c r="C5" i="78" s="1"/>
  <c r="A1" i="39"/>
  <c r="A1" i="76"/>
  <c r="D28" i="13"/>
  <c r="O8" i="17"/>
  <c r="D45" i="13" s="1"/>
  <c r="G81" i="73"/>
  <c r="G80" i="73"/>
  <c r="G78" i="73"/>
  <c r="CL67" i="73"/>
  <c r="CK67" i="73"/>
  <c r="CJ67" i="73"/>
  <c r="CI67" i="73"/>
  <c r="CH67" i="73"/>
  <c r="CG67" i="73"/>
  <c r="CF67" i="73"/>
  <c r="CE67" i="73"/>
  <c r="CD67" i="73"/>
  <c r="CC67" i="73"/>
  <c r="CB67" i="73"/>
  <c r="CA67" i="73"/>
  <c r="BZ67" i="73"/>
  <c r="BY67" i="73"/>
  <c r="BX67" i="73"/>
  <c r="BW67" i="73"/>
  <c r="BV67" i="73"/>
  <c r="BU67" i="73"/>
  <c r="BT67" i="73"/>
  <c r="BS67" i="73"/>
  <c r="BR67" i="73"/>
  <c r="BQ67" i="73"/>
  <c r="BP67" i="73"/>
  <c r="BO67" i="73"/>
  <c r="BN67" i="73"/>
  <c r="BM67" i="73"/>
  <c r="BL67" i="73"/>
  <c r="BK67" i="73"/>
  <c r="BJ67" i="73"/>
  <c r="BI67" i="73"/>
  <c r="BH67" i="73"/>
  <c r="BG67" i="73"/>
  <c r="BF67" i="73"/>
  <c r="BE67" i="73"/>
  <c r="BD67" i="73"/>
  <c r="BC67" i="73"/>
  <c r="BB67" i="73"/>
  <c r="BA67" i="73"/>
  <c r="AZ67" i="73"/>
  <c r="AY67" i="73"/>
  <c r="AX67" i="73"/>
  <c r="AW67" i="73"/>
  <c r="AV67" i="73"/>
  <c r="AU67" i="73"/>
  <c r="AT67" i="73"/>
  <c r="AS67" i="73"/>
  <c r="AR67" i="73"/>
  <c r="AQ67" i="73"/>
  <c r="AP67" i="73"/>
  <c r="AO67" i="73"/>
  <c r="AN67" i="73"/>
  <c r="AM67" i="73"/>
  <c r="AL67" i="73"/>
  <c r="AK67" i="73"/>
  <c r="AJ67" i="73"/>
  <c r="AI67" i="73"/>
  <c r="AH67" i="73"/>
  <c r="AG67" i="73"/>
  <c r="AF67" i="73"/>
  <c r="AE67" i="73"/>
  <c r="AD67" i="73"/>
  <c r="AC67" i="73"/>
  <c r="AB67" i="73"/>
  <c r="AA67" i="73"/>
  <c r="Z67" i="73"/>
  <c r="Y67" i="73"/>
  <c r="X67" i="73"/>
  <c r="W67" i="73"/>
  <c r="V67" i="73"/>
  <c r="U67" i="73"/>
  <c r="T67" i="73"/>
  <c r="S67" i="73"/>
  <c r="R67" i="73"/>
  <c r="Q67" i="73"/>
  <c r="P67" i="73"/>
  <c r="O67" i="73"/>
  <c r="N67" i="73"/>
  <c r="M67" i="73"/>
  <c r="L67" i="73"/>
  <c r="K67" i="73"/>
  <c r="J67" i="73"/>
  <c r="I67" i="73"/>
  <c r="H67" i="73"/>
  <c r="G67" i="73"/>
  <c r="CL58" i="73"/>
  <c r="CK58" i="73"/>
  <c r="CJ58" i="73"/>
  <c r="CI58" i="73"/>
  <c r="CH58" i="73"/>
  <c r="CG58" i="73"/>
  <c r="CF58" i="73"/>
  <c r="CE58" i="73"/>
  <c r="CD58" i="73"/>
  <c r="CC58" i="73"/>
  <c r="CB58" i="73"/>
  <c r="CA58" i="73"/>
  <c r="BZ58" i="73"/>
  <c r="BY58" i="73"/>
  <c r="BX58" i="73"/>
  <c r="BW58" i="73"/>
  <c r="BV58" i="73"/>
  <c r="BU58" i="73"/>
  <c r="BT58" i="73"/>
  <c r="BS58" i="73"/>
  <c r="BR58" i="73"/>
  <c r="BQ58" i="73"/>
  <c r="BP58" i="73"/>
  <c r="BO58" i="73"/>
  <c r="BN58" i="73"/>
  <c r="BM58" i="73"/>
  <c r="BL58" i="73"/>
  <c r="BK58" i="73"/>
  <c r="BJ58" i="73"/>
  <c r="BI58" i="73"/>
  <c r="BH58" i="73"/>
  <c r="BG58" i="73"/>
  <c r="BF58" i="73"/>
  <c r="BE58" i="73"/>
  <c r="BD58" i="73"/>
  <c r="BC58" i="73"/>
  <c r="BB58" i="73"/>
  <c r="BA58" i="73"/>
  <c r="AZ58" i="73"/>
  <c r="AY58" i="73"/>
  <c r="AX58" i="73"/>
  <c r="AW58" i="73"/>
  <c r="AV58" i="73"/>
  <c r="AU58" i="73"/>
  <c r="AT58" i="73"/>
  <c r="AS58" i="73"/>
  <c r="AR58" i="73"/>
  <c r="AQ58" i="73"/>
  <c r="AP58" i="73"/>
  <c r="AO58" i="73"/>
  <c r="AN58" i="73"/>
  <c r="AM58" i="73"/>
  <c r="AL58" i="73"/>
  <c r="AK58" i="73"/>
  <c r="AJ58" i="73"/>
  <c r="AI58" i="73"/>
  <c r="AH58" i="73"/>
  <c r="AG58" i="73"/>
  <c r="AF58" i="73"/>
  <c r="AE58" i="73"/>
  <c r="AD58" i="73"/>
  <c r="AC58" i="73"/>
  <c r="AB58" i="73"/>
  <c r="AA58" i="73"/>
  <c r="Z58" i="73"/>
  <c r="Y58" i="73"/>
  <c r="X58" i="73"/>
  <c r="W58" i="73"/>
  <c r="V58" i="73"/>
  <c r="U58" i="73"/>
  <c r="T58" i="73"/>
  <c r="S58" i="73"/>
  <c r="CM57" i="73"/>
  <c r="CL46" i="73"/>
  <c r="CL64" i="73" s="1"/>
  <c r="CK46" i="73"/>
  <c r="CK64" i="73" s="1"/>
  <c r="CJ46" i="73"/>
  <c r="CJ64" i="73" s="1"/>
  <c r="CI46" i="73"/>
  <c r="CI64" i="73" s="1"/>
  <c r="CH46" i="73"/>
  <c r="CH64" i="73" s="1"/>
  <c r="CG46" i="73"/>
  <c r="CG64" i="73" s="1"/>
  <c r="CF46" i="73"/>
  <c r="CF64" i="73" s="1"/>
  <c r="CE46" i="73"/>
  <c r="CE64" i="73" s="1"/>
  <c r="CD46" i="73"/>
  <c r="CD64" i="73" s="1"/>
  <c r="CC46" i="73"/>
  <c r="CC64" i="73" s="1"/>
  <c r="CB46" i="73"/>
  <c r="CB64" i="73" s="1"/>
  <c r="CA46" i="73"/>
  <c r="CA64" i="73" s="1"/>
  <c r="BZ46" i="73"/>
  <c r="BZ64" i="73" s="1"/>
  <c r="BY46" i="73"/>
  <c r="BY64" i="73" s="1"/>
  <c r="BX46" i="73"/>
  <c r="BX64" i="73" s="1"/>
  <c r="BW46" i="73"/>
  <c r="BW64" i="73" s="1"/>
  <c r="BV46" i="73"/>
  <c r="BV64" i="73" s="1"/>
  <c r="BU46" i="73"/>
  <c r="BU64" i="73" s="1"/>
  <c r="BT46" i="73"/>
  <c r="BT64" i="73" s="1"/>
  <c r="BS46" i="73"/>
  <c r="BS64" i="73" s="1"/>
  <c r="BR46" i="73"/>
  <c r="BR64" i="73" s="1"/>
  <c r="BQ46" i="73"/>
  <c r="BQ64" i="73" s="1"/>
  <c r="BP46" i="73"/>
  <c r="BP64" i="73" s="1"/>
  <c r="BO46" i="73"/>
  <c r="BO64" i="73" s="1"/>
  <c r="BN46" i="73"/>
  <c r="BN64" i="73" s="1"/>
  <c r="BM46" i="73"/>
  <c r="BM64" i="73" s="1"/>
  <c r="BL46" i="73"/>
  <c r="BL64" i="73" s="1"/>
  <c r="BK46" i="73"/>
  <c r="BK64" i="73" s="1"/>
  <c r="BJ46" i="73"/>
  <c r="BJ64" i="73" s="1"/>
  <c r="BI46" i="73"/>
  <c r="BI64" i="73" s="1"/>
  <c r="BH46" i="73"/>
  <c r="BH64" i="73" s="1"/>
  <c r="BG46" i="73"/>
  <c r="BG64" i="73" s="1"/>
  <c r="BF46" i="73"/>
  <c r="BF64" i="73" s="1"/>
  <c r="BE46" i="73"/>
  <c r="BE64" i="73" s="1"/>
  <c r="BD46" i="73"/>
  <c r="BD64" i="73" s="1"/>
  <c r="BC46" i="73"/>
  <c r="BC64" i="73" s="1"/>
  <c r="BB46" i="73"/>
  <c r="BB64" i="73" s="1"/>
  <c r="BA46" i="73"/>
  <c r="BA64" i="73" s="1"/>
  <c r="AZ46" i="73"/>
  <c r="AZ64" i="73" s="1"/>
  <c r="AY46" i="73"/>
  <c r="AY64" i="73" s="1"/>
  <c r="AX46" i="73"/>
  <c r="AX64" i="73" s="1"/>
  <c r="AW46" i="73"/>
  <c r="AW64" i="73" s="1"/>
  <c r="AV46" i="73"/>
  <c r="AV64" i="73" s="1"/>
  <c r="AU46" i="73"/>
  <c r="AU64" i="73" s="1"/>
  <c r="AT46" i="73"/>
  <c r="AT64" i="73" s="1"/>
  <c r="AS46" i="73"/>
  <c r="AS64" i="73" s="1"/>
  <c r="AR46" i="73"/>
  <c r="AR64" i="73" s="1"/>
  <c r="AQ46" i="73"/>
  <c r="AQ64" i="73" s="1"/>
  <c r="AP46" i="73"/>
  <c r="AP64" i="73" s="1"/>
  <c r="AO46" i="73"/>
  <c r="AO64" i="73" s="1"/>
  <c r="AN46" i="73"/>
  <c r="AN64" i="73" s="1"/>
  <c r="AM46" i="73"/>
  <c r="AM64" i="73" s="1"/>
  <c r="AL46" i="73"/>
  <c r="AL64" i="73" s="1"/>
  <c r="AK46" i="73"/>
  <c r="AK64" i="73" s="1"/>
  <c r="AJ46" i="73"/>
  <c r="AJ64" i="73" s="1"/>
  <c r="AI46" i="73"/>
  <c r="AI64" i="73" s="1"/>
  <c r="AH46" i="73"/>
  <c r="AH64" i="73" s="1"/>
  <c r="AG46" i="73"/>
  <c r="AG64" i="73" s="1"/>
  <c r="AF46" i="73"/>
  <c r="AF64" i="73" s="1"/>
  <c r="AE46" i="73"/>
  <c r="AE64" i="73" s="1"/>
  <c r="AD46" i="73"/>
  <c r="AD64" i="73" s="1"/>
  <c r="AC46" i="73"/>
  <c r="AC64" i="73" s="1"/>
  <c r="AB46" i="73"/>
  <c r="AB64" i="73" s="1"/>
  <c r="AA46" i="73"/>
  <c r="AA64" i="73" s="1"/>
  <c r="Z46" i="73"/>
  <c r="Z64" i="73" s="1"/>
  <c r="Y46" i="73"/>
  <c r="Y64" i="73" s="1"/>
  <c r="X46" i="73"/>
  <c r="X64" i="73" s="1"/>
  <c r="W46" i="73"/>
  <c r="W64" i="73" s="1"/>
  <c r="V46" i="73"/>
  <c r="V64" i="73" s="1"/>
  <c r="U46" i="73"/>
  <c r="U64" i="73" s="1"/>
  <c r="T46" i="73"/>
  <c r="T64" i="73" s="1"/>
  <c r="S46" i="73"/>
  <c r="S64" i="73" s="1"/>
  <c r="R46" i="73"/>
  <c r="R64" i="73" s="1"/>
  <c r="Q46" i="73"/>
  <c r="Q64" i="73" s="1"/>
  <c r="P46" i="73"/>
  <c r="P64" i="73" s="1"/>
  <c r="O46" i="73"/>
  <c r="O64" i="73" s="1"/>
  <c r="N46" i="73"/>
  <c r="N64" i="73" s="1"/>
  <c r="M46" i="73"/>
  <c r="M64" i="73" s="1"/>
  <c r="L46" i="73"/>
  <c r="L64" i="73" s="1"/>
  <c r="K46" i="73"/>
  <c r="K64" i="73" s="1"/>
  <c r="J46" i="73"/>
  <c r="J64" i="73" s="1"/>
  <c r="I46" i="73"/>
  <c r="I64" i="73" s="1"/>
  <c r="H46" i="73"/>
  <c r="H64" i="73" s="1"/>
  <c r="G46" i="73"/>
  <c r="G64" i="73" s="1"/>
  <c r="CL45" i="73"/>
  <c r="CL65" i="73" s="1"/>
  <c r="CK45" i="73"/>
  <c r="CK65" i="73" s="1"/>
  <c r="CJ45" i="73"/>
  <c r="CJ65" i="73" s="1"/>
  <c r="CI45" i="73"/>
  <c r="CI65" i="73" s="1"/>
  <c r="CH45" i="73"/>
  <c r="CH65" i="73" s="1"/>
  <c r="CG45" i="73"/>
  <c r="CG65" i="73" s="1"/>
  <c r="CF45" i="73"/>
  <c r="CF65" i="73" s="1"/>
  <c r="CE45" i="73"/>
  <c r="CE65" i="73" s="1"/>
  <c r="CD45" i="73"/>
  <c r="CD65" i="73" s="1"/>
  <c r="CC45" i="73"/>
  <c r="CC65" i="73" s="1"/>
  <c r="CB45" i="73"/>
  <c r="CB65" i="73" s="1"/>
  <c r="CA45" i="73"/>
  <c r="CA65" i="73" s="1"/>
  <c r="BZ45" i="73"/>
  <c r="BZ65" i="73" s="1"/>
  <c r="BY45" i="73"/>
  <c r="BY65" i="73" s="1"/>
  <c r="BX45" i="73"/>
  <c r="BX65" i="73" s="1"/>
  <c r="BW45" i="73"/>
  <c r="BW65" i="73" s="1"/>
  <c r="BV45" i="73"/>
  <c r="BV65" i="73" s="1"/>
  <c r="BU45" i="73"/>
  <c r="BU65" i="73" s="1"/>
  <c r="BT45" i="73"/>
  <c r="BT65" i="73" s="1"/>
  <c r="BS45" i="73"/>
  <c r="BS65" i="73" s="1"/>
  <c r="BR45" i="73"/>
  <c r="BR65" i="73" s="1"/>
  <c r="BQ45" i="73"/>
  <c r="BQ65" i="73" s="1"/>
  <c r="BP45" i="73"/>
  <c r="BP65" i="73" s="1"/>
  <c r="BO45" i="73"/>
  <c r="BO65" i="73" s="1"/>
  <c r="BN45" i="73"/>
  <c r="BN65" i="73" s="1"/>
  <c r="BM45" i="73"/>
  <c r="BM65" i="73" s="1"/>
  <c r="BL45" i="73"/>
  <c r="BL65" i="73" s="1"/>
  <c r="BK45" i="73"/>
  <c r="BK65" i="73" s="1"/>
  <c r="BJ45" i="73"/>
  <c r="BJ65" i="73" s="1"/>
  <c r="BI45" i="73"/>
  <c r="BI65" i="73" s="1"/>
  <c r="BH45" i="73"/>
  <c r="BH65" i="73" s="1"/>
  <c r="BG45" i="73"/>
  <c r="BG65" i="73" s="1"/>
  <c r="BF45" i="73"/>
  <c r="BF65" i="73" s="1"/>
  <c r="BE45" i="73"/>
  <c r="BE65" i="73" s="1"/>
  <c r="BD45" i="73"/>
  <c r="BD65" i="73" s="1"/>
  <c r="BC45" i="73"/>
  <c r="BC65" i="73" s="1"/>
  <c r="BB45" i="73"/>
  <c r="BB65" i="73" s="1"/>
  <c r="BA45" i="73"/>
  <c r="BA65" i="73" s="1"/>
  <c r="AZ45" i="73"/>
  <c r="AZ65" i="73" s="1"/>
  <c r="AY45" i="73"/>
  <c r="AY65" i="73" s="1"/>
  <c r="AX45" i="73"/>
  <c r="AX65" i="73" s="1"/>
  <c r="AW45" i="73"/>
  <c r="AW65" i="73" s="1"/>
  <c r="AV45" i="73"/>
  <c r="AV65" i="73" s="1"/>
  <c r="AU45" i="73"/>
  <c r="AU65" i="73" s="1"/>
  <c r="AT45" i="73"/>
  <c r="AT65" i="73" s="1"/>
  <c r="AS45" i="73"/>
  <c r="AS65" i="73" s="1"/>
  <c r="AR45" i="73"/>
  <c r="AR65" i="73" s="1"/>
  <c r="AQ45" i="73"/>
  <c r="AQ65" i="73" s="1"/>
  <c r="AP45" i="73"/>
  <c r="AP65" i="73" s="1"/>
  <c r="AO45" i="73"/>
  <c r="AO65" i="73" s="1"/>
  <c r="AN45" i="73"/>
  <c r="AN65" i="73" s="1"/>
  <c r="AM45" i="73"/>
  <c r="AM65" i="73" s="1"/>
  <c r="AL45" i="73"/>
  <c r="AL65" i="73" s="1"/>
  <c r="AK45" i="73"/>
  <c r="AK65" i="73" s="1"/>
  <c r="AJ45" i="73"/>
  <c r="AJ65" i="73" s="1"/>
  <c r="AI45" i="73"/>
  <c r="AI65" i="73" s="1"/>
  <c r="AH45" i="73"/>
  <c r="AH65" i="73" s="1"/>
  <c r="AG45" i="73"/>
  <c r="AG65" i="73" s="1"/>
  <c r="AF45" i="73"/>
  <c r="AF65" i="73" s="1"/>
  <c r="AE45" i="73"/>
  <c r="AE65" i="73" s="1"/>
  <c r="AD45" i="73"/>
  <c r="AD65" i="73" s="1"/>
  <c r="AC45" i="73"/>
  <c r="AC65" i="73" s="1"/>
  <c r="AB45" i="73"/>
  <c r="AB65" i="73" s="1"/>
  <c r="AA45" i="73"/>
  <c r="AA65" i="73" s="1"/>
  <c r="Z45" i="73"/>
  <c r="Z65" i="73" s="1"/>
  <c r="Y45" i="73"/>
  <c r="Y65" i="73" s="1"/>
  <c r="X45" i="73"/>
  <c r="X65" i="73" s="1"/>
  <c r="W45" i="73"/>
  <c r="W65" i="73" s="1"/>
  <c r="V45" i="73"/>
  <c r="V65" i="73" s="1"/>
  <c r="U45" i="73"/>
  <c r="U65" i="73" s="1"/>
  <c r="T45" i="73"/>
  <c r="T65" i="73" s="1"/>
  <c r="S45" i="73"/>
  <c r="S65" i="73" s="1"/>
  <c r="R45" i="73"/>
  <c r="R65" i="73" s="1"/>
  <c r="Q45" i="73"/>
  <c r="Q65" i="73" s="1"/>
  <c r="P45" i="73"/>
  <c r="P65" i="73" s="1"/>
  <c r="O45" i="73"/>
  <c r="O65" i="73" s="1"/>
  <c r="N45" i="73"/>
  <c r="N65" i="73" s="1"/>
  <c r="M45" i="73"/>
  <c r="M65" i="73" s="1"/>
  <c r="L45" i="73"/>
  <c r="L65" i="73" s="1"/>
  <c r="K45" i="73"/>
  <c r="K65" i="73" s="1"/>
  <c r="J45" i="73"/>
  <c r="J65" i="73" s="1"/>
  <c r="I45" i="73"/>
  <c r="I65" i="73" s="1"/>
  <c r="H45" i="73"/>
  <c r="H65" i="73" s="1"/>
  <c r="G45" i="73"/>
  <c r="G65" i="73" s="1"/>
  <c r="CL44" i="73"/>
  <c r="CL62" i="73" s="1"/>
  <c r="CK44" i="73"/>
  <c r="CK62" i="73" s="1"/>
  <c r="CJ44" i="73"/>
  <c r="CJ62" i="73" s="1"/>
  <c r="CI44" i="73"/>
  <c r="CI62" i="73" s="1"/>
  <c r="CH44" i="73"/>
  <c r="CH62" i="73" s="1"/>
  <c r="CG44" i="73"/>
  <c r="CG62" i="73" s="1"/>
  <c r="CF44" i="73"/>
  <c r="CF62" i="73" s="1"/>
  <c r="CE44" i="73"/>
  <c r="CE62" i="73" s="1"/>
  <c r="CD44" i="73"/>
  <c r="CD62" i="73" s="1"/>
  <c r="CC44" i="73"/>
  <c r="CC62" i="73" s="1"/>
  <c r="CB44" i="73"/>
  <c r="CB62" i="73" s="1"/>
  <c r="CA44" i="73"/>
  <c r="CA62" i="73" s="1"/>
  <c r="BZ44" i="73"/>
  <c r="BZ62" i="73" s="1"/>
  <c r="BY44" i="73"/>
  <c r="BY62" i="73" s="1"/>
  <c r="BX44" i="73"/>
  <c r="BX62" i="73" s="1"/>
  <c r="BW44" i="73"/>
  <c r="BW62" i="73" s="1"/>
  <c r="BV44" i="73"/>
  <c r="BV62" i="73" s="1"/>
  <c r="BU44" i="73"/>
  <c r="BU62" i="73" s="1"/>
  <c r="BT44" i="73"/>
  <c r="BT62" i="73" s="1"/>
  <c r="BS44" i="73"/>
  <c r="BS62" i="73" s="1"/>
  <c r="BR44" i="73"/>
  <c r="BR62" i="73" s="1"/>
  <c r="BQ44" i="73"/>
  <c r="BQ62" i="73" s="1"/>
  <c r="BP44" i="73"/>
  <c r="BP62" i="73" s="1"/>
  <c r="BO44" i="73"/>
  <c r="BO62" i="73" s="1"/>
  <c r="BN44" i="73"/>
  <c r="BN62" i="73" s="1"/>
  <c r="BM44" i="73"/>
  <c r="BM62" i="73" s="1"/>
  <c r="BL44" i="73"/>
  <c r="BL62" i="73" s="1"/>
  <c r="BK44" i="73"/>
  <c r="BK62" i="73" s="1"/>
  <c r="BJ44" i="73"/>
  <c r="BJ62" i="73" s="1"/>
  <c r="BI44" i="73"/>
  <c r="BI62" i="73" s="1"/>
  <c r="BH44" i="73"/>
  <c r="BH62" i="73" s="1"/>
  <c r="BG44" i="73"/>
  <c r="BG62" i="73" s="1"/>
  <c r="BF44" i="73"/>
  <c r="BF62" i="73" s="1"/>
  <c r="BE44" i="73"/>
  <c r="BE62" i="73" s="1"/>
  <c r="BD44" i="73"/>
  <c r="BD62" i="73" s="1"/>
  <c r="BC44" i="73"/>
  <c r="BC62" i="73" s="1"/>
  <c r="BB44" i="73"/>
  <c r="BB62" i="73" s="1"/>
  <c r="BA44" i="73"/>
  <c r="BA62" i="73" s="1"/>
  <c r="AZ44" i="73"/>
  <c r="AZ62" i="73" s="1"/>
  <c r="AY44" i="73"/>
  <c r="AY62" i="73" s="1"/>
  <c r="AX44" i="73"/>
  <c r="AX62" i="73" s="1"/>
  <c r="AW44" i="73"/>
  <c r="AW62" i="73" s="1"/>
  <c r="AV44" i="73"/>
  <c r="AV62" i="73" s="1"/>
  <c r="AU44" i="73"/>
  <c r="AU62" i="73" s="1"/>
  <c r="AT44" i="73"/>
  <c r="AT62" i="73" s="1"/>
  <c r="AS44" i="73"/>
  <c r="AS62" i="73" s="1"/>
  <c r="AR44" i="73"/>
  <c r="AR62" i="73" s="1"/>
  <c r="AQ44" i="73"/>
  <c r="AQ62" i="73" s="1"/>
  <c r="AP44" i="73"/>
  <c r="AP62" i="73" s="1"/>
  <c r="AO44" i="73"/>
  <c r="AO62" i="73" s="1"/>
  <c r="AN44" i="73"/>
  <c r="AN62" i="73" s="1"/>
  <c r="AM44" i="73"/>
  <c r="AM62" i="73" s="1"/>
  <c r="AL44" i="73"/>
  <c r="AL62" i="73" s="1"/>
  <c r="AK44" i="73"/>
  <c r="AK62" i="73" s="1"/>
  <c r="AJ44" i="73"/>
  <c r="AJ62" i="73" s="1"/>
  <c r="AI44" i="73"/>
  <c r="AI62" i="73" s="1"/>
  <c r="AH44" i="73"/>
  <c r="AH62" i="73" s="1"/>
  <c r="AG44" i="73"/>
  <c r="AG62" i="73" s="1"/>
  <c r="AF44" i="73"/>
  <c r="AF62" i="73" s="1"/>
  <c r="AE44" i="73"/>
  <c r="AE62" i="73" s="1"/>
  <c r="AD44" i="73"/>
  <c r="AD62" i="73" s="1"/>
  <c r="AC44" i="73"/>
  <c r="AC62" i="73" s="1"/>
  <c r="AB44" i="73"/>
  <c r="AB62" i="73" s="1"/>
  <c r="AA44" i="73"/>
  <c r="AA62" i="73" s="1"/>
  <c r="Z44" i="73"/>
  <c r="Z62" i="73" s="1"/>
  <c r="Y44" i="73"/>
  <c r="Y62" i="73" s="1"/>
  <c r="X44" i="73"/>
  <c r="X62" i="73" s="1"/>
  <c r="W44" i="73"/>
  <c r="W62" i="73" s="1"/>
  <c r="V44" i="73"/>
  <c r="V62" i="73" s="1"/>
  <c r="U44" i="73"/>
  <c r="U62" i="73" s="1"/>
  <c r="T44" i="73"/>
  <c r="T62" i="73" s="1"/>
  <c r="S44" i="73"/>
  <c r="S62" i="73" s="1"/>
  <c r="R44" i="73"/>
  <c r="R62" i="73" s="1"/>
  <c r="Q44" i="73"/>
  <c r="Q62" i="73" s="1"/>
  <c r="P44" i="73"/>
  <c r="P62" i="73" s="1"/>
  <c r="O44" i="73"/>
  <c r="O62" i="73" s="1"/>
  <c r="N44" i="73"/>
  <c r="N62" i="73" s="1"/>
  <c r="M44" i="73"/>
  <c r="M62" i="73" s="1"/>
  <c r="L44" i="73"/>
  <c r="L62" i="73" s="1"/>
  <c r="K44" i="73"/>
  <c r="K62" i="73" s="1"/>
  <c r="J44" i="73"/>
  <c r="J62" i="73" s="1"/>
  <c r="I44" i="73"/>
  <c r="I62" i="73" s="1"/>
  <c r="H44" i="73"/>
  <c r="H62" i="73" s="1"/>
  <c r="G44" i="73"/>
  <c r="G62" i="73" s="1"/>
  <c r="CL43" i="73"/>
  <c r="CL61" i="73" s="1"/>
  <c r="CK43" i="73"/>
  <c r="CK61" i="73" s="1"/>
  <c r="CJ43" i="73"/>
  <c r="CJ61" i="73" s="1"/>
  <c r="CI43" i="73"/>
  <c r="CI61" i="73" s="1"/>
  <c r="CH43" i="73"/>
  <c r="CH61" i="73" s="1"/>
  <c r="CG43" i="73"/>
  <c r="CG61" i="73" s="1"/>
  <c r="CF43" i="73"/>
  <c r="CF61" i="73" s="1"/>
  <c r="CE43" i="73"/>
  <c r="CE61" i="73" s="1"/>
  <c r="CD43" i="73"/>
  <c r="CD61" i="73" s="1"/>
  <c r="CC43" i="73"/>
  <c r="CC61" i="73" s="1"/>
  <c r="CB43" i="73"/>
  <c r="CB61" i="73" s="1"/>
  <c r="CA43" i="73"/>
  <c r="CA61" i="73" s="1"/>
  <c r="BZ43" i="73"/>
  <c r="BZ61" i="73" s="1"/>
  <c r="BY43" i="73"/>
  <c r="BY61" i="73" s="1"/>
  <c r="BX43" i="73"/>
  <c r="BX61" i="73" s="1"/>
  <c r="BW43" i="73"/>
  <c r="BW61" i="73" s="1"/>
  <c r="BV43" i="73"/>
  <c r="BV61" i="73" s="1"/>
  <c r="BU43" i="73"/>
  <c r="BU61" i="73" s="1"/>
  <c r="BT43" i="73"/>
  <c r="BT61" i="73" s="1"/>
  <c r="BS43" i="73"/>
  <c r="BS61" i="73" s="1"/>
  <c r="BR43" i="73"/>
  <c r="BR61" i="73" s="1"/>
  <c r="BQ43" i="73"/>
  <c r="BQ61" i="73" s="1"/>
  <c r="BP43" i="73"/>
  <c r="BP61" i="73" s="1"/>
  <c r="BO43" i="73"/>
  <c r="BO61" i="73" s="1"/>
  <c r="BN43" i="73"/>
  <c r="BN61" i="73" s="1"/>
  <c r="BM43" i="73"/>
  <c r="BM61" i="73" s="1"/>
  <c r="BL43" i="73"/>
  <c r="BL61" i="73" s="1"/>
  <c r="BK43" i="73"/>
  <c r="BK61" i="73" s="1"/>
  <c r="BJ43" i="73"/>
  <c r="BJ61" i="73" s="1"/>
  <c r="BI43" i="73"/>
  <c r="BI61" i="73" s="1"/>
  <c r="BH43" i="73"/>
  <c r="BH61" i="73" s="1"/>
  <c r="BG43" i="73"/>
  <c r="BG61" i="73" s="1"/>
  <c r="BF43" i="73"/>
  <c r="BF61" i="73" s="1"/>
  <c r="BE43" i="73"/>
  <c r="BE61" i="73" s="1"/>
  <c r="BD43" i="73"/>
  <c r="BD61" i="73" s="1"/>
  <c r="BC43" i="73"/>
  <c r="BC61" i="73" s="1"/>
  <c r="BB43" i="73"/>
  <c r="BB61" i="73" s="1"/>
  <c r="BA43" i="73"/>
  <c r="BA61" i="73" s="1"/>
  <c r="AZ43" i="73"/>
  <c r="AZ61" i="73" s="1"/>
  <c r="AY43" i="73"/>
  <c r="AY61" i="73" s="1"/>
  <c r="AX43" i="73"/>
  <c r="AX61" i="73" s="1"/>
  <c r="AW43" i="73"/>
  <c r="AW61" i="73" s="1"/>
  <c r="AV43" i="73"/>
  <c r="AV61" i="73" s="1"/>
  <c r="AU43" i="73"/>
  <c r="AU61" i="73" s="1"/>
  <c r="AT43" i="73"/>
  <c r="AT61" i="73" s="1"/>
  <c r="AS43" i="73"/>
  <c r="AS61" i="73" s="1"/>
  <c r="AR43" i="73"/>
  <c r="AR61" i="73" s="1"/>
  <c r="AQ43" i="73"/>
  <c r="AQ61" i="73" s="1"/>
  <c r="AP43" i="73"/>
  <c r="AP61" i="73" s="1"/>
  <c r="AO43" i="73"/>
  <c r="AO61" i="73" s="1"/>
  <c r="AN43" i="73"/>
  <c r="AN61" i="73" s="1"/>
  <c r="AM43" i="73"/>
  <c r="AM61" i="73" s="1"/>
  <c r="AL43" i="73"/>
  <c r="AL61" i="73" s="1"/>
  <c r="AK43" i="73"/>
  <c r="AK61" i="73" s="1"/>
  <c r="AJ43" i="73"/>
  <c r="AJ61" i="73" s="1"/>
  <c r="AI43" i="73"/>
  <c r="AI61" i="73" s="1"/>
  <c r="AH43" i="73"/>
  <c r="AH61" i="73" s="1"/>
  <c r="AG43" i="73"/>
  <c r="AG61" i="73" s="1"/>
  <c r="AF43" i="73"/>
  <c r="AF61" i="73" s="1"/>
  <c r="AE43" i="73"/>
  <c r="AE61" i="73" s="1"/>
  <c r="AD43" i="73"/>
  <c r="AD61" i="73" s="1"/>
  <c r="AC43" i="73"/>
  <c r="AC61" i="73" s="1"/>
  <c r="AB43" i="73"/>
  <c r="AB61" i="73" s="1"/>
  <c r="AA43" i="73"/>
  <c r="AA61" i="73" s="1"/>
  <c r="Z43" i="73"/>
  <c r="Z61" i="73" s="1"/>
  <c r="Y43" i="73"/>
  <c r="Y61" i="73" s="1"/>
  <c r="X43" i="73"/>
  <c r="X61" i="73" s="1"/>
  <c r="W43" i="73"/>
  <c r="W61" i="73" s="1"/>
  <c r="V43" i="73"/>
  <c r="V61" i="73" s="1"/>
  <c r="U43" i="73"/>
  <c r="U61" i="73" s="1"/>
  <c r="T43" i="73"/>
  <c r="T61" i="73" s="1"/>
  <c r="S43" i="73"/>
  <c r="S61" i="73" s="1"/>
  <c r="R43" i="73"/>
  <c r="R61" i="73" s="1"/>
  <c r="Q43" i="73"/>
  <c r="Q61" i="73" s="1"/>
  <c r="P43" i="73"/>
  <c r="P61" i="73" s="1"/>
  <c r="O43" i="73"/>
  <c r="O61" i="73" s="1"/>
  <c r="N43" i="73"/>
  <c r="N61" i="73" s="1"/>
  <c r="M43" i="73"/>
  <c r="M61" i="73" s="1"/>
  <c r="L43" i="73"/>
  <c r="L61" i="73" s="1"/>
  <c r="K43" i="73"/>
  <c r="K61" i="73" s="1"/>
  <c r="J43" i="73"/>
  <c r="J61" i="73" s="1"/>
  <c r="I43" i="73"/>
  <c r="I61" i="73" s="1"/>
  <c r="H43" i="73"/>
  <c r="H61" i="73" s="1"/>
  <c r="G43" i="73"/>
  <c r="G61" i="73" s="1"/>
  <c r="FU42" i="73"/>
  <c r="FT42" i="73"/>
  <c r="FS42" i="73"/>
  <c r="FR42" i="73"/>
  <c r="FQ42" i="73"/>
  <c r="FP42" i="73"/>
  <c r="FO42" i="73"/>
  <c r="FN42" i="73"/>
  <c r="FM42" i="73"/>
  <c r="FL42" i="73"/>
  <c r="FK42" i="73"/>
  <c r="FJ42" i="73"/>
  <c r="FI42" i="73"/>
  <c r="FH42" i="73"/>
  <c r="FG42" i="73"/>
  <c r="FF42" i="73"/>
  <c r="FE42" i="73"/>
  <c r="FD42" i="73"/>
  <c r="FC42" i="73"/>
  <c r="FB42" i="73"/>
  <c r="FA42" i="73"/>
  <c r="EZ42" i="73"/>
  <c r="EY42" i="73"/>
  <c r="EX42" i="73"/>
  <c r="EW42" i="73"/>
  <c r="EV42" i="73"/>
  <c r="EU42" i="73"/>
  <c r="ET42" i="73"/>
  <c r="ES42" i="73"/>
  <c r="ER42" i="73"/>
  <c r="EQ42" i="73"/>
  <c r="EP42" i="73"/>
  <c r="EO42" i="73"/>
  <c r="EN42" i="73"/>
  <c r="EM42" i="73"/>
  <c r="EL42" i="73"/>
  <c r="EK42" i="73"/>
  <c r="EJ42" i="73"/>
  <c r="EI42" i="73"/>
  <c r="EH42" i="73"/>
  <c r="EG42" i="73"/>
  <c r="EF42" i="73"/>
  <c r="EE42" i="73"/>
  <c r="ED42" i="73"/>
  <c r="EC42" i="73"/>
  <c r="EB42" i="73"/>
  <c r="EA42" i="73"/>
  <c r="DZ42" i="73"/>
  <c r="DY42" i="73"/>
  <c r="DX42" i="73"/>
  <c r="DW42" i="73"/>
  <c r="DV42" i="73"/>
  <c r="DU42" i="73"/>
  <c r="DT42" i="73"/>
  <c r="DS42" i="73"/>
  <c r="DR42" i="73"/>
  <c r="DQ42" i="73"/>
  <c r="DP42" i="73"/>
  <c r="DO42" i="73"/>
  <c r="DN42" i="73"/>
  <c r="DM42" i="73"/>
  <c r="DL42" i="73"/>
  <c r="DK42" i="73"/>
  <c r="DJ42" i="73"/>
  <c r="DI42" i="73"/>
  <c r="DH42" i="73"/>
  <c r="DG42" i="73"/>
  <c r="DF42" i="73"/>
  <c r="DE42" i="73"/>
  <c r="DD42" i="73"/>
  <c r="DC42" i="73"/>
  <c r="DB42" i="73"/>
  <c r="DA42" i="73"/>
  <c r="CZ42" i="73"/>
  <c r="CY42" i="73"/>
  <c r="CX42" i="73"/>
  <c r="CW42" i="73"/>
  <c r="CV42" i="73"/>
  <c r="CU42" i="73"/>
  <c r="CT42" i="73"/>
  <c r="CS42" i="73"/>
  <c r="CR42" i="73"/>
  <c r="CQ42" i="73"/>
  <c r="CP42" i="73"/>
  <c r="CO42" i="73"/>
  <c r="FV41" i="73"/>
  <c r="CL41" i="73"/>
  <c r="CK41" i="73"/>
  <c r="CJ41" i="73"/>
  <c r="CI41" i="73"/>
  <c r="CH41" i="73"/>
  <c r="CG41" i="73"/>
  <c r="CF41" i="73"/>
  <c r="CE41" i="73"/>
  <c r="CD41" i="73"/>
  <c r="CC41" i="73"/>
  <c r="CB41" i="73"/>
  <c r="CA41" i="73"/>
  <c r="BZ41" i="73"/>
  <c r="BY41" i="73"/>
  <c r="BX41" i="73"/>
  <c r="BW41" i="73"/>
  <c r="BV41" i="73"/>
  <c r="BU41" i="73"/>
  <c r="BT41" i="73"/>
  <c r="BS41" i="73"/>
  <c r="BR41" i="73"/>
  <c r="BQ41" i="73"/>
  <c r="BP41" i="73"/>
  <c r="BO41" i="73"/>
  <c r="BN41" i="73"/>
  <c r="BM41" i="73"/>
  <c r="BL41" i="73"/>
  <c r="BK41" i="73"/>
  <c r="BJ41" i="73"/>
  <c r="BI41" i="73"/>
  <c r="BH41" i="73"/>
  <c r="BG41" i="73"/>
  <c r="BF41" i="73"/>
  <c r="BE41" i="73"/>
  <c r="BD41" i="73"/>
  <c r="BC41" i="73"/>
  <c r="BB41" i="73"/>
  <c r="BA41" i="73"/>
  <c r="AZ41" i="73"/>
  <c r="AY41" i="73"/>
  <c r="AX41" i="73"/>
  <c r="AW41" i="73"/>
  <c r="AV41" i="73"/>
  <c r="AU41" i="73"/>
  <c r="AT41" i="73"/>
  <c r="AS41" i="73"/>
  <c r="AR41" i="73"/>
  <c r="AQ41" i="73"/>
  <c r="AP41" i="73"/>
  <c r="AO41" i="73"/>
  <c r="AN41" i="73"/>
  <c r="AM41" i="73"/>
  <c r="AL41" i="73"/>
  <c r="AK41" i="73"/>
  <c r="AJ41" i="73"/>
  <c r="AI41" i="73"/>
  <c r="AH41" i="73"/>
  <c r="AG41" i="73"/>
  <c r="AF41" i="73"/>
  <c r="AE41" i="73"/>
  <c r="AD41" i="73"/>
  <c r="AC41" i="73"/>
  <c r="AB41" i="73"/>
  <c r="AA41" i="73"/>
  <c r="Z41" i="73"/>
  <c r="Y41" i="73"/>
  <c r="X41" i="73"/>
  <c r="W41" i="73"/>
  <c r="V41" i="73"/>
  <c r="U41" i="73"/>
  <c r="T41" i="73"/>
  <c r="S41" i="73"/>
  <c r="R41" i="73"/>
  <c r="Q41" i="73"/>
  <c r="P41" i="73"/>
  <c r="O41" i="73"/>
  <c r="N41" i="73"/>
  <c r="M41" i="73"/>
  <c r="L41" i="73"/>
  <c r="K41" i="73"/>
  <c r="J41" i="73"/>
  <c r="I41" i="73"/>
  <c r="H41" i="73"/>
  <c r="G41" i="73"/>
  <c r="FV40" i="73"/>
  <c r="CL40" i="73"/>
  <c r="CK40" i="73"/>
  <c r="CJ40" i="73"/>
  <c r="CI40" i="73"/>
  <c r="CH40" i="73"/>
  <c r="CG40" i="73"/>
  <c r="CF40" i="73"/>
  <c r="CE40" i="73"/>
  <c r="CD40" i="73"/>
  <c r="CC40" i="73"/>
  <c r="CB40" i="73"/>
  <c r="CA40" i="73"/>
  <c r="BZ40" i="73"/>
  <c r="BY40" i="73"/>
  <c r="BX40" i="73"/>
  <c r="BW40" i="73"/>
  <c r="BV40" i="73"/>
  <c r="BU40" i="73"/>
  <c r="BT40" i="73"/>
  <c r="BS40" i="73"/>
  <c r="BR40" i="73"/>
  <c r="BQ40" i="73"/>
  <c r="BP40" i="73"/>
  <c r="BO40" i="73"/>
  <c r="BN40" i="73"/>
  <c r="BM40" i="73"/>
  <c r="BL40" i="73"/>
  <c r="BK40" i="73"/>
  <c r="BJ40" i="73"/>
  <c r="BI40" i="73"/>
  <c r="BH40" i="73"/>
  <c r="BG40" i="73"/>
  <c r="BF40" i="73"/>
  <c r="BE40" i="73"/>
  <c r="BD40" i="73"/>
  <c r="BC40" i="73"/>
  <c r="BB40" i="73"/>
  <c r="BA40" i="73"/>
  <c r="AZ40" i="73"/>
  <c r="AY40" i="73"/>
  <c r="AX40" i="73"/>
  <c r="AW40" i="73"/>
  <c r="AV40" i="73"/>
  <c r="AU40" i="73"/>
  <c r="AT40" i="73"/>
  <c r="AS40" i="73"/>
  <c r="AR40" i="73"/>
  <c r="AQ40" i="73"/>
  <c r="AP40" i="73"/>
  <c r="AO40" i="73"/>
  <c r="AN40" i="73"/>
  <c r="AM40" i="73"/>
  <c r="AL40" i="73"/>
  <c r="AK40" i="73"/>
  <c r="AJ40" i="73"/>
  <c r="AI40" i="73"/>
  <c r="AH40" i="73"/>
  <c r="AG40" i="73"/>
  <c r="AF40" i="73"/>
  <c r="AE40" i="73"/>
  <c r="AD40" i="73"/>
  <c r="AC40" i="73"/>
  <c r="AB40" i="73"/>
  <c r="AA40" i="73"/>
  <c r="Z40" i="73"/>
  <c r="Y40" i="73"/>
  <c r="X40" i="73"/>
  <c r="W40" i="73"/>
  <c r="V40" i="73"/>
  <c r="U40" i="73"/>
  <c r="T40" i="73"/>
  <c r="S40" i="73"/>
  <c r="R40" i="73"/>
  <c r="Q40" i="73"/>
  <c r="P40" i="73"/>
  <c r="O40" i="73"/>
  <c r="N40" i="73"/>
  <c r="M40" i="73"/>
  <c r="L40" i="73"/>
  <c r="K40" i="73"/>
  <c r="J40" i="73"/>
  <c r="I40" i="73"/>
  <c r="H40" i="73"/>
  <c r="G40" i="73"/>
  <c r="FV39" i="73"/>
  <c r="CL39" i="73"/>
  <c r="CK39" i="73"/>
  <c r="CJ39" i="73"/>
  <c r="CI39" i="73"/>
  <c r="CH39" i="73"/>
  <c r="CG39" i="73"/>
  <c r="CF39" i="73"/>
  <c r="CE39" i="73"/>
  <c r="CD39" i="73"/>
  <c r="CC39" i="73"/>
  <c r="CB39" i="73"/>
  <c r="CA39" i="73"/>
  <c r="BZ39" i="73"/>
  <c r="BY39" i="73"/>
  <c r="BX39" i="73"/>
  <c r="BW39" i="73"/>
  <c r="BV39" i="73"/>
  <c r="BU39" i="73"/>
  <c r="BT39" i="73"/>
  <c r="BS39" i="73"/>
  <c r="BR39" i="73"/>
  <c r="BQ39" i="73"/>
  <c r="BP39" i="73"/>
  <c r="BO39" i="73"/>
  <c r="BN39" i="73"/>
  <c r="BM39" i="73"/>
  <c r="BL39" i="73"/>
  <c r="BK39" i="73"/>
  <c r="BJ39" i="73"/>
  <c r="BI39" i="73"/>
  <c r="BH39" i="73"/>
  <c r="BG39" i="73"/>
  <c r="BF39" i="73"/>
  <c r="BE39" i="73"/>
  <c r="BD39" i="73"/>
  <c r="BC39" i="73"/>
  <c r="BB39" i="73"/>
  <c r="BA39" i="73"/>
  <c r="AZ39" i="73"/>
  <c r="AY39" i="73"/>
  <c r="AX39" i="73"/>
  <c r="AW39" i="73"/>
  <c r="AV39" i="73"/>
  <c r="AU39" i="73"/>
  <c r="AT39" i="73"/>
  <c r="AS39" i="73"/>
  <c r="AR39" i="73"/>
  <c r="AQ39" i="73"/>
  <c r="AP39" i="73"/>
  <c r="AO39" i="73"/>
  <c r="AN39" i="73"/>
  <c r="AM39" i="73"/>
  <c r="AL39" i="73"/>
  <c r="AK39" i="73"/>
  <c r="AJ39" i="73"/>
  <c r="AI39" i="73"/>
  <c r="AH39" i="73"/>
  <c r="AG39" i="73"/>
  <c r="AF39" i="73"/>
  <c r="AE39" i="73"/>
  <c r="AD39" i="73"/>
  <c r="AC39" i="73"/>
  <c r="AB39" i="73"/>
  <c r="AA39" i="73"/>
  <c r="Z39" i="73"/>
  <c r="Y39" i="73"/>
  <c r="X39" i="73"/>
  <c r="W39" i="73"/>
  <c r="V39" i="73"/>
  <c r="U39" i="73"/>
  <c r="T39" i="73"/>
  <c r="S39" i="73"/>
  <c r="R39" i="73"/>
  <c r="Q39" i="73"/>
  <c r="P39" i="73"/>
  <c r="O39" i="73"/>
  <c r="N39" i="73"/>
  <c r="M39" i="73"/>
  <c r="L39" i="73"/>
  <c r="K39" i="73"/>
  <c r="J39" i="73"/>
  <c r="I39" i="73"/>
  <c r="H39" i="73"/>
  <c r="G39" i="73"/>
  <c r="FV38" i="73"/>
  <c r="CL38" i="73"/>
  <c r="CK38" i="73"/>
  <c r="CJ38" i="73"/>
  <c r="CI38" i="73"/>
  <c r="CH38" i="73"/>
  <c r="CG38" i="73"/>
  <c r="CF38" i="73"/>
  <c r="CE38" i="73"/>
  <c r="CD38" i="73"/>
  <c r="CC38" i="73"/>
  <c r="CB38" i="73"/>
  <c r="CA38" i="73"/>
  <c r="BZ38" i="73"/>
  <c r="BY38" i="73"/>
  <c r="BX38" i="73"/>
  <c r="BW38" i="73"/>
  <c r="BV38" i="73"/>
  <c r="BU38" i="73"/>
  <c r="BT38" i="73"/>
  <c r="BS38" i="73"/>
  <c r="BR38" i="73"/>
  <c r="BQ38" i="73"/>
  <c r="BP38" i="73"/>
  <c r="BO38" i="73"/>
  <c r="BN38" i="73"/>
  <c r="BM38" i="73"/>
  <c r="BL38" i="73"/>
  <c r="BK38" i="73"/>
  <c r="BJ38" i="73"/>
  <c r="BI38" i="73"/>
  <c r="BH38" i="73"/>
  <c r="BG38" i="73"/>
  <c r="BF38" i="73"/>
  <c r="BE38" i="73"/>
  <c r="BD38" i="73"/>
  <c r="BC38" i="73"/>
  <c r="BB38" i="73"/>
  <c r="BA38" i="73"/>
  <c r="AZ38" i="73"/>
  <c r="AY38" i="73"/>
  <c r="AX38" i="73"/>
  <c r="AW38" i="73"/>
  <c r="AV38" i="73"/>
  <c r="AU38" i="73"/>
  <c r="AT38" i="73"/>
  <c r="AS38" i="73"/>
  <c r="AR38" i="73"/>
  <c r="AQ38" i="73"/>
  <c r="AP38" i="73"/>
  <c r="AO38" i="73"/>
  <c r="AN38" i="73"/>
  <c r="AM38" i="73"/>
  <c r="AL38" i="73"/>
  <c r="AK38" i="73"/>
  <c r="AJ38" i="73"/>
  <c r="AI38" i="73"/>
  <c r="AH38" i="73"/>
  <c r="AG38" i="73"/>
  <c r="AF38" i="73"/>
  <c r="AE38" i="73"/>
  <c r="AD38" i="73"/>
  <c r="AC38" i="73"/>
  <c r="AB38" i="73"/>
  <c r="AA38" i="73"/>
  <c r="Z38" i="73"/>
  <c r="Y38" i="73"/>
  <c r="X38" i="73"/>
  <c r="W38" i="73"/>
  <c r="V38" i="73"/>
  <c r="U38" i="73"/>
  <c r="T38" i="73"/>
  <c r="S38" i="73"/>
  <c r="R38" i="73"/>
  <c r="Q38" i="73"/>
  <c r="P38" i="73"/>
  <c r="O38" i="73"/>
  <c r="N38" i="73"/>
  <c r="M38" i="73"/>
  <c r="L38" i="73"/>
  <c r="K38" i="73"/>
  <c r="J38" i="73"/>
  <c r="I38" i="73"/>
  <c r="H38" i="73"/>
  <c r="G38" i="73"/>
  <c r="FV37" i="73"/>
  <c r="CL37" i="73"/>
  <c r="CK37" i="73"/>
  <c r="CJ37" i="73"/>
  <c r="CI37" i="73"/>
  <c r="CH37" i="73"/>
  <c r="CG37" i="73"/>
  <c r="CF37" i="73"/>
  <c r="CE37" i="73"/>
  <c r="CD37" i="73"/>
  <c r="CC37" i="73"/>
  <c r="CB37" i="73"/>
  <c r="CA37" i="73"/>
  <c r="BZ37" i="73"/>
  <c r="BY37" i="73"/>
  <c r="BX37" i="73"/>
  <c r="BW37" i="73"/>
  <c r="BV37" i="73"/>
  <c r="BU37" i="73"/>
  <c r="BT37" i="73"/>
  <c r="BS37" i="73"/>
  <c r="BR37" i="73"/>
  <c r="BQ37" i="73"/>
  <c r="BP37" i="73"/>
  <c r="BO37" i="73"/>
  <c r="BN37" i="73"/>
  <c r="BM37" i="73"/>
  <c r="BL37" i="73"/>
  <c r="BK37" i="73"/>
  <c r="BJ37" i="73"/>
  <c r="BI37" i="73"/>
  <c r="BH37" i="73"/>
  <c r="BG37" i="73"/>
  <c r="BF37" i="73"/>
  <c r="BE37" i="73"/>
  <c r="BD37" i="73"/>
  <c r="BC37" i="73"/>
  <c r="BB37" i="73"/>
  <c r="BA37" i="73"/>
  <c r="AZ37" i="73"/>
  <c r="AY37" i="73"/>
  <c r="AX37" i="73"/>
  <c r="AW37" i="73"/>
  <c r="AV37" i="73"/>
  <c r="AU37" i="73"/>
  <c r="AT37" i="73"/>
  <c r="AS37" i="73"/>
  <c r="AR37" i="73"/>
  <c r="AQ37" i="73"/>
  <c r="AP37" i="73"/>
  <c r="AO37" i="73"/>
  <c r="AN37" i="73"/>
  <c r="AM37" i="73"/>
  <c r="AL37" i="73"/>
  <c r="AK37" i="73"/>
  <c r="AJ37" i="73"/>
  <c r="AI37" i="73"/>
  <c r="AH37" i="73"/>
  <c r="AG37" i="73"/>
  <c r="AF37" i="73"/>
  <c r="AE37" i="73"/>
  <c r="AD37" i="73"/>
  <c r="AC37" i="73"/>
  <c r="AB37" i="73"/>
  <c r="AA37" i="73"/>
  <c r="Z37" i="73"/>
  <c r="Y37" i="73"/>
  <c r="X37" i="73"/>
  <c r="W37" i="73"/>
  <c r="V37" i="73"/>
  <c r="U37" i="73"/>
  <c r="T37" i="73"/>
  <c r="S37" i="73"/>
  <c r="R37" i="73"/>
  <c r="Q37" i="73"/>
  <c r="P37" i="73"/>
  <c r="O37" i="73"/>
  <c r="N37" i="73"/>
  <c r="M37" i="73"/>
  <c r="L37" i="73"/>
  <c r="K37" i="73"/>
  <c r="J37" i="73"/>
  <c r="I37" i="73"/>
  <c r="H37" i="73"/>
  <c r="G37" i="73"/>
  <c r="FV36" i="73"/>
  <c r="CL36" i="73"/>
  <c r="CK36" i="73"/>
  <c r="CJ36" i="73"/>
  <c r="CI36" i="73"/>
  <c r="CH36" i="73"/>
  <c r="CG36" i="73"/>
  <c r="CF36" i="73"/>
  <c r="CE36" i="73"/>
  <c r="CD36" i="73"/>
  <c r="CC36" i="73"/>
  <c r="CB36" i="73"/>
  <c r="CA36" i="73"/>
  <c r="BZ36" i="73"/>
  <c r="BY36" i="73"/>
  <c r="BX36" i="73"/>
  <c r="BW36" i="73"/>
  <c r="BV36" i="73"/>
  <c r="BU36" i="73"/>
  <c r="BT36" i="73"/>
  <c r="BS36" i="73"/>
  <c r="BR36" i="73"/>
  <c r="BQ36" i="73"/>
  <c r="BP36" i="73"/>
  <c r="BO36" i="73"/>
  <c r="BN36" i="73"/>
  <c r="BM36" i="73"/>
  <c r="BL36" i="73"/>
  <c r="BK36" i="73"/>
  <c r="BJ36" i="73"/>
  <c r="BI36" i="73"/>
  <c r="BH36" i="73"/>
  <c r="BG36" i="73"/>
  <c r="BF36" i="73"/>
  <c r="BE36" i="73"/>
  <c r="BD36" i="73"/>
  <c r="BC36" i="73"/>
  <c r="BB36" i="73"/>
  <c r="BA36" i="73"/>
  <c r="AZ36" i="73"/>
  <c r="AY36" i="73"/>
  <c r="AX36" i="73"/>
  <c r="AW36" i="73"/>
  <c r="AV36" i="73"/>
  <c r="AU36" i="73"/>
  <c r="AT36" i="73"/>
  <c r="AS36" i="73"/>
  <c r="AR36" i="73"/>
  <c r="AQ36" i="73"/>
  <c r="AP36" i="73"/>
  <c r="AO36" i="73"/>
  <c r="AN36" i="73"/>
  <c r="AM36" i="73"/>
  <c r="AL36" i="73"/>
  <c r="AK36" i="73"/>
  <c r="AJ36" i="73"/>
  <c r="AI36" i="73"/>
  <c r="AH36" i="73"/>
  <c r="AG36" i="73"/>
  <c r="AF36" i="73"/>
  <c r="AE36" i="73"/>
  <c r="AD36" i="73"/>
  <c r="AC36" i="73"/>
  <c r="AB36" i="73"/>
  <c r="AA36" i="73"/>
  <c r="Z36" i="73"/>
  <c r="Y36" i="73"/>
  <c r="X36" i="73"/>
  <c r="W36" i="73"/>
  <c r="V36" i="73"/>
  <c r="U36" i="73"/>
  <c r="T36" i="73"/>
  <c r="S36" i="73"/>
  <c r="R36" i="73"/>
  <c r="Q36" i="73"/>
  <c r="P36" i="73"/>
  <c r="O36" i="73"/>
  <c r="N36" i="73"/>
  <c r="M36" i="73"/>
  <c r="L36" i="73"/>
  <c r="K36" i="73"/>
  <c r="J36" i="73"/>
  <c r="I36" i="73"/>
  <c r="H36" i="73"/>
  <c r="G36" i="73"/>
  <c r="FV35" i="73"/>
  <c r="CL35" i="73"/>
  <c r="CK35" i="73"/>
  <c r="CJ35" i="73"/>
  <c r="CI35" i="73"/>
  <c r="CH35" i="73"/>
  <c r="CG35" i="73"/>
  <c r="CF35" i="73"/>
  <c r="CE35" i="73"/>
  <c r="CD35" i="73"/>
  <c r="CC35" i="73"/>
  <c r="CB35" i="73"/>
  <c r="CA35" i="73"/>
  <c r="BZ35" i="73"/>
  <c r="BZ42" i="73" s="1"/>
  <c r="BZ63" i="73" s="1"/>
  <c r="BY35" i="73"/>
  <c r="BX35" i="73"/>
  <c r="BW35" i="73"/>
  <c r="BV35" i="73"/>
  <c r="BU35" i="73"/>
  <c r="BT35" i="73"/>
  <c r="BS35" i="73"/>
  <c r="BR35" i="73"/>
  <c r="BQ35" i="73"/>
  <c r="BP35" i="73"/>
  <c r="BO35" i="73"/>
  <c r="BN35" i="73"/>
  <c r="BM35" i="73"/>
  <c r="BL35" i="73"/>
  <c r="BK35" i="73"/>
  <c r="BJ35" i="73"/>
  <c r="BJ42" i="73" s="1"/>
  <c r="BJ63" i="73" s="1"/>
  <c r="BI35" i="73"/>
  <c r="BH35" i="73"/>
  <c r="BG35" i="73"/>
  <c r="BF35" i="73"/>
  <c r="BE35" i="73"/>
  <c r="BD35" i="73"/>
  <c r="BC35" i="73"/>
  <c r="BB35" i="73"/>
  <c r="BA35" i="73"/>
  <c r="AZ35" i="73"/>
  <c r="AY35" i="73"/>
  <c r="AX35" i="73"/>
  <c r="AW35" i="73"/>
  <c r="AV35" i="73"/>
  <c r="AU35" i="73"/>
  <c r="AT35" i="73"/>
  <c r="AT42" i="73" s="1"/>
  <c r="AT63" i="73" s="1"/>
  <c r="AS35" i="73"/>
  <c r="AR35" i="73"/>
  <c r="AQ35" i="73"/>
  <c r="AP35" i="73"/>
  <c r="AO35" i="73"/>
  <c r="AN35" i="73"/>
  <c r="AM35" i="73"/>
  <c r="AL35" i="73"/>
  <c r="AK35" i="73"/>
  <c r="AJ35" i="73"/>
  <c r="AI35" i="73"/>
  <c r="AH35" i="73"/>
  <c r="AG35" i="73"/>
  <c r="AF35" i="73"/>
  <c r="AE35" i="73"/>
  <c r="AD35" i="73"/>
  <c r="AD42" i="73" s="1"/>
  <c r="AD63" i="73" s="1"/>
  <c r="AC35" i="73"/>
  <c r="AB35" i="73"/>
  <c r="AA35" i="73"/>
  <c r="Z35" i="73"/>
  <c r="Y35" i="73"/>
  <c r="X35" i="73"/>
  <c r="W35" i="73"/>
  <c r="V35" i="73"/>
  <c r="U35" i="73"/>
  <c r="T35" i="73"/>
  <c r="S35" i="73"/>
  <c r="R35" i="73"/>
  <c r="Q35" i="73"/>
  <c r="P35" i="73"/>
  <c r="O35" i="73"/>
  <c r="N35" i="73"/>
  <c r="N42" i="73" s="1"/>
  <c r="N63" i="73" s="1"/>
  <c r="M35" i="73"/>
  <c r="L35" i="73"/>
  <c r="K35" i="73"/>
  <c r="J35" i="73"/>
  <c r="I35" i="73"/>
  <c r="H35" i="73"/>
  <c r="G35" i="73"/>
  <c r="D34" i="73"/>
  <c r="CK34" i="73" s="1"/>
  <c r="CL28" i="73"/>
  <c r="CK28" i="73"/>
  <c r="CJ28" i="73"/>
  <c r="CI28" i="73"/>
  <c r="CH28" i="73"/>
  <c r="CG28" i="73"/>
  <c r="CF28" i="73"/>
  <c r="CE28" i="73"/>
  <c r="CD28" i="73"/>
  <c r="CC28" i="73"/>
  <c r="CB28" i="73"/>
  <c r="CA28" i="73"/>
  <c r="BZ28" i="73"/>
  <c r="BY28" i="73"/>
  <c r="BX28" i="73"/>
  <c r="BW28" i="73"/>
  <c r="BV28" i="73"/>
  <c r="BU28" i="73"/>
  <c r="BT28" i="73"/>
  <c r="BS28" i="73"/>
  <c r="BR28" i="73"/>
  <c r="BQ28" i="73"/>
  <c r="BP28" i="73"/>
  <c r="BO28" i="73"/>
  <c r="BN28" i="73"/>
  <c r="BM28" i="73"/>
  <c r="BL28" i="73"/>
  <c r="BK28" i="73"/>
  <c r="BJ28" i="73"/>
  <c r="BI28" i="73"/>
  <c r="BH28" i="73"/>
  <c r="BG28" i="73"/>
  <c r="BF28" i="73"/>
  <c r="BE28" i="73"/>
  <c r="BD28" i="73"/>
  <c r="BC28" i="73"/>
  <c r="BB28" i="73"/>
  <c r="BA28" i="73"/>
  <c r="AZ28" i="73"/>
  <c r="AY28" i="73"/>
  <c r="AX28" i="73"/>
  <c r="AW28" i="73"/>
  <c r="AV28" i="73"/>
  <c r="AU28" i="73"/>
  <c r="AT28" i="73"/>
  <c r="AS28" i="73"/>
  <c r="AR28" i="73"/>
  <c r="AQ28" i="73"/>
  <c r="AP28" i="73"/>
  <c r="AO28" i="73"/>
  <c r="AN28" i="73"/>
  <c r="AM28" i="73"/>
  <c r="AL28" i="73"/>
  <c r="AK28" i="73"/>
  <c r="AJ28" i="73"/>
  <c r="AI28" i="73"/>
  <c r="AH28" i="73"/>
  <c r="AG28" i="73"/>
  <c r="AF28" i="73"/>
  <c r="AE28" i="73"/>
  <c r="AD28" i="73"/>
  <c r="AC28" i="73"/>
  <c r="AB28" i="73"/>
  <c r="AA28" i="73"/>
  <c r="Z28" i="73"/>
  <c r="Y28" i="73"/>
  <c r="X28" i="73"/>
  <c r="W28" i="73"/>
  <c r="V28" i="73"/>
  <c r="U28" i="73"/>
  <c r="T28" i="73"/>
  <c r="CM24" i="73"/>
  <c r="CL24" i="73"/>
  <c r="CK24" i="73"/>
  <c r="CJ24" i="73"/>
  <c r="CI24" i="73"/>
  <c r="CH24" i="73"/>
  <c r="CG24" i="73"/>
  <c r="CF24" i="73"/>
  <c r="CE24" i="73"/>
  <c r="CD24" i="73"/>
  <c r="CC24" i="73"/>
  <c r="CB24" i="73"/>
  <c r="CA24" i="73"/>
  <c r="BZ24" i="73"/>
  <c r="BY24" i="73"/>
  <c r="BX24" i="73"/>
  <c r="BW24" i="73"/>
  <c r="BV24" i="73"/>
  <c r="BU24" i="73"/>
  <c r="BT24" i="73"/>
  <c r="BS24" i="73"/>
  <c r="BR24" i="73"/>
  <c r="BQ24" i="73"/>
  <c r="BP24" i="73"/>
  <c r="BO24" i="73"/>
  <c r="BN24" i="73"/>
  <c r="BM24" i="73"/>
  <c r="BL24" i="73"/>
  <c r="BK24" i="73"/>
  <c r="BJ24" i="73"/>
  <c r="BI24" i="73"/>
  <c r="BH24" i="73"/>
  <c r="BG24" i="73"/>
  <c r="BF24" i="73"/>
  <c r="BE24" i="73"/>
  <c r="BD24" i="73"/>
  <c r="BC24" i="73"/>
  <c r="BB24" i="73"/>
  <c r="BA24" i="73"/>
  <c r="AZ24" i="73"/>
  <c r="AY24" i="73"/>
  <c r="AX24" i="73"/>
  <c r="AW24" i="73"/>
  <c r="AV24" i="73"/>
  <c r="AU24" i="73"/>
  <c r="AT24" i="73"/>
  <c r="AS24" i="73"/>
  <c r="AR24" i="73"/>
  <c r="AQ24" i="73"/>
  <c r="AP24" i="73"/>
  <c r="AO24" i="73"/>
  <c r="AN24" i="73"/>
  <c r="AM24" i="73"/>
  <c r="AL24" i="73"/>
  <c r="AK24" i="73"/>
  <c r="AJ24" i="73"/>
  <c r="AI24" i="73"/>
  <c r="AH24" i="73"/>
  <c r="AG24" i="73"/>
  <c r="AF24" i="73"/>
  <c r="AE24" i="73"/>
  <c r="AD24" i="73"/>
  <c r="AC24" i="73"/>
  <c r="AB24" i="73"/>
  <c r="AA24" i="73"/>
  <c r="Z24" i="73"/>
  <c r="Y24" i="73"/>
  <c r="X24" i="73"/>
  <c r="W24" i="73"/>
  <c r="V24" i="73"/>
  <c r="U24" i="73"/>
  <c r="T24" i="73"/>
  <c r="S24" i="73"/>
  <c r="R24" i="73"/>
  <c r="Q24" i="73"/>
  <c r="P24" i="73"/>
  <c r="O24" i="73"/>
  <c r="N24" i="73"/>
  <c r="M24" i="73"/>
  <c r="L24" i="73"/>
  <c r="K24" i="73"/>
  <c r="J24" i="73"/>
  <c r="I24" i="73"/>
  <c r="H24" i="73"/>
  <c r="G24" i="73"/>
  <c r="CM23" i="73"/>
  <c r="CL23" i="73"/>
  <c r="CK23" i="73"/>
  <c r="CJ23" i="73"/>
  <c r="CI23" i="73"/>
  <c r="CH23" i="73"/>
  <c r="CG23" i="73"/>
  <c r="CF23" i="73"/>
  <c r="CE23" i="73"/>
  <c r="CD23" i="73"/>
  <c r="CC23" i="73"/>
  <c r="CB23" i="73"/>
  <c r="CA23" i="73"/>
  <c r="BZ23" i="73"/>
  <c r="BY23" i="73"/>
  <c r="BX23" i="73"/>
  <c r="BW23" i="73"/>
  <c r="BV23" i="73"/>
  <c r="BU23" i="73"/>
  <c r="BT23" i="73"/>
  <c r="BS23" i="73"/>
  <c r="BR23" i="73"/>
  <c r="BQ23" i="73"/>
  <c r="BP23" i="73"/>
  <c r="BO23" i="73"/>
  <c r="BN23" i="73"/>
  <c r="BM23" i="73"/>
  <c r="BL23" i="73"/>
  <c r="BK23" i="73"/>
  <c r="BJ23" i="73"/>
  <c r="BI23" i="73"/>
  <c r="BH23" i="73"/>
  <c r="BG23" i="73"/>
  <c r="BF23" i="73"/>
  <c r="BE23" i="73"/>
  <c r="BD23" i="73"/>
  <c r="BC23" i="73"/>
  <c r="BB23" i="73"/>
  <c r="BA23" i="73"/>
  <c r="AZ23" i="73"/>
  <c r="AY23" i="73"/>
  <c r="AX23" i="73"/>
  <c r="AW23" i="73"/>
  <c r="AV23" i="73"/>
  <c r="AU23" i="73"/>
  <c r="AT23" i="73"/>
  <c r="AS23" i="73"/>
  <c r="AR23" i="73"/>
  <c r="AQ23" i="73"/>
  <c r="AP23" i="73"/>
  <c r="AO23" i="73"/>
  <c r="AN23" i="73"/>
  <c r="AM23" i="73"/>
  <c r="AL23" i="73"/>
  <c r="AK23" i="73"/>
  <c r="AJ23" i="73"/>
  <c r="AI23" i="73"/>
  <c r="AH23" i="73"/>
  <c r="AG23" i="73"/>
  <c r="AF23" i="73"/>
  <c r="AE23" i="73"/>
  <c r="AD23" i="73"/>
  <c r="AC23" i="73"/>
  <c r="AB23" i="73"/>
  <c r="AA23" i="73"/>
  <c r="Z23" i="73"/>
  <c r="Y23" i="73"/>
  <c r="X23" i="73"/>
  <c r="W23" i="73"/>
  <c r="V23" i="73"/>
  <c r="U23" i="73"/>
  <c r="T23" i="73"/>
  <c r="S23" i="73"/>
  <c r="R23" i="73"/>
  <c r="Q23" i="73"/>
  <c r="P23" i="73"/>
  <c r="O23" i="73"/>
  <c r="N23" i="73"/>
  <c r="M23" i="73"/>
  <c r="L23" i="73"/>
  <c r="K23" i="73"/>
  <c r="J23" i="73"/>
  <c r="I23" i="73"/>
  <c r="H23" i="73"/>
  <c r="G23" i="73"/>
  <c r="F23" i="73"/>
  <c r="CM22" i="73"/>
  <c r="CL22" i="73"/>
  <c r="CK22" i="73"/>
  <c r="CJ22" i="73"/>
  <c r="CI22" i="73"/>
  <c r="CH22" i="73"/>
  <c r="CG22" i="73"/>
  <c r="CF22" i="73"/>
  <c r="CE22" i="73"/>
  <c r="CD22" i="73"/>
  <c r="CC22" i="73"/>
  <c r="CB22" i="73"/>
  <c r="CA22" i="73"/>
  <c r="BZ22" i="73"/>
  <c r="BY22" i="73"/>
  <c r="BX22" i="73"/>
  <c r="BW22" i="73"/>
  <c r="BV22" i="73"/>
  <c r="BU22" i="73"/>
  <c r="BT22" i="73"/>
  <c r="BS22" i="73"/>
  <c r="BR22" i="73"/>
  <c r="BQ22" i="73"/>
  <c r="BP22" i="73"/>
  <c r="BO22" i="73"/>
  <c r="BN22" i="73"/>
  <c r="BM22" i="73"/>
  <c r="BL22" i="73"/>
  <c r="BK22" i="73"/>
  <c r="BJ22" i="73"/>
  <c r="BI22" i="73"/>
  <c r="BH22" i="73"/>
  <c r="BG22" i="73"/>
  <c r="BF22" i="73"/>
  <c r="BE22" i="73"/>
  <c r="BD22" i="73"/>
  <c r="BC22" i="73"/>
  <c r="BB22" i="73"/>
  <c r="BA22" i="73"/>
  <c r="AZ22" i="73"/>
  <c r="AY22" i="73"/>
  <c r="AX22" i="73"/>
  <c r="AW22" i="73"/>
  <c r="AV22" i="73"/>
  <c r="AU22" i="73"/>
  <c r="AT22" i="73"/>
  <c r="AS22" i="73"/>
  <c r="AR22" i="73"/>
  <c r="AQ22" i="73"/>
  <c r="AP22" i="73"/>
  <c r="AO22" i="73"/>
  <c r="AN22" i="73"/>
  <c r="AM22" i="73"/>
  <c r="AL22" i="73"/>
  <c r="AK22" i="73"/>
  <c r="AJ22" i="73"/>
  <c r="AI22" i="73"/>
  <c r="AH22" i="73"/>
  <c r="AG22" i="73"/>
  <c r="AF22" i="73"/>
  <c r="AE22" i="73"/>
  <c r="AD22" i="73"/>
  <c r="AC22" i="73"/>
  <c r="AB22" i="73"/>
  <c r="AA22" i="73"/>
  <c r="Z22" i="73"/>
  <c r="Y22" i="73"/>
  <c r="X22" i="73"/>
  <c r="W22" i="73"/>
  <c r="V22" i="73"/>
  <c r="U22" i="73"/>
  <c r="T22" i="73"/>
  <c r="S22" i="73"/>
  <c r="R22" i="73"/>
  <c r="Q22" i="73"/>
  <c r="P22" i="73"/>
  <c r="O22" i="73"/>
  <c r="N22" i="73"/>
  <c r="M22" i="73"/>
  <c r="L22" i="73"/>
  <c r="K22" i="73"/>
  <c r="J22" i="73"/>
  <c r="I22" i="73"/>
  <c r="H22" i="73"/>
  <c r="G22" i="73"/>
  <c r="G55" i="73" s="1"/>
  <c r="F22" i="73"/>
  <c r="F21" i="73"/>
  <c r="CM20" i="73"/>
  <c r="CL20" i="73"/>
  <c r="CK20" i="73"/>
  <c r="CK55" i="73" s="1"/>
  <c r="CJ20" i="73"/>
  <c r="CI20" i="73"/>
  <c r="CH20" i="73"/>
  <c r="CG20" i="73"/>
  <c r="CG55" i="73" s="1"/>
  <c r="CF20" i="73"/>
  <c r="CE20" i="73"/>
  <c r="CD20" i="73"/>
  <c r="CC20" i="73"/>
  <c r="CC55" i="73" s="1"/>
  <c r="CB20" i="73"/>
  <c r="CA20" i="73"/>
  <c r="BZ20" i="73"/>
  <c r="BY20" i="73"/>
  <c r="BY55" i="73" s="1"/>
  <c r="BX20" i="73"/>
  <c r="BW20" i="73"/>
  <c r="BW55" i="73" s="1"/>
  <c r="BV20" i="73"/>
  <c r="BU20" i="73"/>
  <c r="BU55" i="73" s="1"/>
  <c r="BT20" i="73"/>
  <c r="BS20" i="73"/>
  <c r="BR20" i="73"/>
  <c r="BQ20" i="73"/>
  <c r="BQ55" i="73" s="1"/>
  <c r="BP20" i="73"/>
  <c r="BO20" i="73"/>
  <c r="BN20" i="73"/>
  <c r="BM20" i="73"/>
  <c r="BM55" i="73" s="1"/>
  <c r="BL20" i="73"/>
  <c r="BK20" i="73"/>
  <c r="BJ20" i="73"/>
  <c r="BI20" i="73"/>
  <c r="BI55" i="73" s="1"/>
  <c r="BH20" i="73"/>
  <c r="BG20" i="73"/>
  <c r="BF20" i="73"/>
  <c r="BE20" i="73"/>
  <c r="BE55" i="73" s="1"/>
  <c r="BD20" i="73"/>
  <c r="BC20" i="73"/>
  <c r="BB20" i="73"/>
  <c r="BA20" i="73"/>
  <c r="BA55" i="73" s="1"/>
  <c r="AZ20" i="73"/>
  <c r="AY20" i="73"/>
  <c r="AY55" i="73" s="1"/>
  <c r="AX20" i="73"/>
  <c r="AW20" i="73"/>
  <c r="AW55" i="73" s="1"/>
  <c r="AV20" i="73"/>
  <c r="AU20" i="73"/>
  <c r="AT20" i="73"/>
  <c r="AS20" i="73"/>
  <c r="AS55" i="73" s="1"/>
  <c r="AR20" i="73"/>
  <c r="AQ20" i="73"/>
  <c r="AP20" i="73"/>
  <c r="AO20" i="73"/>
  <c r="AO55" i="73" s="1"/>
  <c r="AN20" i="73"/>
  <c r="AM20" i="73"/>
  <c r="AL20" i="73"/>
  <c r="AK20" i="73"/>
  <c r="AK55" i="73" s="1"/>
  <c r="AJ20" i="73"/>
  <c r="AI20" i="73"/>
  <c r="AH20" i="73"/>
  <c r="AG20" i="73"/>
  <c r="AG55" i="73" s="1"/>
  <c r="AF20" i="73"/>
  <c r="AE20" i="73"/>
  <c r="AD20" i="73"/>
  <c r="AC20" i="73"/>
  <c r="AC55" i="73" s="1"/>
  <c r="AB20" i="73"/>
  <c r="AA20" i="73"/>
  <c r="Z20" i="73"/>
  <c r="Y20" i="73"/>
  <c r="Y55" i="73" s="1"/>
  <c r="X20" i="73"/>
  <c r="W20" i="73"/>
  <c r="W55" i="73" s="1"/>
  <c r="V20" i="73"/>
  <c r="U20" i="73"/>
  <c r="U55" i="73" s="1"/>
  <c r="T20" i="73"/>
  <c r="S20" i="73"/>
  <c r="R20" i="73"/>
  <c r="Q20" i="73"/>
  <c r="Q55" i="73" s="1"/>
  <c r="P20" i="73"/>
  <c r="O20" i="73"/>
  <c r="N20" i="73"/>
  <c r="M20" i="73"/>
  <c r="M55" i="73" s="1"/>
  <c r="L20" i="73"/>
  <c r="K20" i="73"/>
  <c r="J20" i="73"/>
  <c r="I20" i="73"/>
  <c r="I55" i="73" s="1"/>
  <c r="H20" i="73"/>
  <c r="F20" i="73"/>
  <c r="F19" i="73"/>
  <c r="CM16" i="73"/>
  <c r="CM27" i="73" s="1"/>
  <c r="CJ33" i="73"/>
  <c r="CI50" i="73"/>
  <c r="CF50" i="73"/>
  <c r="CE50" i="73"/>
  <c r="CC33" i="73"/>
  <c r="CB50" i="73"/>
  <c r="CA50" i="73"/>
  <c r="BY33" i="73"/>
  <c r="BX50" i="73"/>
  <c r="BW50" i="73"/>
  <c r="BT50" i="73"/>
  <c r="BS50" i="73"/>
  <c r="BP50" i="73"/>
  <c r="BO27" i="73"/>
  <c r="BM27" i="73"/>
  <c r="BL50" i="73"/>
  <c r="BK50" i="73"/>
  <c r="BI27" i="73"/>
  <c r="BH50" i="73"/>
  <c r="BG50" i="73"/>
  <c r="BD33" i="73"/>
  <c r="BC50" i="73"/>
  <c r="AZ50" i="73"/>
  <c r="AY50" i="73"/>
  <c r="AW33" i="73"/>
  <c r="AV50" i="73"/>
  <c r="AU50" i="73"/>
  <c r="AS33" i="73"/>
  <c r="AR50" i="73"/>
  <c r="AQ50" i="73"/>
  <c r="AN50" i="73"/>
  <c r="AM50" i="73"/>
  <c r="AJ50" i="73"/>
  <c r="AI50" i="73"/>
  <c r="AG27" i="73"/>
  <c r="AF50" i="73"/>
  <c r="AE50" i="73"/>
  <c r="AC27" i="73"/>
  <c r="AB33" i="73"/>
  <c r="AA50" i="73"/>
  <c r="X33" i="73"/>
  <c r="W50" i="73"/>
  <c r="T50" i="73"/>
  <c r="S50" i="73"/>
  <c r="Q33" i="73"/>
  <c r="P50" i="73"/>
  <c r="O50" i="73"/>
  <c r="M33" i="73"/>
  <c r="L50" i="73"/>
  <c r="K50" i="73"/>
  <c r="H50" i="73"/>
  <c r="G50" i="73"/>
  <c r="CM15" i="73"/>
  <c r="CK49" i="73"/>
  <c r="CJ49" i="73"/>
  <c r="CH32" i="73"/>
  <c r="CG49" i="73"/>
  <c r="CF32" i="73"/>
  <c r="CD26" i="73"/>
  <c r="CC49" i="73"/>
  <c r="CB49" i="73"/>
  <c r="BZ32" i="73"/>
  <c r="BY32" i="73"/>
  <c r="BX49" i="73"/>
  <c r="BU49" i="73"/>
  <c r="BT49" i="73"/>
  <c r="BR32" i="73"/>
  <c r="BQ49" i="73"/>
  <c r="BP49" i="73"/>
  <c r="BN26" i="73"/>
  <c r="BM32" i="73"/>
  <c r="BL49" i="73"/>
  <c r="BJ32" i="73"/>
  <c r="BI49" i="73"/>
  <c r="BH49" i="73"/>
  <c r="BE49" i="73"/>
  <c r="BD49" i="73"/>
  <c r="BB26" i="73"/>
  <c r="BA49" i="73"/>
  <c r="AZ49" i="73"/>
  <c r="AX32" i="73"/>
  <c r="AW32" i="73"/>
  <c r="AV49" i="73"/>
  <c r="AS49" i="73"/>
  <c r="AR49" i="73"/>
  <c r="AO32" i="73"/>
  <c r="AN49" i="73"/>
  <c r="AL26" i="73"/>
  <c r="AK49" i="73"/>
  <c r="AJ26" i="73"/>
  <c r="AH32" i="73"/>
  <c r="AG49" i="73"/>
  <c r="AF49" i="73"/>
  <c r="AC49" i="73"/>
  <c r="AB32" i="73"/>
  <c r="Y49" i="73"/>
  <c r="X49" i="73"/>
  <c r="V32" i="73"/>
  <c r="U49" i="73"/>
  <c r="T26" i="73"/>
  <c r="R26" i="73"/>
  <c r="Q49" i="73"/>
  <c r="P49" i="73"/>
  <c r="N32" i="73"/>
  <c r="M32" i="73"/>
  <c r="L49" i="73"/>
  <c r="I49" i="73"/>
  <c r="H49" i="73"/>
  <c r="CM14" i="73"/>
  <c r="CM31" i="73" s="1"/>
  <c r="CL48" i="73"/>
  <c r="CK48" i="73"/>
  <c r="CI25" i="73"/>
  <c r="CH48" i="73"/>
  <c r="CG48" i="73"/>
  <c r="CE31" i="73"/>
  <c r="CD48" i="73"/>
  <c r="CC48" i="73"/>
  <c r="BZ31" i="73"/>
  <c r="BY31" i="73"/>
  <c r="BW25" i="73"/>
  <c r="BV48" i="73"/>
  <c r="BU48" i="73"/>
  <c r="BS31" i="73"/>
  <c r="BR31" i="73"/>
  <c r="BQ48" i="73"/>
  <c r="BN48" i="73"/>
  <c r="BM31" i="73"/>
  <c r="BJ31" i="73"/>
  <c r="BI48" i="73"/>
  <c r="BG25" i="73"/>
  <c r="BF48" i="73"/>
  <c r="BE48" i="73"/>
  <c r="BC31" i="73"/>
  <c r="BB48" i="73"/>
  <c r="BA48" i="73"/>
  <c r="AX48" i="73"/>
  <c r="AW48" i="73"/>
  <c r="AT48" i="73"/>
  <c r="AS48" i="73"/>
  <c r="AQ31" i="73"/>
  <c r="AP48" i="73"/>
  <c r="AO48" i="73"/>
  <c r="AM25" i="73"/>
  <c r="AL48" i="73"/>
  <c r="AK48" i="73"/>
  <c r="AI31" i="73"/>
  <c r="AH31" i="73"/>
  <c r="AG48" i="73"/>
  <c r="AD48" i="73"/>
  <c r="AC48" i="73"/>
  <c r="AA31" i="73"/>
  <c r="Z48" i="73"/>
  <c r="Y48" i="73"/>
  <c r="W25" i="73"/>
  <c r="V31" i="73"/>
  <c r="U48" i="73"/>
  <c r="S31" i="73"/>
  <c r="R48" i="73"/>
  <c r="Q48" i="73"/>
  <c r="N48" i="73"/>
  <c r="M48" i="73"/>
  <c r="K25" i="73"/>
  <c r="J48" i="73"/>
  <c r="I48" i="73"/>
  <c r="G31" i="73"/>
  <c r="CM13" i="73"/>
  <c r="CM30" i="73" s="1"/>
  <c r="CL47" i="73"/>
  <c r="CI47" i="73"/>
  <c r="CH47" i="73"/>
  <c r="CE30" i="73"/>
  <c r="CD47" i="73"/>
  <c r="CA47" i="73"/>
  <c r="BZ47" i="73"/>
  <c r="BX30" i="73"/>
  <c r="BW47" i="73"/>
  <c r="BV47" i="73"/>
  <c r="BS47" i="73"/>
  <c r="BR30" i="73"/>
  <c r="BO47" i="73"/>
  <c r="BN47" i="73"/>
  <c r="BL30" i="73"/>
  <c r="BK47" i="73"/>
  <c r="BJ47" i="73"/>
  <c r="BG47" i="73"/>
  <c r="BF47" i="73"/>
  <c r="BE47" i="73"/>
  <c r="BD30" i="73"/>
  <c r="BC47" i="73"/>
  <c r="BB47" i="73"/>
  <c r="BA47" i="73"/>
  <c r="AY47" i="73"/>
  <c r="AX47" i="73"/>
  <c r="AW47" i="73"/>
  <c r="AV30" i="73"/>
  <c r="AU47" i="73"/>
  <c r="AT47" i="73"/>
  <c r="AS47" i="73"/>
  <c r="AQ47" i="73"/>
  <c r="AP47" i="73"/>
  <c r="AO47" i="73"/>
  <c r="AN30" i="73"/>
  <c r="AM47" i="73"/>
  <c r="AL47" i="73"/>
  <c r="AK47" i="73"/>
  <c r="AI47" i="73"/>
  <c r="AH30" i="73"/>
  <c r="AG47" i="73"/>
  <c r="AE47" i="73"/>
  <c r="AD47" i="73"/>
  <c r="AC47" i="73"/>
  <c r="AB30" i="73"/>
  <c r="AA30" i="73"/>
  <c r="Z47" i="73"/>
  <c r="Y47" i="73"/>
  <c r="W47" i="73"/>
  <c r="V30" i="73"/>
  <c r="U47" i="73"/>
  <c r="S30" i="73"/>
  <c r="R47" i="73"/>
  <c r="Q47" i="73"/>
  <c r="O47" i="73"/>
  <c r="N47" i="73"/>
  <c r="M47" i="73"/>
  <c r="L30" i="73"/>
  <c r="K47" i="73"/>
  <c r="J47" i="73"/>
  <c r="I47" i="73"/>
  <c r="G47" i="73"/>
  <c r="CM12" i="73"/>
  <c r="CM11" i="73"/>
  <c r="CM10" i="73"/>
  <c r="CM9" i="73"/>
  <c r="CM8" i="73"/>
  <c r="CM7" i="73"/>
  <c r="CM6" i="73"/>
  <c r="CM5" i="73"/>
  <c r="CM4" i="73"/>
  <c r="CM3" i="73"/>
  <c r="H15" i="72"/>
  <c r="H32" i="72" s="1"/>
  <c r="I15" i="72"/>
  <c r="J15" i="72"/>
  <c r="K15" i="72"/>
  <c r="L15" i="72"/>
  <c r="M15" i="72"/>
  <c r="N15" i="72"/>
  <c r="O15" i="72"/>
  <c r="P15" i="72"/>
  <c r="Q15" i="72"/>
  <c r="R15" i="72"/>
  <c r="S15" i="72"/>
  <c r="T15" i="72"/>
  <c r="T32" i="72" s="1"/>
  <c r="U15" i="72"/>
  <c r="V15" i="72"/>
  <c r="V26" i="72" s="1"/>
  <c r="W15" i="72"/>
  <c r="X15" i="72"/>
  <c r="Y15" i="72"/>
  <c r="Z15" i="72"/>
  <c r="AA15" i="72"/>
  <c r="AB15" i="72"/>
  <c r="AC15" i="72"/>
  <c r="AD15" i="72"/>
  <c r="AE15" i="72"/>
  <c r="AF15" i="72"/>
  <c r="AG15" i="72"/>
  <c r="AH15" i="72"/>
  <c r="AI15" i="72"/>
  <c r="AJ15" i="72"/>
  <c r="AK15" i="72"/>
  <c r="AL15" i="72"/>
  <c r="AL26" i="72" s="1"/>
  <c r="AM15" i="72"/>
  <c r="AN15" i="72"/>
  <c r="AN32" i="72" s="1"/>
  <c r="AO15" i="72"/>
  <c r="AP15" i="72"/>
  <c r="AQ15" i="72"/>
  <c r="AR15" i="72"/>
  <c r="AR32" i="72" s="1"/>
  <c r="AS15" i="72"/>
  <c r="AT15" i="72"/>
  <c r="AU15" i="72"/>
  <c r="AV15" i="72"/>
  <c r="AW15" i="72"/>
  <c r="AX15" i="72"/>
  <c r="AY15" i="72"/>
  <c r="AZ15" i="72"/>
  <c r="AZ32" i="72" s="1"/>
  <c r="BA15" i="72"/>
  <c r="BB15" i="72"/>
  <c r="BC15" i="72"/>
  <c r="BD15" i="72"/>
  <c r="BD32" i="72" s="1"/>
  <c r="BE15" i="72"/>
  <c r="BF15" i="72"/>
  <c r="BG15" i="72"/>
  <c r="BH15" i="72"/>
  <c r="BI15" i="72"/>
  <c r="BJ15" i="72"/>
  <c r="BK15" i="72"/>
  <c r="BL15" i="72"/>
  <c r="BM15" i="72"/>
  <c r="BN15" i="72"/>
  <c r="BO15" i="72"/>
  <c r="BP15" i="72"/>
  <c r="BQ15" i="72"/>
  <c r="BR15" i="72"/>
  <c r="BR26" i="72" s="1"/>
  <c r="BS15" i="72"/>
  <c r="BT15" i="72"/>
  <c r="BT32" i="72" s="1"/>
  <c r="BU15" i="72"/>
  <c r="BV15" i="72"/>
  <c r="BW15" i="72"/>
  <c r="BX15" i="72"/>
  <c r="BY15" i="72"/>
  <c r="BZ15" i="72"/>
  <c r="CA15" i="72"/>
  <c r="CB15" i="72"/>
  <c r="CC15" i="72"/>
  <c r="CD15" i="72"/>
  <c r="CE15" i="72"/>
  <c r="CF15" i="72"/>
  <c r="CG15" i="72"/>
  <c r="CH15" i="72"/>
  <c r="CH26" i="72" s="1"/>
  <c r="CI15" i="72"/>
  <c r="CJ15" i="72"/>
  <c r="CJ32" i="72" s="1"/>
  <c r="CK15" i="72"/>
  <c r="CL15" i="72"/>
  <c r="CM15" i="72"/>
  <c r="G15" i="72"/>
  <c r="H14" i="72"/>
  <c r="I14" i="72"/>
  <c r="I48" i="72" s="1"/>
  <c r="J14" i="72"/>
  <c r="K14" i="72"/>
  <c r="K25" i="72" s="1"/>
  <c r="L14" i="72"/>
  <c r="L25" i="72" s="1"/>
  <c r="M14" i="72"/>
  <c r="N14" i="72"/>
  <c r="O14" i="72"/>
  <c r="O25" i="72" s="1"/>
  <c r="P14" i="72"/>
  <c r="Q14" i="72"/>
  <c r="Q48" i="72" s="1"/>
  <c r="R14" i="72"/>
  <c r="S14" i="72"/>
  <c r="T14" i="72"/>
  <c r="T25" i="72" s="1"/>
  <c r="U14" i="72"/>
  <c r="V14" i="72"/>
  <c r="W14" i="72"/>
  <c r="X14" i="72"/>
  <c r="Y14" i="72"/>
  <c r="Y48" i="72" s="1"/>
  <c r="Z14" i="72"/>
  <c r="AA14" i="72"/>
  <c r="AA25" i="72" s="1"/>
  <c r="AB14" i="72"/>
  <c r="AB25" i="72" s="1"/>
  <c r="AC14" i="72"/>
  <c r="AD14" i="72"/>
  <c r="AE14" i="72"/>
  <c r="AE25" i="72" s="1"/>
  <c r="AF14" i="72"/>
  <c r="AG14" i="72"/>
  <c r="AH14" i="72"/>
  <c r="AI14" i="72"/>
  <c r="AJ14" i="72"/>
  <c r="AJ25" i="72" s="1"/>
  <c r="AK14" i="72"/>
  <c r="AL14" i="72"/>
  <c r="AM14" i="72"/>
  <c r="AN14" i="72"/>
  <c r="AO14" i="72"/>
  <c r="AO48" i="72" s="1"/>
  <c r="AP14" i="72"/>
  <c r="AQ14" i="72"/>
  <c r="AQ25" i="72" s="1"/>
  <c r="AR14" i="72"/>
  <c r="AS14" i="72"/>
  <c r="AT14" i="72"/>
  <c r="AU14" i="72"/>
  <c r="AV14" i="72"/>
  <c r="AW14" i="72"/>
  <c r="AW48" i="72" s="1"/>
  <c r="AX14" i="72"/>
  <c r="AY14" i="72"/>
  <c r="AY25" i="72" s="1"/>
  <c r="AZ14" i="72"/>
  <c r="BA14" i="72"/>
  <c r="BB14" i="72"/>
  <c r="BC14" i="72"/>
  <c r="BD14" i="72"/>
  <c r="BE14" i="72"/>
  <c r="BE48" i="72" s="1"/>
  <c r="BF14" i="72"/>
  <c r="BG14" i="72"/>
  <c r="BG25" i="72" s="1"/>
  <c r="BH14" i="72"/>
  <c r="BI14" i="72"/>
  <c r="BJ14" i="72"/>
  <c r="BK14" i="72"/>
  <c r="BL14" i="72"/>
  <c r="BM14" i="72"/>
  <c r="BN14" i="72"/>
  <c r="BO14" i="72"/>
  <c r="BP14" i="72"/>
  <c r="BQ14" i="72"/>
  <c r="BR14" i="72"/>
  <c r="BS14" i="72"/>
  <c r="BS25" i="72" s="1"/>
  <c r="BT14" i="72"/>
  <c r="BU14" i="72"/>
  <c r="BV14" i="72"/>
  <c r="BW14" i="72"/>
  <c r="BW25" i="72" s="1"/>
  <c r="BX14" i="72"/>
  <c r="BY14" i="72"/>
  <c r="BZ14" i="72"/>
  <c r="CA14" i="72"/>
  <c r="CB14" i="72"/>
  <c r="CC14" i="72"/>
  <c r="CD14" i="72"/>
  <c r="CE14" i="72"/>
  <c r="CF14" i="72"/>
  <c r="CG14" i="72"/>
  <c r="CH14" i="72"/>
  <c r="CI14" i="72"/>
  <c r="CI25" i="72" s="1"/>
  <c r="CJ14" i="72"/>
  <c r="CK14" i="72"/>
  <c r="CL14" i="72"/>
  <c r="CM14" i="72"/>
  <c r="CM31" i="72" s="1"/>
  <c r="G14" i="72"/>
  <c r="H12" i="72"/>
  <c r="I12" i="72"/>
  <c r="J12" i="72"/>
  <c r="K12" i="72"/>
  <c r="K46" i="72" s="1"/>
  <c r="L12" i="72"/>
  <c r="M12" i="72"/>
  <c r="N12" i="72"/>
  <c r="O12" i="72"/>
  <c r="P12" i="72"/>
  <c r="Q12" i="72"/>
  <c r="R12" i="72"/>
  <c r="S12" i="72"/>
  <c r="S46" i="72" s="1"/>
  <c r="T12" i="72"/>
  <c r="U12" i="72"/>
  <c r="V12" i="72"/>
  <c r="W12" i="72"/>
  <c r="W46" i="72" s="1"/>
  <c r="X12" i="72"/>
  <c r="Y12" i="72"/>
  <c r="Z12" i="72"/>
  <c r="AA12" i="72"/>
  <c r="AA46" i="72" s="1"/>
  <c r="AB12" i="72"/>
  <c r="AC12" i="72"/>
  <c r="AD12" i="72"/>
  <c r="AE12" i="72"/>
  <c r="AE46" i="72" s="1"/>
  <c r="AF12" i="72"/>
  <c r="AG12" i="72"/>
  <c r="AH12" i="72"/>
  <c r="AI12" i="72"/>
  <c r="AI46" i="72" s="1"/>
  <c r="AJ12" i="72"/>
  <c r="AJ29" i="72" s="1"/>
  <c r="AK12" i="72"/>
  <c r="AL12" i="72"/>
  <c r="AM12" i="72"/>
  <c r="AM46" i="72" s="1"/>
  <c r="AN12" i="72"/>
  <c r="AO12" i="72"/>
  <c r="AP12" i="72"/>
  <c r="AQ12" i="72"/>
  <c r="AQ46" i="72" s="1"/>
  <c r="AR12" i="72"/>
  <c r="AS12" i="72"/>
  <c r="AT12" i="72"/>
  <c r="AU12" i="72"/>
  <c r="AU46" i="72" s="1"/>
  <c r="AV12" i="72"/>
  <c r="AW12" i="72"/>
  <c r="AX12" i="72"/>
  <c r="AY12" i="72"/>
  <c r="AZ12" i="72"/>
  <c r="BA12" i="72"/>
  <c r="BB12" i="72"/>
  <c r="BC12" i="72"/>
  <c r="BC46" i="72" s="1"/>
  <c r="BD12" i="72"/>
  <c r="BE12" i="72"/>
  <c r="BF12" i="72"/>
  <c r="BG12" i="72"/>
  <c r="BG46" i="72" s="1"/>
  <c r="BH12" i="72"/>
  <c r="BI12" i="72"/>
  <c r="BJ12" i="72"/>
  <c r="BK12" i="72"/>
  <c r="BK46" i="72" s="1"/>
  <c r="BL12" i="72"/>
  <c r="BM12" i="72"/>
  <c r="BN12" i="72"/>
  <c r="BO12" i="72"/>
  <c r="BP12" i="72"/>
  <c r="BQ12" i="72"/>
  <c r="BR12" i="72"/>
  <c r="BS12" i="72"/>
  <c r="BS46" i="72" s="1"/>
  <c r="BT12" i="72"/>
  <c r="BU12" i="72"/>
  <c r="BV12" i="72"/>
  <c r="BW12" i="72"/>
  <c r="BW46" i="72" s="1"/>
  <c r="BX12" i="72"/>
  <c r="BY12" i="72"/>
  <c r="BZ12" i="72"/>
  <c r="CA12" i="72"/>
  <c r="CA46" i="72" s="1"/>
  <c r="CB12" i="72"/>
  <c r="CC12" i="72"/>
  <c r="CD12" i="72"/>
  <c r="CE12" i="72"/>
  <c r="CF12" i="72"/>
  <c r="CG12" i="72"/>
  <c r="CH12" i="72"/>
  <c r="CI12" i="72"/>
  <c r="CI46" i="72" s="1"/>
  <c r="CJ12" i="72"/>
  <c r="CK12" i="72"/>
  <c r="CL12" i="72"/>
  <c r="CM12" i="72"/>
  <c r="G12" i="72"/>
  <c r="G46" i="72" s="1"/>
  <c r="G80" i="72"/>
  <c r="G79" i="72"/>
  <c r="G77" i="72"/>
  <c r="CL57" i="72"/>
  <c r="CK57" i="72"/>
  <c r="CJ57" i="72"/>
  <c r="CI57" i="72"/>
  <c r="CH57" i="72"/>
  <c r="CG57" i="72"/>
  <c r="CF57" i="72"/>
  <c r="CE57" i="72"/>
  <c r="CD57" i="72"/>
  <c r="CC57" i="72"/>
  <c r="CB57" i="72"/>
  <c r="CA57" i="72"/>
  <c r="BZ57" i="72"/>
  <c r="BY57" i="72"/>
  <c r="BX57" i="72"/>
  <c r="BW57" i="72"/>
  <c r="BV57" i="72"/>
  <c r="BU57" i="72"/>
  <c r="BT57" i="72"/>
  <c r="BS57" i="72"/>
  <c r="BR57" i="72"/>
  <c r="BQ57" i="72"/>
  <c r="BP57" i="72"/>
  <c r="BO57" i="72"/>
  <c r="BN57" i="72"/>
  <c r="BM57" i="72"/>
  <c r="BL57" i="72"/>
  <c r="BK57" i="72"/>
  <c r="BJ57" i="72"/>
  <c r="BI57" i="72"/>
  <c r="BH57" i="72"/>
  <c r="BG57" i="72"/>
  <c r="BF57" i="72"/>
  <c r="BE57" i="72"/>
  <c r="BD57" i="72"/>
  <c r="BC57" i="72"/>
  <c r="BB57" i="72"/>
  <c r="BA57" i="72"/>
  <c r="AZ57" i="72"/>
  <c r="AY57" i="72"/>
  <c r="AX57" i="72"/>
  <c r="AW57" i="72"/>
  <c r="AV57" i="72"/>
  <c r="AU57" i="72"/>
  <c r="AT57" i="72"/>
  <c r="AS57" i="72"/>
  <c r="AR57" i="72"/>
  <c r="AQ57" i="72"/>
  <c r="AP57" i="72"/>
  <c r="AO57" i="72"/>
  <c r="AN57" i="72"/>
  <c r="AM57" i="72"/>
  <c r="AL57" i="72"/>
  <c r="AK57" i="72"/>
  <c r="AJ57" i="72"/>
  <c r="AI57" i="72"/>
  <c r="AH57" i="72"/>
  <c r="AG57" i="72"/>
  <c r="AF57" i="72"/>
  <c r="AE57" i="72"/>
  <c r="AD57" i="72"/>
  <c r="AC57" i="72"/>
  <c r="AB57" i="72"/>
  <c r="AA57" i="72"/>
  <c r="Z57" i="72"/>
  <c r="Y57" i="72"/>
  <c r="X57" i="72"/>
  <c r="W57" i="72"/>
  <c r="V57" i="72"/>
  <c r="U57" i="72"/>
  <c r="T57" i="72"/>
  <c r="S57" i="72"/>
  <c r="CM56" i="72"/>
  <c r="FU41" i="72"/>
  <c r="FT41" i="72"/>
  <c r="FS41" i="72"/>
  <c r="FR41" i="72"/>
  <c r="FQ41" i="72"/>
  <c r="FP41" i="72"/>
  <c r="FO41" i="72"/>
  <c r="FN41" i="72"/>
  <c r="FM41" i="72"/>
  <c r="FL41" i="72"/>
  <c r="FK41" i="72"/>
  <c r="FJ41" i="72"/>
  <c r="FI41" i="72"/>
  <c r="FH41" i="72"/>
  <c r="FG41" i="72"/>
  <c r="FF41" i="72"/>
  <c r="FE41" i="72"/>
  <c r="FD41" i="72"/>
  <c r="FC41" i="72"/>
  <c r="FB41" i="72"/>
  <c r="FA41" i="72"/>
  <c r="EZ41" i="72"/>
  <c r="EY41" i="72"/>
  <c r="EX41" i="72"/>
  <c r="EW41" i="72"/>
  <c r="EV41" i="72"/>
  <c r="EU41" i="72"/>
  <c r="ET41" i="72"/>
  <c r="ES41" i="72"/>
  <c r="ER41" i="72"/>
  <c r="EQ41" i="72"/>
  <c r="EP41" i="72"/>
  <c r="EO41" i="72"/>
  <c r="EN41" i="72"/>
  <c r="EM41" i="72"/>
  <c r="EL41" i="72"/>
  <c r="EK41" i="72"/>
  <c r="EJ41" i="72"/>
  <c r="EI41" i="72"/>
  <c r="EH41" i="72"/>
  <c r="EG41" i="72"/>
  <c r="EF41" i="72"/>
  <c r="EE41" i="72"/>
  <c r="ED41" i="72"/>
  <c r="EC41" i="72"/>
  <c r="EB41" i="72"/>
  <c r="EA41" i="72"/>
  <c r="DZ41" i="72"/>
  <c r="DY41" i="72"/>
  <c r="DX41" i="72"/>
  <c r="DW41" i="72"/>
  <c r="DV41" i="72"/>
  <c r="DU41" i="72"/>
  <c r="DT41" i="72"/>
  <c r="DS41" i="72"/>
  <c r="DR41" i="72"/>
  <c r="DQ41" i="72"/>
  <c r="DP41" i="72"/>
  <c r="DO41" i="72"/>
  <c r="DN41" i="72"/>
  <c r="DM41" i="72"/>
  <c r="DL41" i="72"/>
  <c r="DK41" i="72"/>
  <c r="DJ41" i="72"/>
  <c r="DI41" i="72"/>
  <c r="DH41" i="72"/>
  <c r="DG41" i="72"/>
  <c r="DF41" i="72"/>
  <c r="DE41" i="72"/>
  <c r="DD41" i="72"/>
  <c r="DC41" i="72"/>
  <c r="DB41" i="72"/>
  <c r="DA41" i="72"/>
  <c r="CZ41" i="72"/>
  <c r="CY41" i="72"/>
  <c r="CX41" i="72"/>
  <c r="CW41" i="72"/>
  <c r="CV41" i="72"/>
  <c r="CU41" i="72"/>
  <c r="CT41" i="72"/>
  <c r="CS41" i="72"/>
  <c r="CR41" i="72"/>
  <c r="CQ41" i="72"/>
  <c r="CP41" i="72"/>
  <c r="CO41" i="72"/>
  <c r="FV40" i="72"/>
  <c r="FV39" i="72"/>
  <c r="FV38" i="72"/>
  <c r="FV37" i="72"/>
  <c r="FV36" i="72"/>
  <c r="FV35" i="72"/>
  <c r="FV34" i="72"/>
  <c r="D33" i="72"/>
  <c r="CD26" i="72"/>
  <c r="BN26" i="72"/>
  <c r="AX26" i="72"/>
  <c r="AH26" i="72"/>
  <c r="R26" i="72"/>
  <c r="F22" i="72"/>
  <c r="F21" i="72"/>
  <c r="F19" i="72"/>
  <c r="F18" i="72"/>
  <c r="BB26" i="72"/>
  <c r="CC31" i="72"/>
  <c r="BI48" i="72"/>
  <c r="BA48" i="72"/>
  <c r="AS48" i="72"/>
  <c r="AK48" i="72"/>
  <c r="AG48" i="72"/>
  <c r="AF25" i="72"/>
  <c r="AC48" i="72"/>
  <c r="U48" i="72"/>
  <c r="P25" i="72"/>
  <c r="M48" i="72"/>
  <c r="CE46" i="72"/>
  <c r="BO46" i="72"/>
  <c r="AY46" i="72"/>
  <c r="O46" i="72"/>
  <c r="CM11" i="72"/>
  <c r="CM10" i="72"/>
  <c r="CM9" i="72"/>
  <c r="CM8" i="72"/>
  <c r="CM7" i="72"/>
  <c r="D4" i="19" s="1"/>
  <c r="E10" i="80" s="1" a="1"/>
  <c r="E10" i="80" s="1"/>
  <c r="CM6" i="72"/>
  <c r="CM5" i="72"/>
  <c r="CM4" i="72"/>
  <c r="CM3" i="72"/>
  <c r="CM2" i="72"/>
  <c r="G42" i="73" l="1"/>
  <c r="W42" i="73"/>
  <c r="W63" i="73" s="1"/>
  <c r="AM42" i="73"/>
  <c r="AM63" i="73" s="1"/>
  <c r="BC42" i="73"/>
  <c r="BC63" i="73" s="1"/>
  <c r="BS42" i="73"/>
  <c r="BS63" i="73" s="1"/>
  <c r="CI42" i="73"/>
  <c r="CI63" i="73" s="1"/>
  <c r="AD66" i="73"/>
  <c r="V34" i="73"/>
  <c r="W34" i="73"/>
  <c r="CM58" i="73"/>
  <c r="AO34" i="73"/>
  <c r="AP34" i="73"/>
  <c r="R42" i="73"/>
  <c r="R63" i="73" s="1"/>
  <c r="AH42" i="73"/>
  <c r="AH63" i="73" s="1"/>
  <c r="AX42" i="73"/>
  <c r="AX63" i="73" s="1"/>
  <c r="BN42" i="73"/>
  <c r="BN63" i="73" s="1"/>
  <c r="CD42" i="73"/>
  <c r="CD63" i="73" s="1"/>
  <c r="S42" i="73"/>
  <c r="S63" i="73" s="1"/>
  <c r="AI42" i="73"/>
  <c r="AI63" i="73" s="1"/>
  <c r="AY42" i="73"/>
  <c r="AY63" i="73" s="1"/>
  <c r="BO42" i="73"/>
  <c r="BO63" i="73" s="1"/>
  <c r="CE42" i="73"/>
  <c r="CE63" i="73" s="1"/>
  <c r="CG34" i="73"/>
  <c r="BJ34" i="73"/>
  <c r="BL34" i="73"/>
  <c r="CF34" i="73"/>
  <c r="P19" i="84"/>
  <c r="I19" i="84"/>
  <c r="J19" i="84"/>
  <c r="W19" i="84"/>
  <c r="Q19" i="84"/>
  <c r="O19" i="84"/>
  <c r="Y19" i="84"/>
  <c r="Z19" i="84"/>
  <c r="R19" i="84"/>
  <c r="N19" i="84"/>
  <c r="M19" i="84"/>
  <c r="L19" i="84"/>
  <c r="S19" i="84"/>
  <c r="K19" i="84"/>
  <c r="X19" i="84"/>
  <c r="U19" i="84"/>
  <c r="T19" i="84"/>
  <c r="V19" i="84"/>
  <c r="H19" i="84"/>
  <c r="D83" i="75"/>
  <c r="E31" i="80" s="1"/>
  <c r="D47" i="75"/>
  <c r="C9" i="78"/>
  <c r="D9" i="78" s="1"/>
  <c r="E9" i="78" s="1"/>
  <c r="F9" i="78" s="1"/>
  <c r="G9" i="78" s="1"/>
  <c r="F5" i="78"/>
  <c r="D5" i="78"/>
  <c r="FV41" i="72"/>
  <c r="CM57" i="72"/>
  <c r="CB55" i="73"/>
  <c r="AD34" i="73"/>
  <c r="AZ34" i="73"/>
  <c r="BU34" i="73"/>
  <c r="CM35" i="73"/>
  <c r="K42" i="73"/>
  <c r="K63" i="73" s="1"/>
  <c r="O42" i="73"/>
  <c r="O63" i="73" s="1"/>
  <c r="AA42" i="73"/>
  <c r="AA63" i="73" s="1"/>
  <c r="AA66" i="73" s="1"/>
  <c r="AE42" i="73"/>
  <c r="AE63" i="73" s="1"/>
  <c r="AQ42" i="73"/>
  <c r="AQ63" i="73" s="1"/>
  <c r="AU42" i="73"/>
  <c r="AU63" i="73" s="1"/>
  <c r="AU66" i="73" s="1"/>
  <c r="BG42" i="73"/>
  <c r="BG63" i="73" s="1"/>
  <c r="BG66" i="73" s="1"/>
  <c r="BK42" i="73"/>
  <c r="BK63" i="73" s="1"/>
  <c r="BW42" i="73"/>
  <c r="BW63" i="73" s="1"/>
  <c r="CA42" i="73"/>
  <c r="CA63" i="73" s="1"/>
  <c r="Y42" i="73"/>
  <c r="Y63" i="73" s="1"/>
  <c r="Y66" i="73" s="1"/>
  <c r="BE42" i="73"/>
  <c r="BE63" i="73" s="1"/>
  <c r="CK42" i="73"/>
  <c r="CK63" i="73" s="1"/>
  <c r="CK66" i="73" s="1"/>
  <c r="CM67" i="73"/>
  <c r="AF34" i="73"/>
  <c r="BA34" i="73"/>
  <c r="BV34" i="73"/>
  <c r="H42" i="73"/>
  <c r="H63" i="73" s="1"/>
  <c r="H66" i="73" s="1"/>
  <c r="L42" i="73"/>
  <c r="L63" i="73" s="1"/>
  <c r="L66" i="73" s="1"/>
  <c r="P42" i="73"/>
  <c r="P63" i="73" s="1"/>
  <c r="T42" i="73"/>
  <c r="T63" i="73" s="1"/>
  <c r="T66" i="73" s="1"/>
  <c r="X42" i="73"/>
  <c r="X63" i="73" s="1"/>
  <c r="X66" i="73" s="1"/>
  <c r="AB42" i="73"/>
  <c r="AB63" i="73" s="1"/>
  <c r="AF42" i="73"/>
  <c r="AF63" i="73" s="1"/>
  <c r="AJ42" i="73"/>
  <c r="AJ63" i="73" s="1"/>
  <c r="AN42" i="73"/>
  <c r="AN63" i="73" s="1"/>
  <c r="AN66" i="73" s="1"/>
  <c r="AR42" i="73"/>
  <c r="AR63" i="73" s="1"/>
  <c r="AV42" i="73"/>
  <c r="AV63" i="73" s="1"/>
  <c r="AV66" i="73" s="1"/>
  <c r="AZ42" i="73"/>
  <c r="AZ63" i="73" s="1"/>
  <c r="BD42" i="73"/>
  <c r="BD63" i="73" s="1"/>
  <c r="BD66" i="73" s="1"/>
  <c r="BH42" i="73"/>
  <c r="BH63" i="73" s="1"/>
  <c r="BL42" i="73"/>
  <c r="BL63" i="73" s="1"/>
  <c r="BP42" i="73"/>
  <c r="BP63" i="73" s="1"/>
  <c r="BT42" i="73"/>
  <c r="BT63" i="73" s="1"/>
  <c r="BT66" i="73" s="1"/>
  <c r="BX42" i="73"/>
  <c r="BX63" i="73" s="1"/>
  <c r="CB42" i="73"/>
  <c r="CB63" i="73" s="1"/>
  <c r="CF42" i="73"/>
  <c r="CF63" i="73" s="1"/>
  <c r="CF66" i="73" s="1"/>
  <c r="CJ42" i="73"/>
  <c r="CJ63" i="73" s="1"/>
  <c r="CJ66" i="73" s="1"/>
  <c r="CM36" i="73"/>
  <c r="CM40" i="73"/>
  <c r="R55" i="73"/>
  <c r="AL55" i="73"/>
  <c r="AT55" i="73"/>
  <c r="BN55" i="73"/>
  <c r="CM28" i="73"/>
  <c r="I42" i="73"/>
  <c r="I63" i="73" s="1"/>
  <c r="AC42" i="73"/>
  <c r="AC63" i="73" s="1"/>
  <c r="AO42" i="73"/>
  <c r="AO63" i="73" s="1"/>
  <c r="BI42" i="73"/>
  <c r="BI63" i="73" s="1"/>
  <c r="BU42" i="73"/>
  <c r="BU63" i="73" s="1"/>
  <c r="BU66" i="73" s="1"/>
  <c r="J42" i="73"/>
  <c r="J63" i="73" s="1"/>
  <c r="V42" i="73"/>
  <c r="V63" i="73" s="1"/>
  <c r="Z42" i="73"/>
  <c r="Z63" i="73" s="1"/>
  <c r="AL42" i="73"/>
  <c r="AL63" i="73" s="1"/>
  <c r="AL66" i="73" s="1"/>
  <c r="AP42" i="73"/>
  <c r="AP63" i="73" s="1"/>
  <c r="BB42" i="73"/>
  <c r="BB63" i="73" s="1"/>
  <c r="BF42" i="73"/>
  <c r="BF63" i="73" s="1"/>
  <c r="BF66" i="73" s="1"/>
  <c r="BR42" i="73"/>
  <c r="BR63" i="73" s="1"/>
  <c r="BV42" i="73"/>
  <c r="BV63" i="73" s="1"/>
  <c r="CH42" i="73"/>
  <c r="CH63" i="73" s="1"/>
  <c r="CH66" i="73" s="1"/>
  <c r="CL42" i="73"/>
  <c r="CL63" i="73" s="1"/>
  <c r="M42" i="73"/>
  <c r="M63" i="73" s="1"/>
  <c r="M66" i="73" s="1"/>
  <c r="AS42" i="73"/>
  <c r="AS63" i="73" s="1"/>
  <c r="BY42" i="73"/>
  <c r="BY63" i="73" s="1"/>
  <c r="CM41" i="73"/>
  <c r="FV42" i="73"/>
  <c r="BS25" i="73"/>
  <c r="CM25" i="73"/>
  <c r="AW27" i="73"/>
  <c r="M30" i="73"/>
  <c r="BL47" i="73"/>
  <c r="G25" i="73"/>
  <c r="AX26" i="73"/>
  <c r="AO30" i="73"/>
  <c r="AH49" i="73"/>
  <c r="AA25" i="73"/>
  <c r="BR26" i="73"/>
  <c r="BE30" i="73"/>
  <c r="AW50" i="73"/>
  <c r="AG26" i="73"/>
  <c r="L27" i="73"/>
  <c r="AM30" i="73"/>
  <c r="AH48" i="73"/>
  <c r="AL25" i="73"/>
  <c r="BC25" i="73"/>
  <c r="Q26" i="73"/>
  <c r="AH26" i="73"/>
  <c r="CC26" i="73"/>
  <c r="M27" i="73"/>
  <c r="BH27" i="73"/>
  <c r="BY27" i="73"/>
  <c r="W30" i="73"/>
  <c r="BX47" i="73"/>
  <c r="AI48" i="73"/>
  <c r="AW49" i="73"/>
  <c r="AW51" i="73" s="1"/>
  <c r="AW53" i="73" s="1"/>
  <c r="BZ49" i="73"/>
  <c r="CJ50" i="73"/>
  <c r="V25" i="73"/>
  <c r="CH25" i="73"/>
  <c r="BM26" i="73"/>
  <c r="Q27" i="73"/>
  <c r="AR27" i="73"/>
  <c r="CC27" i="73"/>
  <c r="G30" i="73"/>
  <c r="Y30" i="73"/>
  <c r="AS30" i="73"/>
  <c r="S47" i="73"/>
  <c r="G48" i="73"/>
  <c r="BJ48" i="73"/>
  <c r="AX49" i="73"/>
  <c r="X50" i="73"/>
  <c r="BB25" i="73"/>
  <c r="BX27" i="73"/>
  <c r="BY49" i="73"/>
  <c r="H55" i="73"/>
  <c r="AF55" i="73"/>
  <c r="BH55" i="73"/>
  <c r="CJ55" i="73"/>
  <c r="AQ25" i="73"/>
  <c r="BR25" i="73"/>
  <c r="V26" i="73"/>
  <c r="AW26" i="73"/>
  <c r="CH26" i="73"/>
  <c r="AB27" i="73"/>
  <c r="AS27" i="73"/>
  <c r="I30" i="73"/>
  <c r="AC30" i="73"/>
  <c r="BC30" i="73"/>
  <c r="AV47" i="73"/>
  <c r="S48" i="73"/>
  <c r="V49" i="73"/>
  <c r="BJ49" i="73"/>
  <c r="AS50" i="73"/>
  <c r="G63" i="73"/>
  <c r="G66" i="73" s="1"/>
  <c r="N66" i="73"/>
  <c r="AP66" i="73"/>
  <c r="BR66" i="73"/>
  <c r="Q25" i="73"/>
  <c r="AW25" i="73"/>
  <c r="BM25" i="73"/>
  <c r="AB26" i="73"/>
  <c r="BH26" i="73"/>
  <c r="BX26" i="73"/>
  <c r="W27" i="73"/>
  <c r="BC27" i="73"/>
  <c r="CI27" i="73"/>
  <c r="R30" i="73"/>
  <c r="AX30" i="73"/>
  <c r="BJ30" i="73"/>
  <c r="BZ30" i="73"/>
  <c r="I31" i="73"/>
  <c r="Y31" i="73"/>
  <c r="AO31" i="73"/>
  <c r="BE31" i="73"/>
  <c r="BU31" i="73"/>
  <c r="CK31" i="73"/>
  <c r="T32" i="73"/>
  <c r="AJ32" i="73"/>
  <c r="AZ32" i="73"/>
  <c r="BP32" i="73"/>
  <c r="G33" i="73"/>
  <c r="W33" i="73"/>
  <c r="AM33" i="73"/>
  <c r="BC33" i="73"/>
  <c r="BS33" i="73"/>
  <c r="CI33" i="73"/>
  <c r="CM38" i="73"/>
  <c r="AY66" i="73"/>
  <c r="BK66" i="73"/>
  <c r="CA66" i="73"/>
  <c r="CM64" i="73"/>
  <c r="AH47" i="73"/>
  <c r="BY48" i="73"/>
  <c r="T49" i="73"/>
  <c r="BO50" i="73"/>
  <c r="BE66" i="73"/>
  <c r="N55" i="73"/>
  <c r="V55" i="73"/>
  <c r="AD55" i="73"/>
  <c r="AP55" i="73"/>
  <c r="AX55" i="73"/>
  <c r="BF55" i="73"/>
  <c r="BR55" i="73"/>
  <c r="BZ55" i="73"/>
  <c r="CH55" i="73"/>
  <c r="CL55" i="73"/>
  <c r="M25" i="73"/>
  <c r="AH25" i="73"/>
  <c r="AS25" i="73"/>
  <c r="BN25" i="73"/>
  <c r="BY25" i="73"/>
  <c r="M26" i="73"/>
  <c r="X26" i="73"/>
  <c r="AS26" i="73"/>
  <c r="BD26" i="73"/>
  <c r="BY26" i="73"/>
  <c r="CJ26" i="73"/>
  <c r="X27" i="73"/>
  <c r="AI27" i="73"/>
  <c r="CJ27" i="73"/>
  <c r="N30" i="73"/>
  <c r="AT30" i="73"/>
  <c r="AY30" i="73"/>
  <c r="BK30" i="73"/>
  <c r="CA30" i="73"/>
  <c r="J31" i="73"/>
  <c r="Z31" i="73"/>
  <c r="AP31" i="73"/>
  <c r="BF31" i="73"/>
  <c r="BV31" i="73"/>
  <c r="CL31" i="73"/>
  <c r="U32" i="73"/>
  <c r="AK32" i="73"/>
  <c r="BA32" i="73"/>
  <c r="BQ32" i="73"/>
  <c r="CG32" i="73"/>
  <c r="P33" i="73"/>
  <c r="AF33" i="73"/>
  <c r="AV33" i="73"/>
  <c r="BL33" i="73"/>
  <c r="CB33" i="73"/>
  <c r="AJ66" i="73"/>
  <c r="V47" i="73"/>
  <c r="BM48" i="73"/>
  <c r="AJ49" i="73"/>
  <c r="H47" i="73"/>
  <c r="H30" i="73"/>
  <c r="P47" i="73"/>
  <c r="P30" i="73"/>
  <c r="T47" i="73"/>
  <c r="T30" i="73"/>
  <c r="X47" i="73"/>
  <c r="X30" i="73"/>
  <c r="AF47" i="73"/>
  <c r="AF30" i="73"/>
  <c r="AJ47" i="73"/>
  <c r="AJ30" i="73"/>
  <c r="AR47" i="73"/>
  <c r="AR30" i="73"/>
  <c r="AZ47" i="73"/>
  <c r="AZ30" i="73"/>
  <c r="BH47" i="73"/>
  <c r="BH30" i="73"/>
  <c r="BP47" i="73"/>
  <c r="BP30" i="73"/>
  <c r="BT47" i="73"/>
  <c r="BT30" i="73"/>
  <c r="CB47" i="73"/>
  <c r="CB30" i="73"/>
  <c r="CF47" i="73"/>
  <c r="CF30" i="73"/>
  <c r="CJ47" i="73"/>
  <c r="CJ30" i="73"/>
  <c r="K48" i="73"/>
  <c r="K31" i="73"/>
  <c r="O48" i="73"/>
  <c r="O31" i="73"/>
  <c r="W48" i="73"/>
  <c r="W31" i="73"/>
  <c r="AE48" i="73"/>
  <c r="AE31" i="73"/>
  <c r="AM48" i="73"/>
  <c r="AM31" i="73"/>
  <c r="AU48" i="73"/>
  <c r="AU31" i="73"/>
  <c r="AY48" i="73"/>
  <c r="AY31" i="73"/>
  <c r="BG48" i="73"/>
  <c r="BG31" i="73"/>
  <c r="BK48" i="73"/>
  <c r="BK31" i="73"/>
  <c r="BO48" i="73"/>
  <c r="BO31" i="73"/>
  <c r="BW48" i="73"/>
  <c r="BW31" i="73"/>
  <c r="CA48" i="73"/>
  <c r="CA31" i="73"/>
  <c r="CI48" i="73"/>
  <c r="CI31" i="73"/>
  <c r="J49" i="73"/>
  <c r="J32" i="73"/>
  <c r="R49" i="73"/>
  <c r="R32" i="73"/>
  <c r="Z49" i="73"/>
  <c r="Z32" i="73"/>
  <c r="AD49" i="73"/>
  <c r="AD32" i="73"/>
  <c r="AL49" i="73"/>
  <c r="AL32" i="73"/>
  <c r="AP49" i="73"/>
  <c r="AP32" i="73"/>
  <c r="AT49" i="73"/>
  <c r="AT32" i="73"/>
  <c r="BB49" i="73"/>
  <c r="BB32" i="73"/>
  <c r="BF49" i="73"/>
  <c r="BF32" i="73"/>
  <c r="BN49" i="73"/>
  <c r="BN32" i="73"/>
  <c r="BV49" i="73"/>
  <c r="BV32" i="73"/>
  <c r="CD49" i="73"/>
  <c r="CD32" i="73"/>
  <c r="CL49" i="73"/>
  <c r="CL32" i="73"/>
  <c r="I50" i="73"/>
  <c r="I52" i="73" s="1"/>
  <c r="I54" i="73" s="1"/>
  <c r="I33" i="73"/>
  <c r="U50" i="73"/>
  <c r="U33" i="73"/>
  <c r="Y50" i="73"/>
  <c r="Y52" i="73" s="1"/>
  <c r="Y54" i="73" s="1"/>
  <c r="Y33" i="73"/>
  <c r="AC50" i="73"/>
  <c r="AC33" i="73"/>
  <c r="AG50" i="73"/>
  <c r="AG51" i="73" s="1"/>
  <c r="AG53" i="73" s="1"/>
  <c r="AG33" i="73"/>
  <c r="AK50" i="73"/>
  <c r="AK51" i="73" s="1"/>
  <c r="AK53" i="73" s="1"/>
  <c r="AK33" i="73"/>
  <c r="AO50" i="73"/>
  <c r="AO33" i="73"/>
  <c r="BA50" i="73"/>
  <c r="BA51" i="73" s="1"/>
  <c r="BA53" i="73" s="1"/>
  <c r="BA33" i="73"/>
  <c r="BE50" i="73"/>
  <c r="BE52" i="73" s="1"/>
  <c r="BE54" i="73" s="1"/>
  <c r="BE33" i="73"/>
  <c r="BI50" i="73"/>
  <c r="BI33" i="73"/>
  <c r="BM50" i="73"/>
  <c r="BM33" i="73"/>
  <c r="BQ50" i="73"/>
  <c r="BQ33" i="73"/>
  <c r="BU50" i="73"/>
  <c r="BU33" i="73"/>
  <c r="CG50" i="73"/>
  <c r="CG33" i="73"/>
  <c r="CK50" i="73"/>
  <c r="CK33" i="73"/>
  <c r="K55" i="73"/>
  <c r="O55" i="73"/>
  <c r="S55" i="73"/>
  <c r="AA55" i="73"/>
  <c r="AE55" i="73"/>
  <c r="AI55" i="73"/>
  <c r="AM55" i="73"/>
  <c r="AQ55" i="73"/>
  <c r="AU55" i="73"/>
  <c r="BC55" i="73"/>
  <c r="BG55" i="73"/>
  <c r="BK55" i="73"/>
  <c r="BO55" i="73"/>
  <c r="BS55" i="73"/>
  <c r="CA55" i="73"/>
  <c r="CE55" i="73"/>
  <c r="CI55" i="73"/>
  <c r="BM56" i="73"/>
  <c r="I25" i="73"/>
  <c r="N25" i="73"/>
  <c r="S25" i="73"/>
  <c r="Y25" i="73"/>
  <c r="AD25" i="73"/>
  <c r="AI25" i="73"/>
  <c r="AO25" i="73"/>
  <c r="AT25" i="73"/>
  <c r="AY25" i="73"/>
  <c r="BE25" i="73"/>
  <c r="BJ25" i="73"/>
  <c r="BO25" i="73"/>
  <c r="BU25" i="73"/>
  <c r="BZ25" i="73"/>
  <c r="CE25" i="73"/>
  <c r="CK25" i="73"/>
  <c r="I26" i="73"/>
  <c r="N26" i="73"/>
  <c r="Y26" i="73"/>
  <c r="AD26" i="73"/>
  <c r="AO26" i="73"/>
  <c r="AT26" i="73"/>
  <c r="AZ26" i="73"/>
  <c r="BE26" i="73"/>
  <c r="BJ26" i="73"/>
  <c r="BP26" i="73"/>
  <c r="BU26" i="73"/>
  <c r="BZ26" i="73"/>
  <c r="CF26" i="73"/>
  <c r="CK26" i="73"/>
  <c r="I27" i="73"/>
  <c r="O27" i="73"/>
  <c r="T27" i="73"/>
  <c r="Y27" i="73"/>
  <c r="AE27" i="73"/>
  <c r="AJ27" i="73"/>
  <c r="AO27" i="73"/>
  <c r="AU27" i="73"/>
  <c r="AZ27" i="73"/>
  <c r="BE27" i="73"/>
  <c r="BK27" i="73"/>
  <c r="BP27" i="73"/>
  <c r="BU27" i="73"/>
  <c r="CA27" i="73"/>
  <c r="CF27" i="73"/>
  <c r="CK27" i="73"/>
  <c r="J30" i="73"/>
  <c r="O30" i="73"/>
  <c r="U30" i="73"/>
  <c r="Z30" i="73"/>
  <c r="AE30" i="73"/>
  <c r="AK30" i="73"/>
  <c r="AP30" i="73"/>
  <c r="AU30" i="73"/>
  <c r="BA30" i="73"/>
  <c r="BF30" i="73"/>
  <c r="BN30" i="73"/>
  <c r="BV30" i="73"/>
  <c r="CD30" i="73"/>
  <c r="CL30" i="73"/>
  <c r="M31" i="73"/>
  <c r="M29" i="73" s="1"/>
  <c r="U31" i="73"/>
  <c r="AC31" i="73"/>
  <c r="AK31" i="73"/>
  <c r="AS31" i="73"/>
  <c r="BA31" i="73"/>
  <c r="BI31" i="73"/>
  <c r="BQ31" i="73"/>
  <c r="CG31" i="73"/>
  <c r="H32" i="73"/>
  <c r="P32" i="73"/>
  <c r="X32" i="73"/>
  <c r="AF32" i="73"/>
  <c r="AN32" i="73"/>
  <c r="AV32" i="73"/>
  <c r="BD32" i="73"/>
  <c r="BL32" i="73"/>
  <c r="BT32" i="73"/>
  <c r="CB32" i="73"/>
  <c r="CJ32" i="73"/>
  <c r="K33" i="73"/>
  <c r="S33" i="73"/>
  <c r="AA33" i="73"/>
  <c r="AI33" i="73"/>
  <c r="AQ33" i="73"/>
  <c r="AY33" i="73"/>
  <c r="BG33" i="73"/>
  <c r="BO33" i="73"/>
  <c r="BW33" i="73"/>
  <c r="CE33" i="73"/>
  <c r="CM33" i="73"/>
  <c r="Z34" i="73"/>
  <c r="AJ34" i="73"/>
  <c r="AT34" i="73"/>
  <c r="BE34" i="73"/>
  <c r="BP34" i="73"/>
  <c r="BZ34" i="73"/>
  <c r="Q42" i="73"/>
  <c r="Q63" i="73" s="1"/>
  <c r="Q66" i="73" s="1"/>
  <c r="U42" i="73"/>
  <c r="U63" i="73" s="1"/>
  <c r="AG42" i="73"/>
  <c r="AG63" i="73" s="1"/>
  <c r="AG66" i="73" s="1"/>
  <c r="AK42" i="73"/>
  <c r="AK63" i="73" s="1"/>
  <c r="AK66" i="73" s="1"/>
  <c r="AK68" i="73" s="1"/>
  <c r="AW42" i="73"/>
  <c r="AW63" i="73" s="1"/>
  <c r="AW66" i="73" s="1"/>
  <c r="AW68" i="73" s="1"/>
  <c r="BA42" i="73"/>
  <c r="BA63" i="73" s="1"/>
  <c r="BM42" i="73"/>
  <c r="BM63" i="73" s="1"/>
  <c r="BM66" i="73" s="1"/>
  <c r="BQ42" i="73"/>
  <c r="BQ63" i="73" s="1"/>
  <c r="BQ66" i="73" s="1"/>
  <c r="CC42" i="73"/>
  <c r="CC63" i="73" s="1"/>
  <c r="CC66" i="73" s="1"/>
  <c r="CG42" i="73"/>
  <c r="CG63" i="73" s="1"/>
  <c r="CM39" i="73"/>
  <c r="I66" i="73"/>
  <c r="I68" i="73" s="1"/>
  <c r="AO66" i="73"/>
  <c r="L47" i="73"/>
  <c r="AA47" i="73"/>
  <c r="AN47" i="73"/>
  <c r="BR47" i="73"/>
  <c r="CE47" i="73"/>
  <c r="AA48" i="73"/>
  <c r="BC48" i="73"/>
  <c r="BR48" i="73"/>
  <c r="CE48" i="73"/>
  <c r="M49" i="73"/>
  <c r="AB49" i="73"/>
  <c r="AO49" i="73"/>
  <c r="BR49" i="73"/>
  <c r="CF49" i="73"/>
  <c r="M50" i="73"/>
  <c r="BD50" i="73"/>
  <c r="BY50" i="73"/>
  <c r="AG25" i="73"/>
  <c r="AG56" i="73" s="1"/>
  <c r="CC25" i="73"/>
  <c r="L26" i="73"/>
  <c r="AR26" i="73"/>
  <c r="G27" i="73"/>
  <c r="AM27" i="73"/>
  <c r="BS27" i="73"/>
  <c r="CH30" i="73"/>
  <c r="Q31" i="73"/>
  <c r="AG31" i="73"/>
  <c r="AW31" i="73"/>
  <c r="CC31" i="73"/>
  <c r="L32" i="73"/>
  <c r="AR32" i="73"/>
  <c r="BH32" i="73"/>
  <c r="BX32" i="73"/>
  <c r="O33" i="73"/>
  <c r="AE33" i="73"/>
  <c r="AU33" i="73"/>
  <c r="BK33" i="73"/>
  <c r="CA33" i="73"/>
  <c r="AI66" i="73"/>
  <c r="CM62" i="73"/>
  <c r="CM46" i="73"/>
  <c r="J55" i="73"/>
  <c r="Z55" i="73"/>
  <c r="AH55" i="73"/>
  <c r="BB55" i="73"/>
  <c r="BJ55" i="73"/>
  <c r="BV55" i="73"/>
  <c r="CD55" i="73"/>
  <c r="R25" i="73"/>
  <c r="AC25" i="73"/>
  <c r="AX25" i="73"/>
  <c r="BI25" i="73"/>
  <c r="CD25" i="73"/>
  <c r="H26" i="73"/>
  <c r="AC26" i="73"/>
  <c r="AN26" i="73"/>
  <c r="BI26" i="73"/>
  <c r="BT26" i="73"/>
  <c r="H27" i="73"/>
  <c r="S27" i="73"/>
  <c r="AN27" i="73"/>
  <c r="AY27" i="73"/>
  <c r="BD27" i="73"/>
  <c r="BT27" i="73"/>
  <c r="CE27" i="73"/>
  <c r="AD30" i="73"/>
  <c r="AI30" i="73"/>
  <c r="BS30" i="73"/>
  <c r="CI30" i="73"/>
  <c r="R31" i="73"/>
  <c r="AX31" i="73"/>
  <c r="BN31" i="73"/>
  <c r="CD31" i="73"/>
  <c r="AC32" i="73"/>
  <c r="AS32" i="73"/>
  <c r="BI32" i="73"/>
  <c r="H33" i="73"/>
  <c r="AN33" i="73"/>
  <c r="BT33" i="73"/>
  <c r="BL66" i="73"/>
  <c r="V48" i="73"/>
  <c r="BZ48" i="73"/>
  <c r="BM49" i="73"/>
  <c r="AB50" i="73"/>
  <c r="I51" i="73"/>
  <c r="I53" i="73" s="1"/>
  <c r="AG52" i="73"/>
  <c r="AG54" i="73" s="1"/>
  <c r="BI47" i="73"/>
  <c r="BI30" i="73"/>
  <c r="BM47" i="73"/>
  <c r="BM30" i="73"/>
  <c r="BQ47" i="73"/>
  <c r="BQ30" i="73"/>
  <c r="BU47" i="73"/>
  <c r="BU30" i="73"/>
  <c r="BY47" i="73"/>
  <c r="BY30" i="73"/>
  <c r="BY29" i="73" s="1"/>
  <c r="CC47" i="73"/>
  <c r="CC30" i="73"/>
  <c r="CG47" i="73"/>
  <c r="CG30" i="73"/>
  <c r="CK47" i="73"/>
  <c r="CK30" i="73"/>
  <c r="H48" i="73"/>
  <c r="H31" i="73"/>
  <c r="H25" i="73"/>
  <c r="L48" i="73"/>
  <c r="L31" i="73"/>
  <c r="L25" i="73"/>
  <c r="P48" i="73"/>
  <c r="P31" i="73"/>
  <c r="P25" i="73"/>
  <c r="T48" i="73"/>
  <c r="T31" i="73"/>
  <c r="T25" i="73"/>
  <c r="X48" i="73"/>
  <c r="X31" i="73"/>
  <c r="X25" i="73"/>
  <c r="AB48" i="73"/>
  <c r="AB31" i="73"/>
  <c r="AB29" i="73" s="1"/>
  <c r="AB25" i="73"/>
  <c r="AF48" i="73"/>
  <c r="AF31" i="73"/>
  <c r="AF25" i="73"/>
  <c r="AJ48" i="73"/>
  <c r="AJ31" i="73"/>
  <c r="AJ25" i="73"/>
  <c r="AN48" i="73"/>
  <c r="AN31" i="73"/>
  <c r="AN25" i="73"/>
  <c r="AR48" i="73"/>
  <c r="AR31" i="73"/>
  <c r="AR25" i="73"/>
  <c r="AV48" i="73"/>
  <c r="AV31" i="73"/>
  <c r="AV29" i="73" s="1"/>
  <c r="AV25" i="73"/>
  <c r="AZ48" i="73"/>
  <c r="AZ31" i="73"/>
  <c r="AZ25" i="73"/>
  <c r="AZ56" i="73" s="1"/>
  <c r="BD48" i="73"/>
  <c r="BD31" i="73"/>
  <c r="BD25" i="73"/>
  <c r="BH48" i="73"/>
  <c r="BH31" i="73"/>
  <c r="BH25" i="73"/>
  <c r="BL48" i="73"/>
  <c r="BL31" i="73"/>
  <c r="BL25" i="73"/>
  <c r="BP48" i="73"/>
  <c r="BP31" i="73"/>
  <c r="BP25" i="73"/>
  <c r="BT48" i="73"/>
  <c r="BT31" i="73"/>
  <c r="BT25" i="73"/>
  <c r="BT56" i="73" s="1"/>
  <c r="BX48" i="73"/>
  <c r="BX31" i="73"/>
  <c r="BX25" i="73"/>
  <c r="CB48" i="73"/>
  <c r="CB31" i="73"/>
  <c r="CB25" i="73"/>
  <c r="CF48" i="73"/>
  <c r="CF31" i="73"/>
  <c r="CF25" i="73"/>
  <c r="CJ48" i="73"/>
  <c r="CJ31" i="73"/>
  <c r="CJ25" i="73"/>
  <c r="G49" i="73"/>
  <c r="G32" i="73"/>
  <c r="G26" i="73"/>
  <c r="K49" i="73"/>
  <c r="K32" i="73"/>
  <c r="K26" i="73"/>
  <c r="O49" i="73"/>
  <c r="O32" i="73"/>
  <c r="O26" i="73"/>
  <c r="S49" i="73"/>
  <c r="S32" i="73"/>
  <c r="S26" i="73"/>
  <c r="W49" i="73"/>
  <c r="W51" i="73" s="1"/>
  <c r="W53" i="73" s="1"/>
  <c r="W32" i="73"/>
  <c r="W26" i="73"/>
  <c r="W56" i="73" s="1"/>
  <c r="AA49" i="73"/>
  <c r="AA32" i="73"/>
  <c r="AA29" i="73" s="1"/>
  <c r="AA26" i="73"/>
  <c r="AE49" i="73"/>
  <c r="AE32" i="73"/>
  <c r="AE26" i="73"/>
  <c r="AI49" i="73"/>
  <c r="AI32" i="73"/>
  <c r="AI26" i="73"/>
  <c r="AM49" i="73"/>
  <c r="AM32" i="73"/>
  <c r="AM26" i="73"/>
  <c r="AQ49" i="73"/>
  <c r="AQ32" i="73"/>
  <c r="AQ26" i="73"/>
  <c r="AU49" i="73"/>
  <c r="AU32" i="73"/>
  <c r="AU26" i="73"/>
  <c r="AY49" i="73"/>
  <c r="AY32" i="73"/>
  <c r="AY26" i="73"/>
  <c r="BC49" i="73"/>
  <c r="BC32" i="73"/>
  <c r="BC26" i="73"/>
  <c r="BG49" i="73"/>
  <c r="BG32" i="73"/>
  <c r="BG26" i="73"/>
  <c r="BK49" i="73"/>
  <c r="BK32" i="73"/>
  <c r="BK26" i="73"/>
  <c r="BO49" i="73"/>
  <c r="BO32" i="73"/>
  <c r="BO26" i="73"/>
  <c r="BS49" i="73"/>
  <c r="BS32" i="73"/>
  <c r="BS26" i="73"/>
  <c r="BW49" i="73"/>
  <c r="BW51" i="73" s="1"/>
  <c r="BW53" i="73" s="1"/>
  <c r="BW32" i="73"/>
  <c r="BW26" i="73"/>
  <c r="CA49" i="73"/>
  <c r="CA32" i="73"/>
  <c r="CA26" i="73"/>
  <c r="CE49" i="73"/>
  <c r="CE32" i="73"/>
  <c r="CE26" i="73"/>
  <c r="CI49" i="73"/>
  <c r="CI32" i="73"/>
  <c r="CI26" i="73"/>
  <c r="CM32" i="73"/>
  <c r="CM29" i="73" s="1"/>
  <c r="CM26" i="73"/>
  <c r="J50" i="73"/>
  <c r="J33" i="73"/>
  <c r="J27" i="73"/>
  <c r="N50" i="73"/>
  <c r="N33" i="73"/>
  <c r="N27" i="73"/>
  <c r="R50" i="73"/>
  <c r="R33" i="73"/>
  <c r="R27" i="73"/>
  <c r="V50" i="73"/>
  <c r="V33" i="73"/>
  <c r="V29" i="73" s="1"/>
  <c r="V27" i="73"/>
  <c r="V56" i="73" s="1"/>
  <c r="Z50" i="73"/>
  <c r="Z33" i="73"/>
  <c r="Z27" i="73"/>
  <c r="AD50" i="73"/>
  <c r="AD33" i="73"/>
  <c r="AD27" i="73"/>
  <c r="AH50" i="73"/>
  <c r="AH33" i="73"/>
  <c r="AH29" i="73" s="1"/>
  <c r="AH27" i="73"/>
  <c r="AL50" i="73"/>
  <c r="AL33" i="73"/>
  <c r="AL27" i="73"/>
  <c r="AL56" i="73" s="1"/>
  <c r="AP50" i="73"/>
  <c r="AP33" i="73"/>
  <c r="AP27" i="73"/>
  <c r="AT50" i="73"/>
  <c r="AT33" i="73"/>
  <c r="AT27" i="73"/>
  <c r="AX50" i="73"/>
  <c r="AX33" i="73"/>
  <c r="AX27" i="73"/>
  <c r="BB50" i="73"/>
  <c r="BB33" i="73"/>
  <c r="BB27" i="73"/>
  <c r="BB56" i="73" s="1"/>
  <c r="BF50" i="73"/>
  <c r="BF33" i="73"/>
  <c r="BF27" i="73"/>
  <c r="BJ50" i="73"/>
  <c r="BJ33" i="73"/>
  <c r="BJ27" i="73"/>
  <c r="BN50" i="73"/>
  <c r="BN52" i="73" s="1"/>
  <c r="BN54" i="73" s="1"/>
  <c r="BN33" i="73"/>
  <c r="BN27" i="73"/>
  <c r="BR50" i="73"/>
  <c r="BR33" i="73"/>
  <c r="BR29" i="73" s="1"/>
  <c r="BR27" i="73"/>
  <c r="BV50" i="73"/>
  <c r="BV33" i="73"/>
  <c r="BV27" i="73"/>
  <c r="BZ50" i="73"/>
  <c r="BZ33" i="73"/>
  <c r="BZ27" i="73"/>
  <c r="CD50" i="73"/>
  <c r="CD33" i="73"/>
  <c r="CD27" i="73"/>
  <c r="CH50" i="73"/>
  <c r="CH33" i="73"/>
  <c r="CH27" i="73"/>
  <c r="CL50" i="73"/>
  <c r="CL33" i="73"/>
  <c r="CL27" i="73"/>
  <c r="L55" i="73"/>
  <c r="P55" i="73"/>
  <c r="T55" i="73"/>
  <c r="X55" i="73"/>
  <c r="AB55" i="73"/>
  <c r="AJ55" i="73"/>
  <c r="AN55" i="73"/>
  <c r="AR55" i="73"/>
  <c r="AV55" i="73"/>
  <c r="AZ55" i="73"/>
  <c r="BD55" i="73"/>
  <c r="BL55" i="73"/>
  <c r="BP55" i="73"/>
  <c r="BT55" i="73"/>
  <c r="BX55" i="73"/>
  <c r="CF55" i="73"/>
  <c r="J25" i="73"/>
  <c r="O25" i="73"/>
  <c r="U25" i="73"/>
  <c r="Z25" i="73"/>
  <c r="AE25" i="73"/>
  <c r="AE56" i="73" s="1"/>
  <c r="AK25" i="73"/>
  <c r="AP25" i="73"/>
  <c r="AU25" i="73"/>
  <c r="BA25" i="73"/>
  <c r="BF25" i="73"/>
  <c r="BK25" i="73"/>
  <c r="BQ25" i="73"/>
  <c r="BV25" i="73"/>
  <c r="CA25" i="73"/>
  <c r="CG25" i="73"/>
  <c r="CL25" i="73"/>
  <c r="J26" i="73"/>
  <c r="P26" i="73"/>
  <c r="U26" i="73"/>
  <c r="Z26" i="73"/>
  <c r="AF26" i="73"/>
  <c r="AK26" i="73"/>
  <c r="AP26" i="73"/>
  <c r="AV26" i="73"/>
  <c r="BA26" i="73"/>
  <c r="BF26" i="73"/>
  <c r="BL26" i="73"/>
  <c r="BQ26" i="73"/>
  <c r="BV26" i="73"/>
  <c r="CB26" i="73"/>
  <c r="CG26" i="73"/>
  <c r="CL26" i="73"/>
  <c r="K27" i="73"/>
  <c r="P27" i="73"/>
  <c r="U27" i="73"/>
  <c r="AA27" i="73"/>
  <c r="AA56" i="73" s="1"/>
  <c r="AF27" i="73"/>
  <c r="AK27" i="73"/>
  <c r="AQ27" i="73"/>
  <c r="AV27" i="73"/>
  <c r="BA27" i="73"/>
  <c r="BG27" i="73"/>
  <c r="BL27" i="73"/>
  <c r="BQ27" i="73"/>
  <c r="BW27" i="73"/>
  <c r="CB27" i="73"/>
  <c r="CG27" i="73"/>
  <c r="K30" i="73"/>
  <c r="Q30" i="73"/>
  <c r="AG30" i="73"/>
  <c r="AL30" i="73"/>
  <c r="AQ30" i="73"/>
  <c r="AW30" i="73"/>
  <c r="BB30" i="73"/>
  <c r="BG30" i="73"/>
  <c r="BO30" i="73"/>
  <c r="BW30" i="73"/>
  <c r="N31" i="73"/>
  <c r="AD31" i="73"/>
  <c r="AL31" i="73"/>
  <c r="AT31" i="73"/>
  <c r="BB31" i="73"/>
  <c r="CH31" i="73"/>
  <c r="I32" i="73"/>
  <c r="Q32" i="73"/>
  <c r="Y32" i="73"/>
  <c r="AG32" i="73"/>
  <c r="BE32" i="73"/>
  <c r="BU32" i="73"/>
  <c r="CC32" i="73"/>
  <c r="CK32" i="73"/>
  <c r="L33" i="73"/>
  <c r="T33" i="73"/>
  <c r="AJ33" i="73"/>
  <c r="AR33" i="73"/>
  <c r="AZ33" i="73"/>
  <c r="BH33" i="73"/>
  <c r="BP33" i="73"/>
  <c r="BX33" i="73"/>
  <c r="CF33" i="73"/>
  <c r="CI34" i="73"/>
  <c r="CE34" i="73"/>
  <c r="CA34" i="73"/>
  <c r="BW34" i="73"/>
  <c r="BS34" i="73"/>
  <c r="BO34" i="73"/>
  <c r="BK34" i="73"/>
  <c r="BG34" i="73"/>
  <c r="BC34" i="73"/>
  <c r="AY34" i="73"/>
  <c r="AU34" i="73"/>
  <c r="AQ34" i="73"/>
  <c r="AM34" i="73"/>
  <c r="AI34" i="73"/>
  <c r="AE34" i="73"/>
  <c r="CJ34" i="73"/>
  <c r="CD34" i="73"/>
  <c r="BY34" i="73"/>
  <c r="BT34" i="73"/>
  <c r="BN34" i="73"/>
  <c r="BI34" i="73"/>
  <c r="BD34" i="73"/>
  <c r="AX34" i="73"/>
  <c r="AS34" i="73"/>
  <c r="AN34" i="73"/>
  <c r="AH34" i="73"/>
  <c r="AC34" i="73"/>
  <c r="Y34" i="73"/>
  <c r="U34" i="73"/>
  <c r="CH34" i="73"/>
  <c r="CC34" i="73"/>
  <c r="BX34" i="73"/>
  <c r="BR34" i="73"/>
  <c r="BM34" i="73"/>
  <c r="BH34" i="73"/>
  <c r="BB34" i="73"/>
  <c r="AW34" i="73"/>
  <c r="AR34" i="73"/>
  <c r="AL34" i="73"/>
  <c r="AG34" i="73"/>
  <c r="AB34" i="73"/>
  <c r="X34" i="73"/>
  <c r="T34" i="73"/>
  <c r="AA34" i="73"/>
  <c r="AK34" i="73"/>
  <c r="AV34" i="73"/>
  <c r="BF34" i="73"/>
  <c r="BQ34" i="73"/>
  <c r="CB34" i="73"/>
  <c r="CL34" i="73"/>
  <c r="CM37" i="73"/>
  <c r="J66" i="73"/>
  <c r="R66" i="73"/>
  <c r="V66" i="73"/>
  <c r="Z66" i="73"/>
  <c r="AH66" i="73"/>
  <c r="AT66" i="73"/>
  <c r="AX66" i="73"/>
  <c r="BB66" i="73"/>
  <c r="BJ66" i="73"/>
  <c r="BN66" i="73"/>
  <c r="BV66" i="73"/>
  <c r="BZ66" i="73"/>
  <c r="CD66" i="73"/>
  <c r="CL66" i="73"/>
  <c r="AB47" i="73"/>
  <c r="BD47" i="73"/>
  <c r="AQ48" i="73"/>
  <c r="AQ52" i="73" s="1"/>
  <c r="AQ54" i="73" s="1"/>
  <c r="BS48" i="73"/>
  <c r="N49" i="73"/>
  <c r="CH49" i="73"/>
  <c r="CH51" i="73" s="1"/>
  <c r="CH53" i="73" s="1"/>
  <c r="Q50" i="73"/>
  <c r="Q52" i="73" s="1"/>
  <c r="Q54" i="73" s="1"/>
  <c r="CC50" i="73"/>
  <c r="O66" i="73"/>
  <c r="AQ66" i="73"/>
  <c r="K66" i="73"/>
  <c r="S66" i="73"/>
  <c r="W66" i="73"/>
  <c r="AE66" i="73"/>
  <c r="AM66" i="73"/>
  <c r="BC66" i="73"/>
  <c r="BO66" i="73"/>
  <c r="BS66" i="73"/>
  <c r="BW66" i="73"/>
  <c r="CE66" i="73"/>
  <c r="CI66" i="73"/>
  <c r="CM43" i="73"/>
  <c r="CM61" i="73"/>
  <c r="P66" i="73"/>
  <c r="AB66" i="73"/>
  <c r="AF66" i="73"/>
  <c r="AR66" i="73"/>
  <c r="AZ66" i="73"/>
  <c r="BH66" i="73"/>
  <c r="BP66" i="73"/>
  <c r="BX66" i="73"/>
  <c r="CB66" i="73"/>
  <c r="CM44" i="73"/>
  <c r="U66" i="73"/>
  <c r="AC66" i="73"/>
  <c r="AS66" i="73"/>
  <c r="BA66" i="73"/>
  <c r="BI66" i="73"/>
  <c r="BY66" i="73"/>
  <c r="CG66" i="73"/>
  <c r="CM65" i="73"/>
  <c r="CM45" i="73"/>
  <c r="BM48" i="72"/>
  <c r="BM25" i="72"/>
  <c r="BY48" i="72"/>
  <c r="BY25" i="72"/>
  <c r="CK48" i="72"/>
  <c r="CK25" i="72"/>
  <c r="L49" i="72"/>
  <c r="L26" i="72"/>
  <c r="X49" i="72"/>
  <c r="X26" i="72"/>
  <c r="AJ49" i="72"/>
  <c r="AJ26" i="72"/>
  <c r="AV49" i="72"/>
  <c r="AV26" i="72"/>
  <c r="BH49" i="72"/>
  <c r="BH26" i="72"/>
  <c r="BX49" i="72"/>
  <c r="BX26" i="72"/>
  <c r="CF49" i="72"/>
  <c r="CF26" i="72"/>
  <c r="Y25" i="72"/>
  <c r="BO29" i="72"/>
  <c r="Y31" i="72"/>
  <c r="BE31" i="72"/>
  <c r="H46" i="72"/>
  <c r="H29" i="72"/>
  <c r="L46" i="72"/>
  <c r="L29" i="72"/>
  <c r="P46" i="72"/>
  <c r="P29" i="72"/>
  <c r="T46" i="72"/>
  <c r="T29" i="72"/>
  <c r="X46" i="72"/>
  <c r="X29" i="72"/>
  <c r="AB46" i="72"/>
  <c r="AB29" i="72"/>
  <c r="AF46" i="72"/>
  <c r="AF29" i="72"/>
  <c r="AN46" i="72"/>
  <c r="AN29" i="72"/>
  <c r="AR46" i="72"/>
  <c r="AR29" i="72"/>
  <c r="AV46" i="72"/>
  <c r="AV29" i="72"/>
  <c r="AZ46" i="72"/>
  <c r="AZ29" i="72"/>
  <c r="BD46" i="72"/>
  <c r="BD29" i="72"/>
  <c r="BH46" i="72"/>
  <c r="BH29" i="72"/>
  <c r="BL46" i="72"/>
  <c r="BL29" i="72"/>
  <c r="BP46" i="72"/>
  <c r="BP29" i="72"/>
  <c r="BT46" i="72"/>
  <c r="BT29" i="72"/>
  <c r="BX46" i="72"/>
  <c r="BX29" i="72"/>
  <c r="CB46" i="72"/>
  <c r="CB29" i="72"/>
  <c r="CF46" i="72"/>
  <c r="CF29" i="72"/>
  <c r="CJ46" i="72"/>
  <c r="CJ29" i="72"/>
  <c r="J25" i="72"/>
  <c r="J48" i="72"/>
  <c r="J31" i="72"/>
  <c r="N48" i="72"/>
  <c r="N25" i="72"/>
  <c r="N31" i="72"/>
  <c r="R48" i="72"/>
  <c r="R25" i="72"/>
  <c r="R31" i="72"/>
  <c r="V48" i="72"/>
  <c r="V25" i="72"/>
  <c r="V31" i="72"/>
  <c r="Z25" i="72"/>
  <c r="Z48" i="72"/>
  <c r="Z31" i="72"/>
  <c r="AD48" i="72"/>
  <c r="AD25" i="72"/>
  <c r="AD31" i="72"/>
  <c r="AH48" i="72"/>
  <c r="AH25" i="72"/>
  <c r="AH31" i="72"/>
  <c r="AL48" i="72"/>
  <c r="AL25" i="72"/>
  <c r="AL31" i="72"/>
  <c r="AP48" i="72"/>
  <c r="AP25" i="72"/>
  <c r="AP31" i="72"/>
  <c r="AT48" i="72"/>
  <c r="AT25" i="72"/>
  <c r="AT31" i="72"/>
  <c r="AX48" i="72"/>
  <c r="AX25" i="72"/>
  <c r="AX31" i="72"/>
  <c r="BB48" i="72"/>
  <c r="BB25" i="72"/>
  <c r="BB31" i="72"/>
  <c r="BF25" i="72"/>
  <c r="BF31" i="72"/>
  <c r="BJ48" i="72"/>
  <c r="BJ25" i="72"/>
  <c r="BJ31" i="72"/>
  <c r="BN48" i="72"/>
  <c r="BN25" i="72"/>
  <c r="BN31" i="72"/>
  <c r="BR48" i="72"/>
  <c r="BR25" i="72"/>
  <c r="BR31" i="72"/>
  <c r="BV25" i="72"/>
  <c r="BV48" i="72"/>
  <c r="BV31" i="72"/>
  <c r="BZ48" i="72"/>
  <c r="BZ25" i="72"/>
  <c r="BZ31" i="72"/>
  <c r="CD48" i="72"/>
  <c r="CD25" i="72"/>
  <c r="CD31" i="72"/>
  <c r="CH48" i="72"/>
  <c r="CH25" i="72"/>
  <c r="CH31" i="72"/>
  <c r="CL25" i="72"/>
  <c r="CL48" i="72"/>
  <c r="CL31" i="72"/>
  <c r="I49" i="72"/>
  <c r="I26" i="72"/>
  <c r="I32" i="72"/>
  <c r="M49" i="72"/>
  <c r="M26" i="72"/>
  <c r="M32" i="72"/>
  <c r="Q49" i="72"/>
  <c r="Q26" i="72"/>
  <c r="Q32" i="72"/>
  <c r="U49" i="72"/>
  <c r="U26" i="72"/>
  <c r="U32" i="72"/>
  <c r="Y49" i="72"/>
  <c r="Y26" i="72"/>
  <c r="Y32" i="72"/>
  <c r="AC49" i="72"/>
  <c r="AC26" i="72"/>
  <c r="AC32" i="72"/>
  <c r="AG49" i="72"/>
  <c r="AG26" i="72"/>
  <c r="AG32" i="72"/>
  <c r="AK26" i="72"/>
  <c r="AK32" i="72"/>
  <c r="AO49" i="72"/>
  <c r="AO26" i="72"/>
  <c r="AO32" i="72"/>
  <c r="AS49" i="72"/>
  <c r="AS26" i="72"/>
  <c r="AS32" i="72"/>
  <c r="AW49" i="72"/>
  <c r="AW26" i="72"/>
  <c r="AW32" i="72"/>
  <c r="BA26" i="72"/>
  <c r="BA49" i="72"/>
  <c r="BA32" i="72"/>
  <c r="BE49" i="72"/>
  <c r="BE26" i="72"/>
  <c r="BE32" i="72"/>
  <c r="BI49" i="72"/>
  <c r="BI26" i="72"/>
  <c r="BI32" i="72"/>
  <c r="BM49" i="72"/>
  <c r="BM26" i="72"/>
  <c r="BM32" i="72"/>
  <c r="BQ26" i="72"/>
  <c r="BQ49" i="72"/>
  <c r="BQ32" i="72"/>
  <c r="BU49" i="72"/>
  <c r="BU26" i="72"/>
  <c r="BU32" i="72"/>
  <c r="BY49" i="72"/>
  <c r="BY26" i="72"/>
  <c r="BY32" i="72"/>
  <c r="CC49" i="72"/>
  <c r="CC26" i="72"/>
  <c r="CC32" i="72"/>
  <c r="CG49" i="72"/>
  <c r="CG26" i="72"/>
  <c r="CG32" i="72"/>
  <c r="CK49" i="72"/>
  <c r="CK26" i="72"/>
  <c r="CK32" i="72"/>
  <c r="U25" i="72"/>
  <c r="AK25" i="72"/>
  <c r="AS25" i="72"/>
  <c r="BA25" i="72"/>
  <c r="BI25" i="72"/>
  <c r="CM25" i="72"/>
  <c r="G29" i="72"/>
  <c r="W29" i="72"/>
  <c r="AM29" i="72"/>
  <c r="BC29" i="72"/>
  <c r="BS29" i="72"/>
  <c r="CI29" i="72"/>
  <c r="M31" i="72"/>
  <c r="AC31" i="72"/>
  <c r="AS31" i="72"/>
  <c r="BI31" i="72"/>
  <c r="BY31" i="72"/>
  <c r="X32" i="72"/>
  <c r="BQ48" i="72"/>
  <c r="BQ25" i="72"/>
  <c r="CG48" i="72"/>
  <c r="CG25" i="72"/>
  <c r="P49" i="72"/>
  <c r="P26" i="72"/>
  <c r="AB49" i="72"/>
  <c r="AB26" i="72"/>
  <c r="AN49" i="72"/>
  <c r="AN26" i="72"/>
  <c r="AZ49" i="72"/>
  <c r="AZ26" i="72"/>
  <c r="BL49" i="72"/>
  <c r="BL26" i="72"/>
  <c r="BT49" i="72"/>
  <c r="BT26" i="72"/>
  <c r="CJ49" i="72"/>
  <c r="CJ26" i="72"/>
  <c r="AI29" i="72"/>
  <c r="CE29" i="72"/>
  <c r="AO31" i="72"/>
  <c r="CK31" i="72"/>
  <c r="CF32" i="72"/>
  <c r="I46" i="72"/>
  <c r="I29" i="72"/>
  <c r="M46" i="72"/>
  <c r="M29" i="72"/>
  <c r="Q46" i="72"/>
  <c r="Q29" i="72"/>
  <c r="U46" i="72"/>
  <c r="U29" i="72"/>
  <c r="Y46" i="72"/>
  <c r="Y29" i="72"/>
  <c r="AC46" i="72"/>
  <c r="AC29" i="72"/>
  <c r="AG46" i="72"/>
  <c r="AG29" i="72"/>
  <c r="AK46" i="72"/>
  <c r="AK29" i="72"/>
  <c r="AO46" i="72"/>
  <c r="AO29" i="72"/>
  <c r="AS46" i="72"/>
  <c r="AS29" i="72"/>
  <c r="AW46" i="72"/>
  <c r="AW29" i="72"/>
  <c r="BA46" i="72"/>
  <c r="BA29" i="72"/>
  <c r="BE46" i="72"/>
  <c r="BE29" i="72"/>
  <c r="BI46" i="72"/>
  <c r="BI29" i="72"/>
  <c r="BM46" i="72"/>
  <c r="BM29" i="72"/>
  <c r="BQ46" i="72"/>
  <c r="BQ29" i="72"/>
  <c r="BU46" i="72"/>
  <c r="BU29" i="72"/>
  <c r="BY46" i="72"/>
  <c r="BY29" i="72"/>
  <c r="CC46" i="72"/>
  <c r="CC29" i="72"/>
  <c r="CG46" i="72"/>
  <c r="CG29" i="72"/>
  <c r="CK46" i="72"/>
  <c r="CK29" i="72"/>
  <c r="G48" i="72"/>
  <c r="G31" i="72"/>
  <c r="K48" i="72"/>
  <c r="K31" i="72"/>
  <c r="O48" i="72"/>
  <c r="O31" i="72"/>
  <c r="S48" i="72"/>
  <c r="S31" i="72"/>
  <c r="W48" i="72"/>
  <c r="W31" i="72"/>
  <c r="AA48" i="72"/>
  <c r="AA31" i="72"/>
  <c r="AE48" i="72"/>
  <c r="AE31" i="72"/>
  <c r="AI48" i="72"/>
  <c r="AI31" i="72"/>
  <c r="AM48" i="72"/>
  <c r="AM31" i="72"/>
  <c r="AQ48" i="72"/>
  <c r="AQ31" i="72"/>
  <c r="AU48" i="72"/>
  <c r="AU31" i="72"/>
  <c r="AY48" i="72"/>
  <c r="AY31" i="72"/>
  <c r="BC48" i="72"/>
  <c r="BC31" i="72"/>
  <c r="BG48" i="72"/>
  <c r="BG31" i="72"/>
  <c r="BK48" i="72"/>
  <c r="BK31" i="72"/>
  <c r="BO48" i="72"/>
  <c r="BO31" i="72"/>
  <c r="BS48" i="72"/>
  <c r="BS31" i="72"/>
  <c r="BW48" i="72"/>
  <c r="BW31" i="72"/>
  <c r="CA48" i="72"/>
  <c r="CA31" i="72"/>
  <c r="CE48" i="72"/>
  <c r="CE31" i="72"/>
  <c r="CI48" i="72"/>
  <c r="CI31" i="72"/>
  <c r="J49" i="72"/>
  <c r="J32" i="72"/>
  <c r="N49" i="72"/>
  <c r="N32" i="72"/>
  <c r="R49" i="72"/>
  <c r="R32" i="72"/>
  <c r="V49" i="72"/>
  <c r="V32" i="72"/>
  <c r="Z49" i="72"/>
  <c r="Z32" i="72"/>
  <c r="AD49" i="72"/>
  <c r="AD32" i="72"/>
  <c r="AH49" i="72"/>
  <c r="AH32" i="72"/>
  <c r="AL49" i="72"/>
  <c r="AL32" i="72"/>
  <c r="AP49" i="72"/>
  <c r="AP32" i="72"/>
  <c r="AT49" i="72"/>
  <c r="AT32" i="72"/>
  <c r="AX49" i="72"/>
  <c r="AX32" i="72"/>
  <c r="BB49" i="72"/>
  <c r="BB32" i="72"/>
  <c r="BF49" i="72"/>
  <c r="BF32" i="72"/>
  <c r="BJ49" i="72"/>
  <c r="BJ32" i="72"/>
  <c r="BN49" i="72"/>
  <c r="BN32" i="72"/>
  <c r="BR49" i="72"/>
  <c r="BR32" i="72"/>
  <c r="BV49" i="72"/>
  <c r="BV32" i="72"/>
  <c r="BZ49" i="72"/>
  <c r="BZ32" i="72"/>
  <c r="CD49" i="72"/>
  <c r="CD32" i="72"/>
  <c r="CH49" i="72"/>
  <c r="CH32" i="72"/>
  <c r="CL49" i="72"/>
  <c r="CL32" i="72"/>
  <c r="G25" i="72"/>
  <c r="Q25" i="72"/>
  <c r="W25" i="72"/>
  <c r="AG25" i="72"/>
  <c r="AM25" i="72"/>
  <c r="AU25" i="72"/>
  <c r="BC25" i="72"/>
  <c r="BK25" i="72"/>
  <c r="CA25" i="72"/>
  <c r="J26" i="72"/>
  <c r="Z26" i="72"/>
  <c r="AP26" i="72"/>
  <c r="BF26" i="72"/>
  <c r="BV26" i="72"/>
  <c r="CL26" i="72"/>
  <c r="K29" i="72"/>
  <c r="AA29" i="72"/>
  <c r="AQ29" i="72"/>
  <c r="BG29" i="72"/>
  <c r="BW29" i="72"/>
  <c r="Q31" i="72"/>
  <c r="AG31" i="72"/>
  <c r="AW31" i="72"/>
  <c r="BM31" i="72"/>
  <c r="L32" i="72"/>
  <c r="AB32" i="72"/>
  <c r="BH32" i="72"/>
  <c r="BX32" i="72"/>
  <c r="BF48" i="72"/>
  <c r="CM29" i="72"/>
  <c r="BU48" i="72"/>
  <c r="BU25" i="72"/>
  <c r="CC48" i="72"/>
  <c r="CC25" i="72"/>
  <c r="H49" i="72"/>
  <c r="H26" i="72"/>
  <c r="T49" i="72"/>
  <c r="T26" i="72"/>
  <c r="AF49" i="72"/>
  <c r="AF26" i="72"/>
  <c r="AR49" i="72"/>
  <c r="AR26" i="72"/>
  <c r="BD49" i="72"/>
  <c r="BD26" i="72"/>
  <c r="BP49" i="72"/>
  <c r="BP26" i="72"/>
  <c r="CB49" i="72"/>
  <c r="CB26" i="72"/>
  <c r="I25" i="72"/>
  <c r="S29" i="72"/>
  <c r="AY29" i="72"/>
  <c r="I31" i="72"/>
  <c r="BU31" i="72"/>
  <c r="AJ32" i="72"/>
  <c r="BP32" i="72"/>
  <c r="J46" i="72"/>
  <c r="J29" i="72"/>
  <c r="N46" i="72"/>
  <c r="N29" i="72"/>
  <c r="R46" i="72"/>
  <c r="R29" i="72"/>
  <c r="V46" i="72"/>
  <c r="V29" i="72"/>
  <c r="Z46" i="72"/>
  <c r="Z29" i="72"/>
  <c r="AD46" i="72"/>
  <c r="AD29" i="72"/>
  <c r="AH46" i="72"/>
  <c r="AH29" i="72"/>
  <c r="AL46" i="72"/>
  <c r="AL29" i="72"/>
  <c r="AP46" i="72"/>
  <c r="AP29" i="72"/>
  <c r="AT46" i="72"/>
  <c r="AT29" i="72"/>
  <c r="AX46" i="72"/>
  <c r="AX29" i="72"/>
  <c r="BB46" i="72"/>
  <c r="BB29" i="72"/>
  <c r="BF46" i="72"/>
  <c r="BF29" i="72"/>
  <c r="BJ46" i="72"/>
  <c r="BJ29" i="72"/>
  <c r="BN46" i="72"/>
  <c r="BN29" i="72"/>
  <c r="BR46" i="72"/>
  <c r="BR29" i="72"/>
  <c r="BV46" i="72"/>
  <c r="BV29" i="72"/>
  <c r="BZ46" i="72"/>
  <c r="BZ29" i="72"/>
  <c r="CD46" i="72"/>
  <c r="CD29" i="72"/>
  <c r="CH46" i="72"/>
  <c r="CH29" i="72"/>
  <c r="CL46" i="72"/>
  <c r="CL29" i="72"/>
  <c r="H48" i="72"/>
  <c r="H31" i="72"/>
  <c r="L48" i="72"/>
  <c r="L31" i="72"/>
  <c r="P48" i="72"/>
  <c r="P31" i="72"/>
  <c r="T48" i="72"/>
  <c r="T31" i="72"/>
  <c r="X48" i="72"/>
  <c r="X31" i="72"/>
  <c r="AB48" i="72"/>
  <c r="AB31" i="72"/>
  <c r="AF48" i="72"/>
  <c r="AF31" i="72"/>
  <c r="AJ48" i="72"/>
  <c r="AJ31" i="72"/>
  <c r="AN48" i="72"/>
  <c r="AN31" i="72"/>
  <c r="AN25" i="72"/>
  <c r="AR48" i="72"/>
  <c r="AR31" i="72"/>
  <c r="AR25" i="72"/>
  <c r="AV48" i="72"/>
  <c r="AV31" i="72"/>
  <c r="AV25" i="72"/>
  <c r="AZ48" i="72"/>
  <c r="AZ31" i="72"/>
  <c r="AZ25" i="72"/>
  <c r="BD48" i="72"/>
  <c r="BD31" i="72"/>
  <c r="BD25" i="72"/>
  <c r="BH48" i="72"/>
  <c r="BH31" i="72"/>
  <c r="BH25" i="72"/>
  <c r="BL48" i="72"/>
  <c r="BL31" i="72"/>
  <c r="BL25" i="72"/>
  <c r="BP48" i="72"/>
  <c r="BP31" i="72"/>
  <c r="BP25" i="72"/>
  <c r="BT48" i="72"/>
  <c r="BT31" i="72"/>
  <c r="BT25" i="72"/>
  <c r="BX48" i="72"/>
  <c r="BX31" i="72"/>
  <c r="BX25" i="72"/>
  <c r="CB48" i="72"/>
  <c r="CB31" i="72"/>
  <c r="CB25" i="72"/>
  <c r="CF48" i="72"/>
  <c r="CF31" i="72"/>
  <c r="CF25" i="72"/>
  <c r="CJ48" i="72"/>
  <c r="CJ31" i="72"/>
  <c r="CJ25" i="72"/>
  <c r="G49" i="72"/>
  <c r="G32" i="72"/>
  <c r="G26" i="72"/>
  <c r="K49" i="72"/>
  <c r="K32" i="72"/>
  <c r="K26" i="72"/>
  <c r="O49" i="72"/>
  <c r="O32" i="72"/>
  <c r="O26" i="72"/>
  <c r="S49" i="72"/>
  <c r="S32" i="72"/>
  <c r="S26" i="72"/>
  <c r="W49" i="72"/>
  <c r="W32" i="72"/>
  <c r="W26" i="72"/>
  <c r="AA49" i="72"/>
  <c r="AA32" i="72"/>
  <c r="AA26" i="72"/>
  <c r="AE49" i="72"/>
  <c r="AE32" i="72"/>
  <c r="AE26" i="72"/>
  <c r="AI49" i="72"/>
  <c r="AI32" i="72"/>
  <c r="AI26" i="72"/>
  <c r="AM49" i="72"/>
  <c r="AM32" i="72"/>
  <c r="AM26" i="72"/>
  <c r="AQ49" i="72"/>
  <c r="AQ32" i="72"/>
  <c r="AQ26" i="72"/>
  <c r="AU49" i="72"/>
  <c r="AU32" i="72"/>
  <c r="AU26" i="72"/>
  <c r="AY49" i="72"/>
  <c r="AY32" i="72"/>
  <c r="AY26" i="72"/>
  <c r="BC49" i="72"/>
  <c r="BC32" i="72"/>
  <c r="BC26" i="72"/>
  <c r="BG49" i="72"/>
  <c r="BG32" i="72"/>
  <c r="BG26" i="72"/>
  <c r="BK49" i="72"/>
  <c r="BK32" i="72"/>
  <c r="BK26" i="72"/>
  <c r="BO49" i="72"/>
  <c r="BO32" i="72"/>
  <c r="BO26" i="72"/>
  <c r="BS49" i="72"/>
  <c r="BS32" i="72"/>
  <c r="BS26" i="72"/>
  <c r="BW49" i="72"/>
  <c r="BW32" i="72"/>
  <c r="BW26" i="72"/>
  <c r="CA49" i="72"/>
  <c r="CA32" i="72"/>
  <c r="CA26" i="72"/>
  <c r="CE49" i="72"/>
  <c r="CE32" i="72"/>
  <c r="CE26" i="72"/>
  <c r="CI49" i="72"/>
  <c r="CI32" i="72"/>
  <c r="CI26" i="72"/>
  <c r="H25" i="72"/>
  <c r="M25" i="72"/>
  <c r="S25" i="72"/>
  <c r="X25" i="72"/>
  <c r="AC25" i="72"/>
  <c r="AI25" i="72"/>
  <c r="AO25" i="72"/>
  <c r="AW25" i="72"/>
  <c r="BE25" i="72"/>
  <c r="BO25" i="72"/>
  <c r="CE25" i="72"/>
  <c r="N26" i="72"/>
  <c r="AD26" i="72"/>
  <c r="AT26" i="72"/>
  <c r="BJ26" i="72"/>
  <c r="BZ26" i="72"/>
  <c r="O29" i="72"/>
  <c r="AE29" i="72"/>
  <c r="AU29" i="72"/>
  <c r="BK29" i="72"/>
  <c r="CA29" i="72"/>
  <c r="U31" i="72"/>
  <c r="AK31" i="72"/>
  <c r="BA31" i="72"/>
  <c r="BQ31" i="72"/>
  <c r="CG31" i="72"/>
  <c r="P32" i="72"/>
  <c r="AF32" i="72"/>
  <c r="AV32" i="72"/>
  <c r="BL32" i="72"/>
  <c r="CB32" i="72"/>
  <c r="AJ46" i="72"/>
  <c r="AK49" i="72"/>
  <c r="AO52" i="73" l="1"/>
  <c r="AO54" i="73" s="1"/>
  <c r="AI68" i="73"/>
  <c r="BZ68" i="73"/>
  <c r="CD52" i="73"/>
  <c r="CD54" i="73" s="1"/>
  <c r="AP51" i="73"/>
  <c r="AP53" i="73" s="1"/>
  <c r="BB68" i="73"/>
  <c r="K52" i="73"/>
  <c r="K54" i="73" s="1"/>
  <c r="AD52" i="73"/>
  <c r="AD54" i="73" s="1"/>
  <c r="G52" i="73"/>
  <c r="G54" i="73" s="1"/>
  <c r="M15" i="84"/>
  <c r="U15" i="84"/>
  <c r="N15" i="84"/>
  <c r="V15" i="84"/>
  <c r="O15" i="84"/>
  <c r="W15" i="84"/>
  <c r="P15" i="84"/>
  <c r="X15" i="84"/>
  <c r="Y15" i="84"/>
  <c r="I15" i="84"/>
  <c r="Q15" i="84"/>
  <c r="J15" i="84"/>
  <c r="R15" i="84"/>
  <c r="Z15" i="84"/>
  <c r="T15" i="84"/>
  <c r="K15" i="84"/>
  <c r="S15" i="84"/>
  <c r="H15" i="84"/>
  <c r="L15" i="84"/>
  <c r="E22" i="80"/>
  <c r="BE51" i="73"/>
  <c r="BE53" i="73" s="1"/>
  <c r="CI56" i="73"/>
  <c r="Y51" i="73"/>
  <c r="Y53" i="73" s="1"/>
  <c r="BH56" i="73"/>
  <c r="BE68" i="73"/>
  <c r="AO51" i="73"/>
  <c r="AO53" i="73" s="1"/>
  <c r="AG68" i="73"/>
  <c r="AG69" i="73" s="1"/>
  <c r="AC56" i="73"/>
  <c r="AO68" i="73"/>
  <c r="AW29" i="73"/>
  <c r="S56" i="73"/>
  <c r="BR56" i="73"/>
  <c r="BJ52" i="73"/>
  <c r="BJ54" i="73" s="1"/>
  <c r="AJ56" i="73"/>
  <c r="BO29" i="73"/>
  <c r="BO56" i="73"/>
  <c r="CD56" i="73"/>
  <c r="AD56" i="73"/>
  <c r="Q56" i="73"/>
  <c r="AW56" i="73"/>
  <c r="CC56" i="73"/>
  <c r="BY56" i="73"/>
  <c r="AH56" i="73"/>
  <c r="BL52" i="73"/>
  <c r="BL54" i="73" s="1"/>
  <c r="Y68" i="73"/>
  <c r="G56" i="73"/>
  <c r="AL52" i="73"/>
  <c r="AL54" i="73" s="1"/>
  <c r="AS51" i="73"/>
  <c r="AS53" i="73" s="1"/>
  <c r="AS52" i="73"/>
  <c r="AS54" i="73" s="1"/>
  <c r="AC52" i="73"/>
  <c r="AC54" i="73" s="1"/>
  <c r="AC68" i="73"/>
  <c r="AC51" i="73"/>
  <c r="AC53" i="73" s="1"/>
  <c r="U68" i="73"/>
  <c r="U51" i="73"/>
  <c r="U53" i="73" s="1"/>
  <c r="U52" i="73"/>
  <c r="U54" i="73" s="1"/>
  <c r="CI68" i="73"/>
  <c r="CI69" i="73" s="1"/>
  <c r="AM68" i="73"/>
  <c r="AM51" i="73"/>
  <c r="AM53" i="73" s="1"/>
  <c r="CF56" i="73"/>
  <c r="BX51" i="73"/>
  <c r="BX53" i="73" s="1"/>
  <c r="T56" i="73"/>
  <c r="AE68" i="73"/>
  <c r="AE69" i="73" s="1"/>
  <c r="BB69" i="73"/>
  <c r="J68" i="73"/>
  <c r="AQ29" i="73"/>
  <c r="CD68" i="73"/>
  <c r="CD69" i="73" s="1"/>
  <c r="CD71" i="73" s="1"/>
  <c r="AX68" i="73"/>
  <c r="R68" i="73"/>
  <c r="CE56" i="73"/>
  <c r="BG52" i="73"/>
  <c r="BG54" i="73" s="1"/>
  <c r="CJ56" i="73"/>
  <c r="AV52" i="73"/>
  <c r="AV54" i="73" s="1"/>
  <c r="AN56" i="73"/>
  <c r="H56" i="73"/>
  <c r="AO29" i="73"/>
  <c r="BA68" i="73"/>
  <c r="CA52" i="73"/>
  <c r="CA54" i="73" s="1"/>
  <c r="AU68" i="73"/>
  <c r="O52" i="73"/>
  <c r="O54" i="73" s="1"/>
  <c r="BX56" i="73"/>
  <c r="AR56" i="73"/>
  <c r="L56" i="73"/>
  <c r="AO56" i="73"/>
  <c r="BK52" i="73"/>
  <c r="BK54" i="73" s="1"/>
  <c r="AS56" i="73"/>
  <c r="AS68" i="73"/>
  <c r="BS51" i="73"/>
  <c r="BS53" i="73" s="1"/>
  <c r="O56" i="73"/>
  <c r="CL51" i="73"/>
  <c r="CL53" i="73" s="1"/>
  <c r="BF52" i="73"/>
  <c r="BF54" i="73" s="1"/>
  <c r="P56" i="73"/>
  <c r="AW69" i="73"/>
  <c r="AW70" i="73" s="1"/>
  <c r="BS29" i="73"/>
  <c r="O68" i="73"/>
  <c r="CL52" i="73"/>
  <c r="CL54" i="73" s="1"/>
  <c r="AI52" i="73"/>
  <c r="AI54" i="73" s="1"/>
  <c r="S68" i="73"/>
  <c r="CB56" i="73"/>
  <c r="AP68" i="73"/>
  <c r="M51" i="73"/>
  <c r="M53" i="73" s="1"/>
  <c r="BE56" i="73"/>
  <c r="AI56" i="73"/>
  <c r="N56" i="73"/>
  <c r="BV56" i="73"/>
  <c r="J56" i="73"/>
  <c r="R56" i="73"/>
  <c r="AM56" i="73"/>
  <c r="Z68" i="73"/>
  <c r="M56" i="73"/>
  <c r="BA56" i="73"/>
  <c r="BE29" i="73"/>
  <c r="I29" i="73"/>
  <c r="K29" i="73"/>
  <c r="AV56" i="73"/>
  <c r="CL56" i="73"/>
  <c r="BQ56" i="73"/>
  <c r="AU56" i="73"/>
  <c r="Z56" i="73"/>
  <c r="CE29" i="73"/>
  <c r="BC56" i="73"/>
  <c r="S29" i="73"/>
  <c r="AN29" i="73"/>
  <c r="AB56" i="73"/>
  <c r="AW52" i="73"/>
  <c r="AW54" i="73" s="1"/>
  <c r="M68" i="73"/>
  <c r="M69" i="73" s="1"/>
  <c r="BD56" i="73"/>
  <c r="AX56" i="73"/>
  <c r="CM55" i="73"/>
  <c r="AU52" i="73"/>
  <c r="AU54" i="73" s="1"/>
  <c r="AV68" i="73"/>
  <c r="BF51" i="73"/>
  <c r="BF53" i="73" s="1"/>
  <c r="AS29" i="73"/>
  <c r="AP29" i="73"/>
  <c r="U29" i="73"/>
  <c r="BJ56" i="73"/>
  <c r="BU56" i="73"/>
  <c r="AY56" i="73"/>
  <c r="BN68" i="73"/>
  <c r="BB51" i="73"/>
  <c r="BB53" i="73" s="1"/>
  <c r="BW68" i="73"/>
  <c r="BK68" i="73"/>
  <c r="AY51" i="73"/>
  <c r="AY53" i="73" s="1"/>
  <c r="W68" i="73"/>
  <c r="W69" i="73" s="1"/>
  <c r="W70" i="73" s="1"/>
  <c r="K68" i="73"/>
  <c r="AY29" i="73"/>
  <c r="AY52" i="73"/>
  <c r="AY54" i="73" s="1"/>
  <c r="AY68" i="73"/>
  <c r="Y29" i="73"/>
  <c r="Q51" i="73"/>
  <c r="Q53" i="73" s="1"/>
  <c r="BK29" i="73"/>
  <c r="AQ68" i="73"/>
  <c r="R51" i="73"/>
  <c r="R53" i="73" s="1"/>
  <c r="N68" i="73"/>
  <c r="CG56" i="73"/>
  <c r="BK56" i="73"/>
  <c r="AP56" i="73"/>
  <c r="U56" i="73"/>
  <c r="BW56" i="73"/>
  <c r="BG56" i="73"/>
  <c r="AQ56" i="73"/>
  <c r="AI69" i="73"/>
  <c r="S52" i="73"/>
  <c r="S54" i="73" s="1"/>
  <c r="K56" i="73"/>
  <c r="G29" i="73"/>
  <c r="BL56" i="73"/>
  <c r="AF56" i="73"/>
  <c r="BZ51" i="73"/>
  <c r="BZ53" i="73" s="1"/>
  <c r="AC29" i="73"/>
  <c r="AD29" i="73"/>
  <c r="CA51" i="73"/>
  <c r="CA53" i="73" s="1"/>
  <c r="Q68" i="73"/>
  <c r="Q69" i="73" s="1"/>
  <c r="BZ56" i="73"/>
  <c r="BZ69" i="73" s="1"/>
  <c r="CK56" i="73"/>
  <c r="AT56" i="73"/>
  <c r="Y56" i="73"/>
  <c r="Y69" i="73" s="1"/>
  <c r="Y70" i="73" s="1"/>
  <c r="CJ29" i="73"/>
  <c r="BP29" i="73"/>
  <c r="AJ29" i="73"/>
  <c r="X29" i="73"/>
  <c r="X56" i="73"/>
  <c r="BN56" i="73"/>
  <c r="K51" i="73"/>
  <c r="K53" i="73" s="1"/>
  <c r="BN51" i="73"/>
  <c r="BN53" i="73" s="1"/>
  <c r="BG51" i="73"/>
  <c r="BG53" i="73" s="1"/>
  <c r="BL68" i="73"/>
  <c r="BF56" i="73"/>
  <c r="AK56" i="73"/>
  <c r="CH56" i="73"/>
  <c r="CA56" i="73"/>
  <c r="BS68" i="73"/>
  <c r="BP56" i="73"/>
  <c r="BL29" i="73"/>
  <c r="CK29" i="73"/>
  <c r="CC29" i="73"/>
  <c r="BU29" i="73"/>
  <c r="BM29" i="73"/>
  <c r="CI29" i="73"/>
  <c r="BS56" i="73"/>
  <c r="AP52" i="73"/>
  <c r="AP54" i="73" s="1"/>
  <c r="CM50" i="73"/>
  <c r="BC68" i="73"/>
  <c r="CL68" i="73"/>
  <c r="CL69" i="73" s="1"/>
  <c r="BV68" i="73"/>
  <c r="BF68" i="73"/>
  <c r="AT51" i="73"/>
  <c r="AT53" i="73" s="1"/>
  <c r="AL51" i="73"/>
  <c r="AL53" i="73" s="1"/>
  <c r="Z52" i="73"/>
  <c r="Z54" i="73" s="1"/>
  <c r="J52" i="73"/>
  <c r="J54" i="73" s="1"/>
  <c r="CA68" i="73"/>
  <c r="BG68" i="73"/>
  <c r="AU51" i="73"/>
  <c r="AU53" i="73" s="1"/>
  <c r="AE52" i="73"/>
  <c r="AE54" i="73" s="1"/>
  <c r="O51" i="73"/>
  <c r="O53" i="73" s="1"/>
  <c r="N29" i="73"/>
  <c r="BK51" i="73"/>
  <c r="BK53" i="73" s="1"/>
  <c r="BB52" i="73"/>
  <c r="BB54" i="73" s="1"/>
  <c r="BB71" i="73" s="1"/>
  <c r="AI51" i="73"/>
  <c r="AI53" i="73" s="1"/>
  <c r="U69" i="73"/>
  <c r="AK69" i="73"/>
  <c r="AK70" i="73" s="1"/>
  <c r="CM66" i="73"/>
  <c r="BD68" i="73"/>
  <c r="BD69" i="73" s="1"/>
  <c r="BD52" i="73"/>
  <c r="BD54" i="73" s="1"/>
  <c r="BD51" i="73"/>
  <c r="BD53" i="73" s="1"/>
  <c r="BE69" i="73"/>
  <c r="AO69" i="73"/>
  <c r="BX52" i="73"/>
  <c r="BX54" i="73" s="1"/>
  <c r="AN68" i="73"/>
  <c r="AN69" i="73" s="1"/>
  <c r="AN52" i="73"/>
  <c r="AN54" i="73" s="1"/>
  <c r="AN51" i="73"/>
  <c r="AN53" i="73" s="1"/>
  <c r="I56" i="73"/>
  <c r="CB29" i="73"/>
  <c r="AZ29" i="73"/>
  <c r="P29" i="73"/>
  <c r="S69" i="73"/>
  <c r="Z69" i="73"/>
  <c r="BS52" i="73"/>
  <c r="BS54" i="73" s="1"/>
  <c r="BZ52" i="73"/>
  <c r="BZ54" i="73" s="1"/>
  <c r="CM42" i="73"/>
  <c r="AM52" i="73"/>
  <c r="AM54" i="73" s="1"/>
  <c r="BG29" i="73"/>
  <c r="AL29" i="73"/>
  <c r="CC68" i="73"/>
  <c r="CC69" i="73" s="1"/>
  <c r="CC51" i="73"/>
  <c r="CC53" i="73" s="1"/>
  <c r="CC52" i="73"/>
  <c r="CC54" i="73" s="1"/>
  <c r="AA68" i="73"/>
  <c r="AA69" i="73" s="1"/>
  <c r="AA52" i="73"/>
  <c r="AA54" i="73" s="1"/>
  <c r="AA51" i="73"/>
  <c r="AA53" i="73" s="1"/>
  <c r="CL29" i="73"/>
  <c r="AK29" i="73"/>
  <c r="CJ68" i="73"/>
  <c r="CJ69" i="73" s="1"/>
  <c r="CJ52" i="73"/>
  <c r="CJ54" i="73" s="1"/>
  <c r="CJ51" i="73"/>
  <c r="CJ53" i="73" s="1"/>
  <c r="BP68" i="73"/>
  <c r="BP52" i="73"/>
  <c r="BP54" i="73" s="1"/>
  <c r="BP51" i="73"/>
  <c r="BP53" i="73" s="1"/>
  <c r="AJ68" i="73"/>
  <c r="AJ52" i="73"/>
  <c r="AJ54" i="73" s="1"/>
  <c r="AJ51" i="73"/>
  <c r="AJ53" i="73" s="1"/>
  <c r="P68" i="73"/>
  <c r="P52" i="73"/>
  <c r="P54" i="73" s="1"/>
  <c r="P51" i="73"/>
  <c r="P53" i="73" s="1"/>
  <c r="V68" i="73"/>
  <c r="V69" i="73" s="1"/>
  <c r="V52" i="73"/>
  <c r="V54" i="73" s="1"/>
  <c r="V51" i="73"/>
  <c r="V53" i="73" s="1"/>
  <c r="AH68" i="73"/>
  <c r="AH52" i="73"/>
  <c r="AH54" i="73" s="1"/>
  <c r="AH51" i="73"/>
  <c r="AH53" i="73" s="1"/>
  <c r="BV51" i="73"/>
  <c r="BV53" i="73" s="1"/>
  <c r="AL68" i="73"/>
  <c r="AL69" i="73" s="1"/>
  <c r="J51" i="73"/>
  <c r="J53" i="73" s="1"/>
  <c r="G51" i="73"/>
  <c r="CH68" i="73"/>
  <c r="R52" i="73"/>
  <c r="R54" i="73" s="1"/>
  <c r="BB29" i="73"/>
  <c r="AG29" i="73"/>
  <c r="BD29" i="73"/>
  <c r="CG29" i="73"/>
  <c r="BQ29" i="73"/>
  <c r="BI29" i="73"/>
  <c r="BA52" i="73"/>
  <c r="BA54" i="73" s="1"/>
  <c r="AK52" i="73"/>
  <c r="AK54" i="73" s="1"/>
  <c r="M52" i="73"/>
  <c r="M54" i="73" s="1"/>
  <c r="CI52" i="73"/>
  <c r="CI54" i="73" s="1"/>
  <c r="AT52" i="73"/>
  <c r="AT54" i="73" s="1"/>
  <c r="AV51" i="73"/>
  <c r="AV53" i="73" s="1"/>
  <c r="AD51" i="73"/>
  <c r="AD53" i="73" s="1"/>
  <c r="CE68" i="73"/>
  <c r="CE52" i="73"/>
  <c r="CE54" i="73" s="1"/>
  <c r="CE51" i="73"/>
  <c r="CE53" i="73" s="1"/>
  <c r="L68" i="73"/>
  <c r="L52" i="73"/>
  <c r="L54" i="73" s="1"/>
  <c r="L51" i="73"/>
  <c r="L53" i="73" s="1"/>
  <c r="CD29" i="73"/>
  <c r="BA29" i="73"/>
  <c r="AE29" i="73"/>
  <c r="J29" i="73"/>
  <c r="AM29" i="73"/>
  <c r="W29" i="73"/>
  <c r="CF29" i="73"/>
  <c r="BT29" i="73"/>
  <c r="BH29" i="73"/>
  <c r="AR29" i="73"/>
  <c r="AF29" i="73"/>
  <c r="T29" i="73"/>
  <c r="H29" i="73"/>
  <c r="BL51" i="73"/>
  <c r="BL53" i="73" s="1"/>
  <c r="AT29" i="73"/>
  <c r="BW52" i="73"/>
  <c r="BW54" i="73" s="1"/>
  <c r="AE51" i="73"/>
  <c r="AE53" i="73" s="1"/>
  <c r="W52" i="73"/>
  <c r="W54" i="73" s="1"/>
  <c r="S51" i="73"/>
  <c r="S53" i="73" s="1"/>
  <c r="BZ29" i="73"/>
  <c r="R29" i="73"/>
  <c r="BV52" i="73"/>
  <c r="BV54" i="73" s="1"/>
  <c r="AT68" i="73"/>
  <c r="Z51" i="73"/>
  <c r="Z53" i="73" s="1"/>
  <c r="AQ51" i="73"/>
  <c r="AQ53" i="73" s="1"/>
  <c r="BJ51" i="73"/>
  <c r="BJ53" i="73" s="1"/>
  <c r="AX52" i="73"/>
  <c r="AX54" i="73" s="1"/>
  <c r="N52" i="73"/>
  <c r="N54" i="73" s="1"/>
  <c r="BC52" i="73"/>
  <c r="BC54" i="73" s="1"/>
  <c r="CM49" i="73"/>
  <c r="AV69" i="73"/>
  <c r="AD68" i="73"/>
  <c r="BN29" i="73"/>
  <c r="AX29" i="73"/>
  <c r="BJ68" i="73"/>
  <c r="CM47" i="73"/>
  <c r="CH52" i="73"/>
  <c r="CH54" i="73" s="1"/>
  <c r="AB52" i="73"/>
  <c r="AB54" i="73" s="1"/>
  <c r="AB68" i="73"/>
  <c r="AB51" i="73"/>
  <c r="AB53" i="73" s="1"/>
  <c r="CM34" i="73"/>
  <c r="CK51" i="73"/>
  <c r="CK53" i="73" s="1"/>
  <c r="CK52" i="73"/>
  <c r="CK54" i="73" s="1"/>
  <c r="CK68" i="73"/>
  <c r="CK69" i="73" s="1"/>
  <c r="BU51" i="73"/>
  <c r="BU53" i="73" s="1"/>
  <c r="BU68" i="73"/>
  <c r="BU52" i="73"/>
  <c r="BU54" i="73" s="1"/>
  <c r="BM68" i="73"/>
  <c r="BM69" i="73" s="1"/>
  <c r="BM51" i="73"/>
  <c r="BM53" i="73" s="1"/>
  <c r="BM52" i="73"/>
  <c r="BM54" i="73" s="1"/>
  <c r="CI51" i="73"/>
  <c r="CI53" i="73" s="1"/>
  <c r="BX68" i="73"/>
  <c r="CH29" i="73"/>
  <c r="BF29" i="73"/>
  <c r="O29" i="73"/>
  <c r="BO51" i="73"/>
  <c r="BO53" i="73" s="1"/>
  <c r="BO52" i="73"/>
  <c r="BO54" i="73" s="1"/>
  <c r="CB68" i="73"/>
  <c r="CB52" i="73"/>
  <c r="CB54" i="73" s="1"/>
  <c r="CB51" i="73"/>
  <c r="CB53" i="73" s="1"/>
  <c r="AZ68" i="73"/>
  <c r="AZ69" i="73" s="1"/>
  <c r="AZ52" i="73"/>
  <c r="AZ54" i="73" s="1"/>
  <c r="AZ51" i="73"/>
  <c r="AZ53" i="73" s="1"/>
  <c r="X68" i="73"/>
  <c r="X52" i="73"/>
  <c r="X54" i="73" s="1"/>
  <c r="X51" i="73"/>
  <c r="X53" i="73" s="1"/>
  <c r="BE71" i="73"/>
  <c r="AX51" i="73"/>
  <c r="AX53" i="73" s="1"/>
  <c r="N51" i="73"/>
  <c r="N53" i="73" s="1"/>
  <c r="BC51" i="73"/>
  <c r="BC53" i="73" s="1"/>
  <c r="CM63" i="73"/>
  <c r="CD51" i="73"/>
  <c r="CD53" i="73" s="1"/>
  <c r="BW29" i="73"/>
  <c r="Q29" i="73"/>
  <c r="BC29" i="73"/>
  <c r="BX29" i="73"/>
  <c r="L29" i="73"/>
  <c r="CM48" i="73"/>
  <c r="CG68" i="73"/>
  <c r="CG69" i="73" s="1"/>
  <c r="CG51" i="73"/>
  <c r="CG53" i="73" s="1"/>
  <c r="CG52" i="73"/>
  <c r="CG54" i="73" s="1"/>
  <c r="BY68" i="73"/>
  <c r="BY51" i="73"/>
  <c r="BY53" i="73" s="1"/>
  <c r="BY52" i="73"/>
  <c r="BY54" i="73" s="1"/>
  <c r="BQ68" i="73"/>
  <c r="BQ51" i="73"/>
  <c r="BQ53" i="73" s="1"/>
  <c r="BQ52" i="73"/>
  <c r="BQ54" i="73" s="1"/>
  <c r="BI68" i="73"/>
  <c r="BI51" i="73"/>
  <c r="BI53" i="73" s="1"/>
  <c r="BI52" i="73"/>
  <c r="BI54" i="73" s="1"/>
  <c r="AI29" i="73"/>
  <c r="BI56" i="73"/>
  <c r="BO68" i="73"/>
  <c r="BR68" i="73"/>
  <c r="BR52" i="73"/>
  <c r="BR54" i="73" s="1"/>
  <c r="BR51" i="73"/>
  <c r="BR53" i="73" s="1"/>
  <c r="BV29" i="73"/>
  <c r="AU29" i="73"/>
  <c r="Z29" i="73"/>
  <c r="CF68" i="73"/>
  <c r="CF69" i="73" s="1"/>
  <c r="CF52" i="73"/>
  <c r="CF54" i="73" s="1"/>
  <c r="CF51" i="73"/>
  <c r="CF53" i="73" s="1"/>
  <c r="BT68" i="73"/>
  <c r="BT69" i="73" s="1"/>
  <c r="BT52" i="73"/>
  <c r="BT54" i="73" s="1"/>
  <c r="BT51" i="73"/>
  <c r="BT53" i="73" s="1"/>
  <c r="BH52" i="73"/>
  <c r="BH54" i="73" s="1"/>
  <c r="BH68" i="73"/>
  <c r="BH51" i="73"/>
  <c r="BH53" i="73" s="1"/>
  <c r="AR68" i="73"/>
  <c r="AR52" i="73"/>
  <c r="AR54" i="73" s="1"/>
  <c r="AR51" i="73"/>
  <c r="AR53" i="73" s="1"/>
  <c r="AF68" i="73"/>
  <c r="AF69" i="73" s="1"/>
  <c r="AF52" i="73"/>
  <c r="AF54" i="73" s="1"/>
  <c r="AF51" i="73"/>
  <c r="AF53" i="73" s="1"/>
  <c r="T68" i="73"/>
  <c r="T69" i="73" s="1"/>
  <c r="T52" i="73"/>
  <c r="T54" i="73" s="1"/>
  <c r="T51" i="73"/>
  <c r="T53" i="73" s="1"/>
  <c r="H68" i="73"/>
  <c r="H52" i="73"/>
  <c r="H54" i="73" s="1"/>
  <c r="H51" i="73"/>
  <c r="H53" i="73" s="1"/>
  <c r="CA29" i="73"/>
  <c r="BJ29" i="73"/>
  <c r="G68" i="73"/>
  <c r="G69" i="73" s="1"/>
  <c r="CM32" i="72"/>
  <c r="CM26" i="72"/>
  <c r="CM48" i="72"/>
  <c r="CM46" i="72"/>
  <c r="CM49" i="72"/>
  <c r="BX69" i="73" l="1"/>
  <c r="AG70" i="73"/>
  <c r="AG71" i="73"/>
  <c r="AX69" i="73"/>
  <c r="P69" i="73"/>
  <c r="AH69" i="73"/>
  <c r="AC69" i="73"/>
  <c r="BJ69" i="73"/>
  <c r="BJ70" i="73" s="1"/>
  <c r="BH69" i="73"/>
  <c r="BH70" i="73" s="1"/>
  <c r="BR69" i="73"/>
  <c r="AI71" i="73"/>
  <c r="BV69" i="73"/>
  <c r="J69" i="73"/>
  <c r="AO70" i="73"/>
  <c r="CL70" i="73"/>
  <c r="BE70" i="73"/>
  <c r="BL69" i="73"/>
  <c r="BL70" i="73" s="1"/>
  <c r="AB69" i="73"/>
  <c r="BB70" i="73"/>
  <c r="AK71" i="73"/>
  <c r="E3" i="81"/>
  <c r="X69" i="73"/>
  <c r="X70" i="73" s="1"/>
  <c r="H69" i="73"/>
  <c r="H71" i="73" s="1"/>
  <c r="AD69" i="73"/>
  <c r="AD70" i="73" s="1"/>
  <c r="BZ71" i="73"/>
  <c r="L69" i="73"/>
  <c r="L71" i="73" s="1"/>
  <c r="BY69" i="73"/>
  <c r="CB69" i="73"/>
  <c r="CB70" i="73" s="1"/>
  <c r="AJ69" i="73"/>
  <c r="AJ71" i="73" s="1"/>
  <c r="BF69" i="73"/>
  <c r="BF70" i="73" s="1"/>
  <c r="AE71" i="73"/>
  <c r="CI70" i="73"/>
  <c r="W71" i="73"/>
  <c r="AU69" i="73"/>
  <c r="AU70" i="73" s="1"/>
  <c r="CI71" i="73"/>
  <c r="AQ69" i="73"/>
  <c r="AQ71" i="73" s="1"/>
  <c r="R69" i="73"/>
  <c r="R70" i="73" s="1"/>
  <c r="AP69" i="73"/>
  <c r="AP70" i="73" s="1"/>
  <c r="M70" i="73"/>
  <c r="BO69" i="73"/>
  <c r="BO71" i="73" s="1"/>
  <c r="CA69" i="73"/>
  <c r="CA70" i="73" s="1"/>
  <c r="T70" i="73"/>
  <c r="BY71" i="73"/>
  <c r="BX70" i="73"/>
  <c r="AV70" i="73"/>
  <c r="AL70" i="73"/>
  <c r="AC70" i="73"/>
  <c r="BA69" i="73"/>
  <c r="BA70" i="73" s="1"/>
  <c r="AM69" i="73"/>
  <c r="AM70" i="73" s="1"/>
  <c r="AW71" i="73"/>
  <c r="BW69" i="73"/>
  <c r="BW70" i="73" s="1"/>
  <c r="O69" i="73"/>
  <c r="O70" i="73" s="1"/>
  <c r="BT70" i="73"/>
  <c r="CD70" i="73"/>
  <c r="Q70" i="73"/>
  <c r="K69" i="73"/>
  <c r="K71" i="73" s="1"/>
  <c r="BK69" i="73"/>
  <c r="BK70" i="73" s="1"/>
  <c r="AO71" i="73"/>
  <c r="BR70" i="73"/>
  <c r="BM71" i="73"/>
  <c r="BU69" i="73"/>
  <c r="BU71" i="73" s="1"/>
  <c r="AE70" i="73"/>
  <c r="CC71" i="73"/>
  <c r="AR69" i="73"/>
  <c r="AR71" i="73" s="1"/>
  <c r="BP69" i="73"/>
  <c r="BP70" i="73" s="1"/>
  <c r="BC69" i="73"/>
  <c r="BC70" i="73" s="1"/>
  <c r="N69" i="73"/>
  <c r="N70" i="73" s="1"/>
  <c r="AS69" i="73"/>
  <c r="BQ69" i="73"/>
  <c r="BQ71" i="73" s="1"/>
  <c r="AT69" i="73"/>
  <c r="AT70" i="73" s="1"/>
  <c r="CE69" i="73"/>
  <c r="CE70" i="73" s="1"/>
  <c r="CH69" i="73"/>
  <c r="CH70" i="73" s="1"/>
  <c r="U70" i="73"/>
  <c r="BS69" i="73"/>
  <c r="BS70" i="73" s="1"/>
  <c r="J71" i="73"/>
  <c r="AY69" i="73"/>
  <c r="AY70" i="73" s="1"/>
  <c r="BH71" i="73"/>
  <c r="CG70" i="73"/>
  <c r="CM56" i="73"/>
  <c r="BG69" i="73"/>
  <c r="BG70" i="73" s="1"/>
  <c r="U71" i="73"/>
  <c r="J70" i="73"/>
  <c r="AX71" i="73"/>
  <c r="S70" i="73"/>
  <c r="AF71" i="73"/>
  <c r="CF71" i="73"/>
  <c r="BV71" i="73"/>
  <c r="M71" i="73"/>
  <c r="BV70" i="73"/>
  <c r="BZ70" i="73"/>
  <c r="P70" i="73"/>
  <c r="Q71" i="73"/>
  <c r="AI70" i="73"/>
  <c r="BI69" i="73"/>
  <c r="BI70" i="73" s="1"/>
  <c r="AX70" i="73"/>
  <c r="AZ70" i="73"/>
  <c r="AB71" i="73"/>
  <c r="AL71" i="73"/>
  <c r="AH71" i="73"/>
  <c r="V70" i="73"/>
  <c r="CJ70" i="73"/>
  <c r="AA71" i="73"/>
  <c r="BD70" i="73"/>
  <c r="BN69" i="73"/>
  <c r="BY70" i="73"/>
  <c r="BM70" i="73"/>
  <c r="CK70" i="73"/>
  <c r="CM68" i="73"/>
  <c r="AH70" i="73"/>
  <c r="AA70" i="73"/>
  <c r="CC70" i="73"/>
  <c r="Z70" i="73"/>
  <c r="BX71" i="73"/>
  <c r="I69" i="73"/>
  <c r="Z71" i="73"/>
  <c r="G71" i="73"/>
  <c r="CM54" i="73"/>
  <c r="CM52" i="73"/>
  <c r="T71" i="73"/>
  <c r="AF70" i="73"/>
  <c r="BT71" i="73"/>
  <c r="CF70" i="73"/>
  <c r="CG71" i="73"/>
  <c r="AZ71" i="73"/>
  <c r="CK71" i="73"/>
  <c r="AB70" i="73"/>
  <c r="AU71" i="73"/>
  <c r="G53" i="73"/>
  <c r="CM53" i="73" s="1"/>
  <c r="CM51" i="73"/>
  <c r="P71" i="73"/>
  <c r="AN71" i="73"/>
  <c r="AC71" i="73"/>
  <c r="BR71" i="73"/>
  <c r="V71" i="73"/>
  <c r="CJ71" i="73"/>
  <c r="CL71" i="73"/>
  <c r="AN70" i="73"/>
  <c r="BD71" i="73"/>
  <c r="Y71" i="73"/>
  <c r="AV71" i="73"/>
  <c r="S71" i="73"/>
  <c r="AJ70" i="73" l="1"/>
  <c r="G70" i="73"/>
  <c r="H70" i="73"/>
  <c r="BL71" i="73"/>
  <c r="BJ71" i="73"/>
  <c r="BP71" i="73"/>
  <c r="BF71" i="73"/>
  <c r="AP71" i="73"/>
  <c r="X71" i="73"/>
  <c r="L70" i="73"/>
  <c r="R71" i="73"/>
  <c r="BO70" i="73"/>
  <c r="O71" i="73"/>
  <c r="BQ70" i="73"/>
  <c r="CA71" i="73"/>
  <c r="CB71" i="73"/>
  <c r="AD71" i="73"/>
  <c r="AY71" i="73"/>
  <c r="CE71" i="73"/>
  <c r="BK71" i="73"/>
  <c r="AQ70" i="73"/>
  <c r="BA71" i="73"/>
  <c r="N71" i="73"/>
  <c r="K70" i="73"/>
  <c r="AM71" i="73"/>
  <c r="BG71" i="73"/>
  <c r="AT71" i="73"/>
  <c r="BW71" i="73"/>
  <c r="BC71" i="73"/>
  <c r="BU70" i="73"/>
  <c r="AS71" i="73"/>
  <c r="AS70" i="73"/>
  <c r="AR70" i="73"/>
  <c r="CH71" i="73"/>
  <c r="BS71" i="73"/>
  <c r="CM69" i="73"/>
  <c r="BI71" i="73"/>
  <c r="BN70" i="73"/>
  <c r="BN71" i="73"/>
  <c r="I70" i="73"/>
  <c r="I71" i="73"/>
  <c r="CM70" i="73" l="1"/>
  <c r="C2" i="75" s="1"/>
  <c r="CM71" i="73"/>
  <c r="F3" i="19" l="1"/>
  <c r="C3" i="75"/>
  <c r="C26" i="75" s="1"/>
  <c r="C25" i="75" s="1"/>
  <c r="C33" i="75" s="1"/>
  <c r="C16" i="75"/>
  <c r="C15" i="75" s="1"/>
  <c r="C23" i="75" s="1"/>
  <c r="C6" i="75"/>
  <c r="C5" i="75" s="1"/>
  <c r="C13" i="75" s="1"/>
  <c r="E21" i="19"/>
  <c r="L19" i="16" l="1"/>
  <c r="L18" i="16" s="1"/>
  <c r="L16" i="16"/>
  <c r="L14" i="16"/>
  <c r="L13" i="16"/>
  <c r="L11" i="16"/>
  <c r="L10" i="16"/>
  <c r="L9" i="16"/>
  <c r="L8" i="16"/>
  <c r="L7" i="16"/>
  <c r="L6" i="16"/>
  <c r="D10" i="70" l="1"/>
  <c r="L4" i="16" l="1"/>
  <c r="I1" i="16"/>
  <c r="E1" i="16"/>
  <c r="A1" i="16"/>
  <c r="G1" i="17"/>
  <c r="L8" i="17"/>
  <c r="D25" i="13" s="1"/>
  <c r="D30" i="13"/>
  <c r="H27" i="69" l="1"/>
  <c r="I27" i="69" s="1"/>
  <c r="J27" i="69" s="1"/>
  <c r="K27" i="69" s="1"/>
  <c r="L27" i="69" s="1"/>
  <c r="M27" i="69" s="1"/>
  <c r="N27" i="69" s="1"/>
  <c r="O27" i="69" s="1"/>
  <c r="P27" i="69" s="1"/>
  <c r="Q27" i="69" s="1"/>
  <c r="R27" i="69" s="1"/>
  <c r="S27" i="69" s="1"/>
  <c r="T27" i="69" s="1"/>
  <c r="U27" i="69" s="1"/>
  <c r="V27" i="69" s="1"/>
  <c r="W27" i="69" s="1"/>
  <c r="X27" i="69" s="1"/>
  <c r="Y27" i="69" s="1"/>
  <c r="Z27" i="69" s="1"/>
  <c r="AA27" i="69" s="1"/>
  <c r="H27" i="68"/>
  <c r="I27" i="68" s="1"/>
  <c r="J27" i="68" s="1"/>
  <c r="K27" i="68" s="1"/>
  <c r="L27" i="68" s="1"/>
  <c r="M27" i="68" s="1"/>
  <c r="N27" i="68" s="1"/>
  <c r="O27" i="68" s="1"/>
  <c r="P27" i="68" s="1"/>
  <c r="Q27" i="68" s="1"/>
  <c r="R27" i="68" s="1"/>
  <c r="S27" i="68" s="1"/>
  <c r="T27" i="68" s="1"/>
  <c r="U27" i="68" s="1"/>
  <c r="V27" i="68" s="1"/>
  <c r="W27" i="68" s="1"/>
  <c r="X27" i="68" s="1"/>
  <c r="Y27" i="68" s="1"/>
  <c r="Z27" i="68" s="1"/>
  <c r="AA27" i="68" s="1"/>
  <c r="A13" i="67"/>
  <c r="A12" i="67"/>
  <c r="A8" i="67"/>
  <c r="CM56" i="50" l="1"/>
  <c r="CM57" i="50"/>
  <c r="CM11" i="50"/>
  <c r="CM10" i="50"/>
  <c r="CM9" i="50"/>
  <c r="CM8" i="50"/>
  <c r="CM7" i="50"/>
  <c r="D41" i="16" l="1"/>
  <c r="D20" i="16" s="1"/>
  <c r="D35" i="16" l="1"/>
  <c r="B23" i="16"/>
  <c r="O49" i="50"/>
  <c r="G49" i="50"/>
  <c r="G46" i="50"/>
  <c r="CU41" i="50"/>
  <c r="L55" i="50" s="1"/>
  <c r="CT41" i="50"/>
  <c r="K55" i="50" s="1"/>
  <c r="CS41" i="50"/>
  <c r="J55" i="50" s="1"/>
  <c r="CR41" i="50"/>
  <c r="CQ41" i="50"/>
  <c r="CP41" i="50"/>
  <c r="CO41" i="50"/>
  <c r="CW41" i="50"/>
  <c r="N55" i="50" s="1"/>
  <c r="CV41" i="50"/>
  <c r="M55" i="50" s="1"/>
  <c r="R15" i="50"/>
  <c r="R49" i="50" s="1"/>
  <c r="Q15" i="50"/>
  <c r="Q49" i="50" s="1"/>
  <c r="P15" i="50"/>
  <c r="P49" i="50" s="1"/>
  <c r="O15" i="50"/>
  <c r="N15" i="50"/>
  <c r="N49" i="50" s="1"/>
  <c r="M15" i="50"/>
  <c r="M49" i="50" s="1"/>
  <c r="L15" i="50"/>
  <c r="L49" i="50" s="1"/>
  <c r="K15" i="50"/>
  <c r="K49" i="50" s="1"/>
  <c r="J15" i="50"/>
  <c r="J49" i="50" s="1"/>
  <c r="I15" i="50"/>
  <c r="I49" i="50" s="1"/>
  <c r="H15" i="50"/>
  <c r="H49" i="50" s="1"/>
  <c r="G15" i="50"/>
  <c r="R14" i="50"/>
  <c r="R48" i="50" s="1"/>
  <c r="Q14" i="50"/>
  <c r="Q48" i="50" s="1"/>
  <c r="P14" i="50"/>
  <c r="P48" i="50" s="1"/>
  <c r="O14" i="50"/>
  <c r="O48" i="50" s="1"/>
  <c r="N14" i="50"/>
  <c r="N48" i="50" s="1"/>
  <c r="M14" i="50"/>
  <c r="M48" i="50" s="1"/>
  <c r="L14" i="50"/>
  <c r="L48" i="50" s="1"/>
  <c r="K14" i="50"/>
  <c r="K48" i="50" s="1"/>
  <c r="J14" i="50"/>
  <c r="J48" i="50" s="1"/>
  <c r="I14" i="50"/>
  <c r="I48" i="50" s="1"/>
  <c r="H14" i="50"/>
  <c r="H48" i="50" s="1"/>
  <c r="G14" i="50"/>
  <c r="G48" i="50" s="1"/>
  <c r="R12" i="50"/>
  <c r="Q12" i="50"/>
  <c r="P12" i="50"/>
  <c r="O12" i="50"/>
  <c r="O46" i="50" s="1"/>
  <c r="N12" i="50"/>
  <c r="M12" i="50"/>
  <c r="L12" i="50"/>
  <c r="K12" i="50"/>
  <c r="K46" i="50" s="1"/>
  <c r="J12" i="50"/>
  <c r="I12" i="50"/>
  <c r="H12" i="50"/>
  <c r="G12" i="50"/>
  <c r="CM6" i="50"/>
  <c r="CM5" i="50"/>
  <c r="CM4" i="50"/>
  <c r="CM3" i="50"/>
  <c r="CM2" i="50"/>
  <c r="H12" i="19"/>
  <c r="H13" i="19"/>
  <c r="H14" i="19"/>
  <c r="H15" i="19"/>
  <c r="H16" i="19"/>
  <c r="H17" i="19"/>
  <c r="H18" i="19"/>
  <c r="H11" i="19"/>
  <c r="G15" i="19"/>
  <c r="G13" i="19"/>
  <c r="G12" i="19"/>
  <c r="G11" i="19"/>
  <c r="G7" i="19"/>
  <c r="G8" i="19"/>
  <c r="G9" i="19"/>
  <c r="G10" i="19"/>
  <c r="G5" i="19"/>
  <c r="C6" i="19"/>
  <c r="F5" i="19"/>
  <c r="F6" i="19"/>
  <c r="F7" i="19"/>
  <c r="F8" i="19"/>
  <c r="F9" i="19"/>
  <c r="F11" i="19"/>
  <c r="F12" i="19"/>
  <c r="F13" i="19"/>
  <c r="J13" i="19" s="1"/>
  <c r="F14" i="19"/>
  <c r="J14" i="19" s="1"/>
  <c r="F15" i="19"/>
  <c r="J15" i="19" s="1"/>
  <c r="F16" i="19"/>
  <c r="J16" i="19" s="1"/>
  <c r="F17" i="19"/>
  <c r="J17" i="19" s="1"/>
  <c r="F18" i="19"/>
  <c r="J18" i="19" s="1"/>
  <c r="H35" i="16"/>
  <c r="H5" i="16" s="1"/>
  <c r="CM73" i="50"/>
  <c r="CM74" i="50"/>
  <c r="CM72" i="50"/>
  <c r="I15" i="52"/>
  <c r="J15" i="52"/>
  <c r="K15" i="52"/>
  <c r="H15" i="52"/>
  <c r="J16" i="52" l="1"/>
  <c r="CQ4" i="83"/>
  <c r="CP4" i="50"/>
  <c r="CP4" i="83"/>
  <c r="K16" i="52"/>
  <c r="CR4" i="83"/>
  <c r="I16" i="52"/>
  <c r="R10" i="17"/>
  <c r="U11" i="17"/>
  <c r="I11" i="17"/>
  <c r="H16" i="52"/>
  <c r="CO4" i="83"/>
  <c r="CQ4" i="50"/>
  <c r="H19" i="16"/>
  <c r="H14" i="16"/>
  <c r="H9" i="16"/>
  <c r="H17" i="16"/>
  <c r="H13" i="16"/>
  <c r="H7" i="16"/>
  <c r="H10" i="16"/>
  <c r="H16" i="16"/>
  <c r="H11" i="16"/>
  <c r="H8" i="16"/>
  <c r="H15" i="16"/>
  <c r="H6" i="16"/>
  <c r="L10" i="17"/>
  <c r="H46" i="50"/>
  <c r="L46" i="50"/>
  <c r="P46" i="50"/>
  <c r="CO4" i="50"/>
  <c r="O10" i="17"/>
  <c r="D46" i="13" s="1"/>
  <c r="D44" i="13" s="1"/>
  <c r="I46" i="50"/>
  <c r="M46" i="50"/>
  <c r="Q46" i="50"/>
  <c r="CR4" i="50"/>
  <c r="L11" i="17"/>
  <c r="J46" i="50"/>
  <c r="N46" i="50"/>
  <c r="R46" i="50"/>
  <c r="G6" i="19"/>
  <c r="O11" i="17" s="1"/>
  <c r="D51" i="13" s="1"/>
  <c r="D5" i="16"/>
  <c r="D65" i="13" l="1"/>
  <c r="D63" i="13" s="1"/>
  <c r="R12" i="17"/>
  <c r="CP5" i="50"/>
  <c r="CP5" i="83"/>
  <c r="CR5" i="83"/>
  <c r="CR5" i="50"/>
  <c r="BN50" i="83"/>
  <c r="BN52" i="83" s="1"/>
  <c r="BN69" i="83" s="1"/>
  <c r="J50" i="83"/>
  <c r="J52" i="83" s="1"/>
  <c r="J69" i="83" s="1"/>
  <c r="BC50" i="83"/>
  <c r="BC52" i="83" s="1"/>
  <c r="BC69" i="83" s="1"/>
  <c r="AI50" i="83"/>
  <c r="AI52" i="83" s="1"/>
  <c r="AI69" i="83" s="1"/>
  <c r="AY50" i="83"/>
  <c r="AY52" i="83" s="1"/>
  <c r="AY69" i="83" s="1"/>
  <c r="BX50" i="83"/>
  <c r="BX52" i="83" s="1"/>
  <c r="BX69" i="83" s="1"/>
  <c r="AL50" i="83"/>
  <c r="AL52" i="83" s="1"/>
  <c r="AL69" i="83" s="1"/>
  <c r="BI50" i="83"/>
  <c r="BI52" i="83" s="1"/>
  <c r="BI69" i="83" s="1"/>
  <c r="AK50" i="83"/>
  <c r="AK52" i="83" s="1"/>
  <c r="AK69" i="83" s="1"/>
  <c r="BH50" i="83"/>
  <c r="BH52" i="83" s="1"/>
  <c r="BH69" i="83" s="1"/>
  <c r="CB50" i="83"/>
  <c r="CB52" i="83" s="1"/>
  <c r="CB69" i="83" s="1"/>
  <c r="AE50" i="83"/>
  <c r="AE52" i="83" s="1"/>
  <c r="AE69" i="83" s="1"/>
  <c r="BQ50" i="83"/>
  <c r="BQ52" i="83" s="1"/>
  <c r="BQ69" i="83" s="1"/>
  <c r="BW50" i="83"/>
  <c r="BW52" i="83" s="1"/>
  <c r="BW69" i="83" s="1"/>
  <c r="AO50" i="83"/>
  <c r="AO52" i="83" s="1"/>
  <c r="AO69" i="83" s="1"/>
  <c r="BJ50" i="83"/>
  <c r="BJ52" i="83" s="1"/>
  <c r="BJ69" i="83" s="1"/>
  <c r="AB50" i="83"/>
  <c r="AB52" i="83" s="1"/>
  <c r="AB69" i="83" s="1"/>
  <c r="S50" i="83"/>
  <c r="S52" i="83" s="1"/>
  <c r="S69" i="83" s="1"/>
  <c r="U50" i="83"/>
  <c r="U52" i="83" s="1"/>
  <c r="U69" i="83" s="1"/>
  <c r="CJ50" i="83"/>
  <c r="CJ52" i="83" s="1"/>
  <c r="CJ69" i="83" s="1"/>
  <c r="G50" i="83"/>
  <c r="I50" i="83"/>
  <c r="I52" i="83" s="1"/>
  <c r="I69" i="83" s="1"/>
  <c r="AT50" i="83"/>
  <c r="AT52" i="83" s="1"/>
  <c r="AT69" i="83" s="1"/>
  <c r="CF50" i="83"/>
  <c r="CF52" i="83" s="1"/>
  <c r="CF69" i="83" s="1"/>
  <c r="H50" i="83"/>
  <c r="H52" i="83" s="1"/>
  <c r="H69" i="83" s="1"/>
  <c r="BZ50" i="83"/>
  <c r="BZ52" i="83" s="1"/>
  <c r="BZ69" i="83" s="1"/>
  <c r="CD50" i="83"/>
  <c r="CD52" i="83" s="1"/>
  <c r="CD69" i="83" s="1"/>
  <c r="CH50" i="83"/>
  <c r="CH52" i="83" s="1"/>
  <c r="CH69" i="83" s="1"/>
  <c r="AH50" i="83"/>
  <c r="AH52" i="83" s="1"/>
  <c r="AH69" i="83" s="1"/>
  <c r="M50" i="83"/>
  <c r="M52" i="83" s="1"/>
  <c r="M69" i="83" s="1"/>
  <c r="BY50" i="83"/>
  <c r="BY52" i="83" s="1"/>
  <c r="BY69" i="83" s="1"/>
  <c r="BV50" i="83"/>
  <c r="BV52" i="83" s="1"/>
  <c r="BV69" i="83" s="1"/>
  <c r="AD50" i="83"/>
  <c r="AD52" i="83" s="1"/>
  <c r="AD69" i="83" s="1"/>
  <c r="L50" i="83"/>
  <c r="L52" i="83" s="1"/>
  <c r="L69" i="83" s="1"/>
  <c r="AP50" i="83"/>
  <c r="AP52" i="83" s="1"/>
  <c r="AP69" i="83" s="1"/>
  <c r="AV50" i="83"/>
  <c r="AV52" i="83" s="1"/>
  <c r="AV69" i="83" s="1"/>
  <c r="AA50" i="83"/>
  <c r="AA52" i="83" s="1"/>
  <c r="AA69" i="83" s="1"/>
  <c r="CE50" i="83"/>
  <c r="CE52" i="83" s="1"/>
  <c r="CE69" i="83" s="1"/>
  <c r="Y50" i="83"/>
  <c r="Y52" i="83" s="1"/>
  <c r="Y69" i="83" s="1"/>
  <c r="CK50" i="83"/>
  <c r="CK52" i="83" s="1"/>
  <c r="CK69" i="83" s="1"/>
  <c r="AU50" i="83"/>
  <c r="AU52" i="83" s="1"/>
  <c r="AU69" i="83" s="1"/>
  <c r="BL50" i="83"/>
  <c r="BL52" i="83" s="1"/>
  <c r="BL69" i="83" s="1"/>
  <c r="CC50" i="83"/>
  <c r="CC52" i="83" s="1"/>
  <c r="CC69" i="83" s="1"/>
  <c r="BA50" i="83"/>
  <c r="BA52" i="83" s="1"/>
  <c r="BA69" i="83" s="1"/>
  <c r="BR50" i="83"/>
  <c r="BR52" i="83" s="1"/>
  <c r="BR69" i="83" s="1"/>
  <c r="CG50" i="83"/>
  <c r="CG52" i="83" s="1"/>
  <c r="CG69" i="83" s="1"/>
  <c r="T50" i="83"/>
  <c r="T52" i="83" s="1"/>
  <c r="T69" i="83" s="1"/>
  <c r="P50" i="83"/>
  <c r="P52" i="83" s="1"/>
  <c r="P69" i="83" s="1"/>
  <c r="BG50" i="83"/>
  <c r="BG52" i="83" s="1"/>
  <c r="BG69" i="83" s="1"/>
  <c r="BM50" i="83"/>
  <c r="BM52" i="83" s="1"/>
  <c r="BM69" i="83" s="1"/>
  <c r="N50" i="83"/>
  <c r="N52" i="83" s="1"/>
  <c r="N69" i="83" s="1"/>
  <c r="X50" i="83"/>
  <c r="X52" i="83" s="1"/>
  <c r="X69" i="83" s="1"/>
  <c r="AZ50" i="83"/>
  <c r="AZ52" i="83" s="1"/>
  <c r="AZ69" i="83" s="1"/>
  <c r="BO50" i="83"/>
  <c r="BO52" i="83" s="1"/>
  <c r="BO69" i="83" s="1"/>
  <c r="R50" i="83"/>
  <c r="R52" i="83" s="1"/>
  <c r="R69" i="83" s="1"/>
  <c r="BU50" i="83"/>
  <c r="BU52" i="83" s="1"/>
  <c r="BU69" i="83" s="1"/>
  <c r="BT50" i="83"/>
  <c r="BT52" i="83" s="1"/>
  <c r="BT69" i="83" s="1"/>
  <c r="W50" i="83"/>
  <c r="W52" i="83" s="1"/>
  <c r="W69" i="83" s="1"/>
  <c r="AN50" i="83"/>
  <c r="AN52" i="83" s="1"/>
  <c r="AN69" i="83" s="1"/>
  <c r="AF50" i="83"/>
  <c r="AF52" i="83" s="1"/>
  <c r="AF69" i="83" s="1"/>
  <c r="AM50" i="83"/>
  <c r="AM52" i="83" s="1"/>
  <c r="AM69" i="83" s="1"/>
  <c r="Q50" i="83"/>
  <c r="Q52" i="83" s="1"/>
  <c r="Q69" i="83" s="1"/>
  <c r="AQ50" i="83"/>
  <c r="AQ52" i="83" s="1"/>
  <c r="AQ69" i="83" s="1"/>
  <c r="O50" i="83"/>
  <c r="O52" i="83" s="1"/>
  <c r="O69" i="83" s="1"/>
  <c r="CL50" i="83"/>
  <c r="CL52" i="83" s="1"/>
  <c r="CL69" i="83" s="1"/>
  <c r="BS50" i="83"/>
  <c r="BS52" i="83" s="1"/>
  <c r="BS69" i="83" s="1"/>
  <c r="K50" i="83"/>
  <c r="K52" i="83" s="1"/>
  <c r="K69" i="83" s="1"/>
  <c r="AG50" i="83"/>
  <c r="AG52" i="83" s="1"/>
  <c r="AG69" i="83" s="1"/>
  <c r="BK50" i="83"/>
  <c r="BK52" i="83" s="1"/>
  <c r="BK69" i="83" s="1"/>
  <c r="AS50" i="83"/>
  <c r="AS52" i="83" s="1"/>
  <c r="AS69" i="83" s="1"/>
  <c r="CA50" i="83"/>
  <c r="CA52" i="83" s="1"/>
  <c r="CA69" i="83" s="1"/>
  <c r="V50" i="83"/>
  <c r="V52" i="83" s="1"/>
  <c r="V69" i="83" s="1"/>
  <c r="BB50" i="83"/>
  <c r="BB52" i="83" s="1"/>
  <c r="BB69" i="83" s="1"/>
  <c r="BD50" i="83"/>
  <c r="BD52" i="83" s="1"/>
  <c r="BD69" i="83" s="1"/>
  <c r="Z50" i="83"/>
  <c r="Z52" i="83" s="1"/>
  <c r="Z69" i="83" s="1"/>
  <c r="AC50" i="83"/>
  <c r="AC52" i="83" s="1"/>
  <c r="AC69" i="83" s="1"/>
  <c r="BF50" i="83"/>
  <c r="BF52" i="83" s="1"/>
  <c r="BF69" i="83" s="1"/>
  <c r="AJ50" i="83"/>
  <c r="AJ52" i="83" s="1"/>
  <c r="AJ69" i="83" s="1"/>
  <c r="AW50" i="83"/>
  <c r="AW52" i="83" s="1"/>
  <c r="AW69" i="83" s="1"/>
  <c r="BP50" i="83"/>
  <c r="BP52" i="83" s="1"/>
  <c r="BP69" i="83" s="1"/>
  <c r="AR50" i="83"/>
  <c r="AR52" i="83" s="1"/>
  <c r="AR69" i="83" s="1"/>
  <c r="AX50" i="83"/>
  <c r="AX52" i="83" s="1"/>
  <c r="AX69" i="83" s="1"/>
  <c r="BE50" i="83"/>
  <c r="BE52" i="83" s="1"/>
  <c r="BE69" i="83" s="1"/>
  <c r="CI50" i="83"/>
  <c r="CI52" i="83" s="1"/>
  <c r="CI69" i="83" s="1"/>
  <c r="CO5" i="83"/>
  <c r="CO5" i="50"/>
  <c r="CQ5" i="50"/>
  <c r="CQ5" i="83"/>
  <c r="D26" i="13"/>
  <c r="L12" i="17"/>
  <c r="L15" i="16"/>
  <c r="L17" i="16"/>
  <c r="H15" i="69"/>
  <c r="E44" i="13"/>
  <c r="D31" i="13"/>
  <c r="D49" i="13"/>
  <c r="AH51" i="83" l="1"/>
  <c r="AH53" i="83" s="1"/>
  <c r="AH70" i="83" s="1"/>
  <c r="BN51" i="83"/>
  <c r="BN53" i="83" s="1"/>
  <c r="BN70" i="83" s="1"/>
  <c r="AI51" i="83"/>
  <c r="AI53" i="83" s="1"/>
  <c r="AI70" i="83" s="1"/>
  <c r="BC51" i="83"/>
  <c r="BC53" i="83" s="1"/>
  <c r="BC70" i="83" s="1"/>
  <c r="AD51" i="83"/>
  <c r="AD53" i="83" s="1"/>
  <c r="AD70" i="83" s="1"/>
  <c r="AY51" i="83"/>
  <c r="AY53" i="83" s="1"/>
  <c r="AY70" i="83" s="1"/>
  <c r="J51" i="83"/>
  <c r="J53" i="83" s="1"/>
  <c r="J70" i="83" s="1"/>
  <c r="BJ51" i="83"/>
  <c r="BJ53" i="83" s="1"/>
  <c r="BJ70" i="83" s="1"/>
  <c r="Z51" i="83"/>
  <c r="Z53" i="83" s="1"/>
  <c r="Z70" i="83" s="1"/>
  <c r="R51" i="83"/>
  <c r="R53" i="83" s="1"/>
  <c r="R70" i="83" s="1"/>
  <c r="S51" i="83"/>
  <c r="S53" i="83" s="1"/>
  <c r="S70" i="83" s="1"/>
  <c r="CC51" i="83"/>
  <c r="CC53" i="83" s="1"/>
  <c r="CC70" i="83" s="1"/>
  <c r="U51" i="83"/>
  <c r="U53" i="83" s="1"/>
  <c r="U70" i="83" s="1"/>
  <c r="AM51" i="83"/>
  <c r="AM53" i="83" s="1"/>
  <c r="AM70" i="83" s="1"/>
  <c r="AG51" i="83"/>
  <c r="AG53" i="83" s="1"/>
  <c r="AG70" i="83" s="1"/>
  <c r="X51" i="83"/>
  <c r="X53" i="83" s="1"/>
  <c r="X70" i="83" s="1"/>
  <c r="CF51" i="83"/>
  <c r="CF53" i="83" s="1"/>
  <c r="CF70" i="83" s="1"/>
  <c r="H51" i="83"/>
  <c r="H53" i="83" s="1"/>
  <c r="H70" i="83" s="1"/>
  <c r="BZ51" i="83"/>
  <c r="BZ53" i="83" s="1"/>
  <c r="BZ70" i="83" s="1"/>
  <c r="BI51" i="83"/>
  <c r="BI53" i="83" s="1"/>
  <c r="BI70" i="83" s="1"/>
  <c r="BH51" i="83"/>
  <c r="BH53" i="83" s="1"/>
  <c r="BH70" i="83" s="1"/>
  <c r="AQ51" i="83"/>
  <c r="AQ53" i="83" s="1"/>
  <c r="AQ70" i="83" s="1"/>
  <c r="M51" i="83"/>
  <c r="M53" i="83" s="1"/>
  <c r="M70" i="83" s="1"/>
  <c r="BY51" i="83"/>
  <c r="BY53" i="83" s="1"/>
  <c r="BY70" i="83" s="1"/>
  <c r="Q51" i="83"/>
  <c r="Q53" i="83" s="1"/>
  <c r="Q70" i="83" s="1"/>
  <c r="BV51" i="83"/>
  <c r="BV53" i="83" s="1"/>
  <c r="BV70" i="83" s="1"/>
  <c r="T51" i="83"/>
  <c r="T53" i="83" s="1"/>
  <c r="T70" i="83" s="1"/>
  <c r="AP51" i="83"/>
  <c r="AP53" i="83" s="1"/>
  <c r="AP70" i="83" s="1"/>
  <c r="AV51" i="83"/>
  <c r="AV53" i="83" s="1"/>
  <c r="AV70" i="83" s="1"/>
  <c r="AE51" i="83"/>
  <c r="AE53" i="83" s="1"/>
  <c r="AE70" i="83" s="1"/>
  <c r="AA51" i="83"/>
  <c r="AA53" i="83" s="1"/>
  <c r="AA70" i="83" s="1"/>
  <c r="BQ51" i="83"/>
  <c r="BQ53" i="83" s="1"/>
  <c r="BQ70" i="83" s="1"/>
  <c r="AK51" i="83"/>
  <c r="AK53" i="83" s="1"/>
  <c r="AK70" i="83" s="1"/>
  <c r="CB51" i="83"/>
  <c r="CB53" i="83" s="1"/>
  <c r="CB70" i="83" s="1"/>
  <c r="BX51" i="83"/>
  <c r="BX53" i="83" s="1"/>
  <c r="BX70" i="83" s="1"/>
  <c r="CK51" i="83"/>
  <c r="CK53" i="83" s="1"/>
  <c r="CK70" i="83" s="1"/>
  <c r="BL51" i="83"/>
  <c r="BL53" i="83" s="1"/>
  <c r="BL70" i="83" s="1"/>
  <c r="CE51" i="83"/>
  <c r="CE53" i="83" s="1"/>
  <c r="CE70" i="83" s="1"/>
  <c r="CJ51" i="83"/>
  <c r="CJ53" i="83" s="1"/>
  <c r="CJ70" i="83" s="1"/>
  <c r="AJ51" i="83"/>
  <c r="AJ53" i="83" s="1"/>
  <c r="AJ70" i="83" s="1"/>
  <c r="BM51" i="83"/>
  <c r="BM53" i="83" s="1"/>
  <c r="BM70" i="83" s="1"/>
  <c r="AB51" i="83"/>
  <c r="AB53" i="83" s="1"/>
  <c r="AB70" i="83" s="1"/>
  <c r="AT51" i="83"/>
  <c r="AT53" i="83" s="1"/>
  <c r="AT70" i="83" s="1"/>
  <c r="BG51" i="83"/>
  <c r="BG53" i="83" s="1"/>
  <c r="BG70" i="83" s="1"/>
  <c r="G51" i="83"/>
  <c r="BO51" i="83"/>
  <c r="BO53" i="83" s="1"/>
  <c r="BO70" i="83" s="1"/>
  <c r="BT51" i="83"/>
  <c r="BT53" i="83" s="1"/>
  <c r="BT70" i="83" s="1"/>
  <c r="AN51" i="83"/>
  <c r="AN53" i="83" s="1"/>
  <c r="AN70" i="83" s="1"/>
  <c r="V51" i="83"/>
  <c r="V53" i="83" s="1"/>
  <c r="V70" i="83" s="1"/>
  <c r="AU51" i="83"/>
  <c r="AU53" i="83" s="1"/>
  <c r="AU70" i="83" s="1"/>
  <c r="CL51" i="83"/>
  <c r="CL53" i="83" s="1"/>
  <c r="CL70" i="83" s="1"/>
  <c r="AL51" i="83"/>
  <c r="AL53" i="83" s="1"/>
  <c r="AL70" i="83" s="1"/>
  <c r="K51" i="83"/>
  <c r="K53" i="83" s="1"/>
  <c r="K70" i="83" s="1"/>
  <c r="BA51" i="83"/>
  <c r="BA53" i="83" s="1"/>
  <c r="BA70" i="83" s="1"/>
  <c r="CI51" i="83"/>
  <c r="CI53" i="83" s="1"/>
  <c r="CI70" i="83" s="1"/>
  <c r="CG51" i="83"/>
  <c r="CG53" i="83" s="1"/>
  <c r="CG70" i="83" s="1"/>
  <c r="AS51" i="83"/>
  <c r="AS53" i="83" s="1"/>
  <c r="AS70" i="83" s="1"/>
  <c r="CH51" i="83"/>
  <c r="CH53" i="83" s="1"/>
  <c r="CH70" i="83" s="1"/>
  <c r="BB51" i="83"/>
  <c r="BB53" i="83" s="1"/>
  <c r="BB70" i="83" s="1"/>
  <c r="N51" i="83"/>
  <c r="N53" i="83" s="1"/>
  <c r="N70" i="83" s="1"/>
  <c r="AR51" i="83"/>
  <c r="AR53" i="83" s="1"/>
  <c r="AR70" i="83" s="1"/>
  <c r="AZ51" i="83"/>
  <c r="AZ53" i="83" s="1"/>
  <c r="AZ70" i="83" s="1"/>
  <c r="AC51" i="83"/>
  <c r="AC53" i="83" s="1"/>
  <c r="AC70" i="83" s="1"/>
  <c r="BF51" i="83"/>
  <c r="BF53" i="83" s="1"/>
  <c r="BF70" i="83" s="1"/>
  <c r="AW51" i="83"/>
  <c r="AW53" i="83" s="1"/>
  <c r="AW70" i="83" s="1"/>
  <c r="L51" i="83"/>
  <c r="L53" i="83" s="1"/>
  <c r="L70" i="83" s="1"/>
  <c r="BR51" i="83"/>
  <c r="BR53" i="83" s="1"/>
  <c r="BR70" i="83" s="1"/>
  <c r="BU51" i="83"/>
  <c r="BU53" i="83" s="1"/>
  <c r="BU70" i="83" s="1"/>
  <c r="BP51" i="83"/>
  <c r="BP53" i="83" s="1"/>
  <c r="BP70" i="83" s="1"/>
  <c r="W51" i="83"/>
  <c r="W53" i="83" s="1"/>
  <c r="W70" i="83" s="1"/>
  <c r="AO51" i="83"/>
  <c r="AO53" i="83" s="1"/>
  <c r="AO70" i="83" s="1"/>
  <c r="Y51" i="83"/>
  <c r="Y53" i="83" s="1"/>
  <c r="Y70" i="83" s="1"/>
  <c r="BW51" i="83"/>
  <c r="BW53" i="83" s="1"/>
  <c r="BW70" i="83" s="1"/>
  <c r="AF51" i="83"/>
  <c r="AF53" i="83" s="1"/>
  <c r="AF70" i="83" s="1"/>
  <c r="O51" i="83"/>
  <c r="O53" i="83" s="1"/>
  <c r="O70" i="83" s="1"/>
  <c r="CD51" i="83"/>
  <c r="CD53" i="83" s="1"/>
  <c r="CD70" i="83" s="1"/>
  <c r="BS51" i="83"/>
  <c r="BS53" i="83" s="1"/>
  <c r="BS70" i="83" s="1"/>
  <c r="AX51" i="83"/>
  <c r="AX53" i="83" s="1"/>
  <c r="AX70" i="83" s="1"/>
  <c r="BE51" i="83"/>
  <c r="BE53" i="83" s="1"/>
  <c r="BE70" i="83" s="1"/>
  <c r="BD51" i="83"/>
  <c r="BD53" i="83" s="1"/>
  <c r="BD70" i="83" s="1"/>
  <c r="BK51" i="83"/>
  <c r="BK53" i="83" s="1"/>
  <c r="BK70" i="83" s="1"/>
  <c r="I51" i="83"/>
  <c r="I53" i="83" s="1"/>
  <c r="I70" i="83" s="1"/>
  <c r="P51" i="83"/>
  <c r="P53" i="83" s="1"/>
  <c r="P70" i="83" s="1"/>
  <c r="CA51" i="83"/>
  <c r="CA53" i="83" s="1"/>
  <c r="CA70" i="83" s="1"/>
  <c r="CM50" i="83"/>
  <c r="G52" i="83"/>
  <c r="H15" i="76"/>
  <c r="E63" i="13"/>
  <c r="F63" i="13" s="1"/>
  <c r="G63" i="13" s="1"/>
  <c r="H63" i="13" s="1"/>
  <c r="I63" i="13" s="1"/>
  <c r="J63" i="13" s="1"/>
  <c r="K63" i="13" s="1"/>
  <c r="L63" i="13" s="1"/>
  <c r="M63" i="13" s="1"/>
  <c r="N63" i="13" s="1"/>
  <c r="O63" i="13" s="1"/>
  <c r="P63" i="13" s="1"/>
  <c r="Q63" i="13" s="1"/>
  <c r="R63" i="13" s="1"/>
  <c r="S63" i="13" s="1"/>
  <c r="T63" i="13" s="1"/>
  <c r="U63" i="13" s="1"/>
  <c r="V63" i="13" s="1"/>
  <c r="W63" i="13" s="1"/>
  <c r="P17" i="69"/>
  <c r="I17" i="69"/>
  <c r="Y17" i="69"/>
  <c r="V17" i="69"/>
  <c r="W17" i="69"/>
  <c r="T17" i="69"/>
  <c r="M17" i="69"/>
  <c r="J17" i="69"/>
  <c r="Z17" i="69"/>
  <c r="O17" i="69"/>
  <c r="H17" i="69"/>
  <c r="U17" i="69"/>
  <c r="K17" i="69"/>
  <c r="AA17" i="69"/>
  <c r="X17" i="69"/>
  <c r="Q17" i="69"/>
  <c r="N17" i="69"/>
  <c r="L17" i="69"/>
  <c r="R17" i="69"/>
  <c r="L12" i="16"/>
  <c r="L3" i="16" s="1"/>
  <c r="L22" i="16" s="1"/>
  <c r="F44" i="13"/>
  <c r="I15" i="69"/>
  <c r="D29" i="13"/>
  <c r="D11" i="70"/>
  <c r="D9" i="70" s="1"/>
  <c r="C3" i="51"/>
  <c r="CX41" i="50"/>
  <c r="O55" i="50" s="1"/>
  <c r="CY41" i="50"/>
  <c r="P55" i="50" s="1"/>
  <c r="CZ41" i="50"/>
  <c r="Q55" i="50" s="1"/>
  <c r="DA41" i="50"/>
  <c r="R55" i="50" s="1"/>
  <c r="DB41" i="50"/>
  <c r="DC41" i="50"/>
  <c r="DD41" i="50"/>
  <c r="DE41" i="50"/>
  <c r="DF41" i="50"/>
  <c r="DG41" i="50"/>
  <c r="DH41" i="50"/>
  <c r="DI41" i="50"/>
  <c r="DJ41" i="50"/>
  <c r="DK41" i="50"/>
  <c r="DL41" i="50"/>
  <c r="DM41" i="50"/>
  <c r="DN41" i="50"/>
  <c r="DO41" i="50"/>
  <c r="DP41" i="50"/>
  <c r="DQ41" i="50"/>
  <c r="DR41" i="50"/>
  <c r="DS41" i="50"/>
  <c r="DT41" i="50"/>
  <c r="DU41" i="50"/>
  <c r="DV41" i="50"/>
  <c r="DW41" i="50"/>
  <c r="DX41" i="50"/>
  <c r="DY41" i="50"/>
  <c r="DZ41" i="50"/>
  <c r="EA41" i="50"/>
  <c r="EB41" i="50"/>
  <c r="S12" i="50"/>
  <c r="T12" i="50"/>
  <c r="U12" i="50"/>
  <c r="V12" i="50"/>
  <c r="W12" i="50"/>
  <c r="X12" i="50"/>
  <c r="Y12" i="50"/>
  <c r="Z12" i="50"/>
  <c r="AA12" i="50"/>
  <c r="AB12" i="50"/>
  <c r="AC12" i="50"/>
  <c r="AD12" i="50"/>
  <c r="AE12" i="50"/>
  <c r="AF12" i="50"/>
  <c r="AG12" i="50"/>
  <c r="AH12" i="50"/>
  <c r="AI12" i="50"/>
  <c r="AJ12" i="50"/>
  <c r="AK12" i="50"/>
  <c r="AL12" i="50"/>
  <c r="AM12" i="50"/>
  <c r="AN12" i="50"/>
  <c r="AO12" i="50"/>
  <c r="AP12" i="50"/>
  <c r="AQ12" i="50"/>
  <c r="AR12" i="50"/>
  <c r="AS12" i="50"/>
  <c r="S14" i="50"/>
  <c r="T14" i="50"/>
  <c r="T48" i="50" s="1"/>
  <c r="U14" i="50"/>
  <c r="V14" i="50"/>
  <c r="V25" i="50" s="1"/>
  <c r="W14" i="50"/>
  <c r="W48" i="50" s="1"/>
  <c r="X14" i="50"/>
  <c r="X48" i="50" s="1"/>
  <c r="Y14" i="50"/>
  <c r="Z14" i="50"/>
  <c r="Z25" i="50" s="1"/>
  <c r="AA14" i="50"/>
  <c r="AA48" i="50" s="1"/>
  <c r="AB14" i="50"/>
  <c r="AB48" i="50" s="1"/>
  <c r="AC14" i="50"/>
  <c r="AD14" i="50"/>
  <c r="AD25" i="50" s="1"/>
  <c r="AE14" i="50"/>
  <c r="AE48" i="50" s="1"/>
  <c r="AF14" i="50"/>
  <c r="AF31" i="50" s="1"/>
  <c r="AG14" i="50"/>
  <c r="AH14" i="50"/>
  <c r="AH48" i="50" s="1"/>
  <c r="AI14" i="50"/>
  <c r="AI48" i="50" s="1"/>
  <c r="AJ14" i="50"/>
  <c r="AJ48" i="50" s="1"/>
  <c r="AK14" i="50"/>
  <c r="AL14" i="50"/>
  <c r="AL48" i="50" s="1"/>
  <c r="AM14" i="50"/>
  <c r="AM48" i="50" s="1"/>
  <c r="AN14" i="50"/>
  <c r="AN48" i="50" s="1"/>
  <c r="AO14" i="50"/>
  <c r="AP14" i="50"/>
  <c r="AP48" i="50" s="1"/>
  <c r="AQ14" i="50"/>
  <c r="AQ48" i="50" s="1"/>
  <c r="AR14" i="50"/>
  <c r="AR48" i="50" s="1"/>
  <c r="AS14" i="50"/>
  <c r="S15" i="50"/>
  <c r="T15" i="50"/>
  <c r="T49" i="50" s="1"/>
  <c r="U15" i="50"/>
  <c r="U26" i="50" s="1"/>
  <c r="V15" i="50"/>
  <c r="W15" i="50"/>
  <c r="W49" i="50" s="1"/>
  <c r="X15" i="50"/>
  <c r="X49" i="50" s="1"/>
  <c r="Y15" i="50"/>
  <c r="Y49" i="50" s="1"/>
  <c r="Z15" i="50"/>
  <c r="AA15" i="50"/>
  <c r="AA49" i="50" s="1"/>
  <c r="AB15" i="50"/>
  <c r="AB49" i="50" s="1"/>
  <c r="AC15" i="50"/>
  <c r="AC49" i="50" s="1"/>
  <c r="AD15" i="50"/>
  <c r="AE15" i="50"/>
  <c r="AE49" i="50" s="1"/>
  <c r="AF15" i="50"/>
  <c r="AF49" i="50" s="1"/>
  <c r="AG15" i="50"/>
  <c r="AG49" i="50" s="1"/>
  <c r="AH15" i="50"/>
  <c r="AI15" i="50"/>
  <c r="AI49" i="50" s="1"/>
  <c r="AJ15" i="50"/>
  <c r="AJ49" i="50" s="1"/>
  <c r="AK15" i="50"/>
  <c r="AK49" i="50" s="1"/>
  <c r="AL15" i="50"/>
  <c r="AM15" i="50"/>
  <c r="AM49" i="50" s="1"/>
  <c r="AN15" i="50"/>
  <c r="AN49" i="50" s="1"/>
  <c r="AO15" i="50"/>
  <c r="AO49" i="50" s="1"/>
  <c r="AP15" i="50"/>
  <c r="AQ15" i="50"/>
  <c r="AQ49" i="50" s="1"/>
  <c r="AR15" i="50"/>
  <c r="AR49" i="50" s="1"/>
  <c r="AS15" i="50"/>
  <c r="AS49" i="50" s="1"/>
  <c r="D11" i="13"/>
  <c r="B7" i="77" l="1"/>
  <c r="C7" i="78" s="1"/>
  <c r="B5" i="79"/>
  <c r="CM52" i="83"/>
  <c r="G69" i="83"/>
  <c r="CM69" i="83" s="1"/>
  <c r="D2" i="75" s="1"/>
  <c r="CM51" i="83"/>
  <c r="G53" i="83"/>
  <c r="J15" i="69"/>
  <c r="G44" i="13"/>
  <c r="S48" i="50"/>
  <c r="AS46" i="50"/>
  <c r="AO46" i="50"/>
  <c r="AK46" i="50"/>
  <c r="AG46" i="50"/>
  <c r="AC46" i="50"/>
  <c r="Y46" i="50"/>
  <c r="U46" i="50"/>
  <c r="S49" i="50"/>
  <c r="AP46" i="50"/>
  <c r="AL46" i="50"/>
  <c r="AH46" i="50"/>
  <c r="AD46" i="50"/>
  <c r="Z46" i="50"/>
  <c r="V29" i="50"/>
  <c r="G8" i="68"/>
  <c r="D33" i="13"/>
  <c r="L15" i="17"/>
  <c r="K17" i="68"/>
  <c r="O17" i="68"/>
  <c r="S17" i="68"/>
  <c r="W17" i="68"/>
  <c r="AA17" i="68"/>
  <c r="L17" i="68"/>
  <c r="P17" i="68"/>
  <c r="T17" i="68"/>
  <c r="X17" i="68"/>
  <c r="H17" i="68"/>
  <c r="I17" i="68"/>
  <c r="M17" i="68"/>
  <c r="Q17" i="68"/>
  <c r="U17" i="68"/>
  <c r="Y17" i="68"/>
  <c r="J17" i="68"/>
  <c r="N17" i="68"/>
  <c r="R17" i="68"/>
  <c r="V17" i="68"/>
  <c r="Z17" i="68"/>
  <c r="AL25" i="50"/>
  <c r="W26" i="50"/>
  <c r="AB26" i="50"/>
  <c r="AH25" i="50"/>
  <c r="AM26" i="50"/>
  <c r="AE26" i="50"/>
  <c r="AQ25" i="50"/>
  <c r="AI26" i="50"/>
  <c r="AQ26" i="50"/>
  <c r="X26" i="50"/>
  <c r="AA25" i="50"/>
  <c r="AI25" i="50"/>
  <c r="W25" i="50"/>
  <c r="AR26" i="50"/>
  <c r="AP25" i="50"/>
  <c r="AG26" i="50"/>
  <c r="X25" i="50"/>
  <c r="AP31" i="50"/>
  <c r="AG29" i="50"/>
  <c r="AC26" i="50"/>
  <c r="AN25" i="50"/>
  <c r="AB25" i="50"/>
  <c r="AI32" i="50"/>
  <c r="X31" i="50"/>
  <c r="U49" i="50"/>
  <c r="AK32" i="50"/>
  <c r="AS26" i="50"/>
  <c r="AR25" i="50"/>
  <c r="U32" i="50"/>
  <c r="AL29" i="50"/>
  <c r="AN26" i="50"/>
  <c r="AF26" i="50"/>
  <c r="AA26" i="50"/>
  <c r="AM25" i="50"/>
  <c r="AQ32" i="50"/>
  <c r="AF32" i="50"/>
  <c r="T32" i="50"/>
  <c r="AL31" i="50"/>
  <c r="W31" i="50"/>
  <c r="AS29" i="50"/>
  <c r="AD29" i="50"/>
  <c r="U29" i="50"/>
  <c r="AE32" i="50"/>
  <c r="AC29" i="50"/>
  <c r="AJ32" i="50"/>
  <c r="AA32" i="50"/>
  <c r="AQ31" i="50"/>
  <c r="AE31" i="50"/>
  <c r="AK29" i="50"/>
  <c r="Y29" i="50"/>
  <c r="AL49" i="50"/>
  <c r="AL32" i="50"/>
  <c r="AD49" i="50"/>
  <c r="AD32" i="50"/>
  <c r="V49" i="50"/>
  <c r="V32" i="50"/>
  <c r="AO32" i="50"/>
  <c r="Y32" i="50"/>
  <c r="AJ31" i="50"/>
  <c r="V46" i="50"/>
  <c r="AK26" i="50"/>
  <c r="AP49" i="50"/>
  <c r="AP32" i="50"/>
  <c r="AH49" i="50"/>
  <c r="AH32" i="50"/>
  <c r="Z49" i="50"/>
  <c r="Z32" i="50"/>
  <c r="AS48" i="50"/>
  <c r="AS31" i="50"/>
  <c r="AO48" i="50"/>
  <c r="AO31" i="50"/>
  <c r="AK48" i="50"/>
  <c r="AK31" i="50"/>
  <c r="AG48" i="50"/>
  <c r="AG31" i="50"/>
  <c r="AC48" i="50"/>
  <c r="AC31" i="50"/>
  <c r="Y48" i="50"/>
  <c r="Y31" i="50"/>
  <c r="U48" i="50"/>
  <c r="U31" i="50"/>
  <c r="AQ46" i="50"/>
  <c r="AQ29" i="50"/>
  <c r="AM46" i="50"/>
  <c r="AM29" i="50"/>
  <c r="AI46" i="50"/>
  <c r="AI29" i="50"/>
  <c r="AE46" i="50"/>
  <c r="AE29" i="50"/>
  <c r="AA46" i="50"/>
  <c r="AA29" i="50"/>
  <c r="W46" i="50"/>
  <c r="W29" i="50"/>
  <c r="S46" i="50"/>
  <c r="AF48" i="50"/>
  <c r="AF25" i="50"/>
  <c r="AS32" i="50"/>
  <c r="AN32" i="50"/>
  <c r="AC32" i="50"/>
  <c r="X32" i="50"/>
  <c r="AN31" i="50"/>
  <c r="AI31" i="50"/>
  <c r="AB31" i="50"/>
  <c r="T31" i="50"/>
  <c r="AP29" i="50"/>
  <c r="AH29" i="50"/>
  <c r="Z29" i="50"/>
  <c r="AO26" i="50"/>
  <c r="AJ26" i="50"/>
  <c r="Y26" i="50"/>
  <c r="T26" i="50"/>
  <c r="AJ25" i="50"/>
  <c r="AE25" i="50"/>
  <c r="T25" i="50"/>
  <c r="AD48" i="50"/>
  <c r="AD31" i="50"/>
  <c r="Z48" i="50"/>
  <c r="Z31" i="50"/>
  <c r="V48" i="50"/>
  <c r="V31" i="50"/>
  <c r="AR46" i="50"/>
  <c r="AR29" i="50"/>
  <c r="AN46" i="50"/>
  <c r="AN29" i="50"/>
  <c r="AJ46" i="50"/>
  <c r="AJ29" i="50"/>
  <c r="AF46" i="50"/>
  <c r="AF29" i="50"/>
  <c r="AB46" i="50"/>
  <c r="AB29" i="50"/>
  <c r="X46" i="50"/>
  <c r="X29" i="50"/>
  <c r="T46" i="50"/>
  <c r="T29" i="50"/>
  <c r="AR32" i="50"/>
  <c r="AM32" i="50"/>
  <c r="AG32" i="50"/>
  <c r="AB32" i="50"/>
  <c r="W32" i="50"/>
  <c r="AR31" i="50"/>
  <c r="AM31" i="50"/>
  <c r="AH31" i="50"/>
  <c r="AA31" i="50"/>
  <c r="AO29" i="50"/>
  <c r="AP26" i="50"/>
  <c r="AL26" i="50"/>
  <c r="AH26" i="50"/>
  <c r="AD26" i="50"/>
  <c r="Z26" i="50"/>
  <c r="V26" i="50"/>
  <c r="AS25" i="50"/>
  <c r="AO25" i="50"/>
  <c r="AK25" i="50"/>
  <c r="AG25" i="50"/>
  <c r="AC25" i="50"/>
  <c r="Y25" i="50"/>
  <c r="U25" i="50"/>
  <c r="D6" i="75" l="1"/>
  <c r="D5" i="75" s="1"/>
  <c r="D13" i="75" s="1"/>
  <c r="D16" i="75"/>
  <c r="D15" i="75" s="1"/>
  <c r="D23" i="75" s="1"/>
  <c r="CM53" i="83"/>
  <c r="G70" i="83"/>
  <c r="CM70" i="83" s="1"/>
  <c r="D3" i="75" s="1"/>
  <c r="D26" i="75" s="1"/>
  <c r="D25" i="75" s="1"/>
  <c r="D33" i="75" s="1"/>
  <c r="G7" i="78"/>
  <c r="D7" i="78"/>
  <c r="H44" i="13"/>
  <c r="K15" i="69"/>
  <c r="D21" i="19"/>
  <c r="H21" i="19" s="1"/>
  <c r="F21" i="19" s="1"/>
  <c r="J21" i="19" s="1"/>
  <c r="C4" i="51"/>
  <c r="I44" i="13" l="1"/>
  <c r="L15" i="69"/>
  <c r="S55" i="50"/>
  <c r="D10" i="13"/>
  <c r="J44" i="13" l="1"/>
  <c r="M15" i="69"/>
  <c r="K44" i="13" l="1"/>
  <c r="N15" i="69"/>
  <c r="AT12" i="50"/>
  <c r="L44" i="13" l="1"/>
  <c r="O15" i="69"/>
  <c r="AT29" i="50"/>
  <c r="D33" i="50"/>
  <c r="M44" i="13" l="1"/>
  <c r="P15" i="69"/>
  <c r="Q15" i="69" l="1"/>
  <c r="N44" i="13"/>
  <c r="C15" i="19"/>
  <c r="C13" i="19"/>
  <c r="C12" i="19"/>
  <c r="C11" i="19"/>
  <c r="U10" i="17" l="1"/>
  <c r="I10" i="17"/>
  <c r="O44" i="13"/>
  <c r="R15" i="69"/>
  <c r="D9" i="13"/>
  <c r="I16" i="87" l="1"/>
  <c r="M16" i="87"/>
  <c r="Q16" i="87"/>
  <c r="U16" i="87"/>
  <c r="Y16" i="87"/>
  <c r="J16" i="87"/>
  <c r="N16" i="87"/>
  <c r="R16" i="87"/>
  <c r="V16" i="87"/>
  <c r="Z16" i="87"/>
  <c r="K16" i="87"/>
  <c r="O16" i="87"/>
  <c r="S16" i="87"/>
  <c r="W16" i="87"/>
  <c r="AA16" i="87"/>
  <c r="L16" i="87"/>
  <c r="P16" i="87"/>
  <c r="T16" i="87"/>
  <c r="X16" i="87"/>
  <c r="H16" i="87"/>
  <c r="Y17" i="76"/>
  <c r="U17" i="76"/>
  <c r="Q17" i="76"/>
  <c r="M17" i="76"/>
  <c r="I17" i="76"/>
  <c r="X17" i="76"/>
  <c r="T17" i="76"/>
  <c r="P17" i="76"/>
  <c r="L17" i="76"/>
  <c r="V17" i="76"/>
  <c r="N17" i="76"/>
  <c r="AA17" i="76"/>
  <c r="W17" i="76"/>
  <c r="S17" i="76"/>
  <c r="O17" i="76"/>
  <c r="K17" i="76"/>
  <c r="Z17" i="76"/>
  <c r="R17" i="76"/>
  <c r="J17" i="76"/>
  <c r="S15" i="69"/>
  <c r="P44" i="13"/>
  <c r="D6" i="70"/>
  <c r="L17" i="39"/>
  <c r="P17" i="39"/>
  <c r="T17" i="39"/>
  <c r="X17" i="39"/>
  <c r="H17" i="39"/>
  <c r="J17" i="39"/>
  <c r="R17" i="39"/>
  <c r="Z17" i="39"/>
  <c r="O17" i="39"/>
  <c r="W17" i="39"/>
  <c r="I17" i="39"/>
  <c r="M17" i="39"/>
  <c r="Q17" i="39"/>
  <c r="U17" i="39"/>
  <c r="Y17" i="39"/>
  <c r="N17" i="39"/>
  <c r="V17" i="39"/>
  <c r="K17" i="39"/>
  <c r="S17" i="39"/>
  <c r="AA17" i="39"/>
  <c r="O12" i="17"/>
  <c r="I9" i="56" l="1"/>
  <c r="I9" i="77"/>
  <c r="H9" i="56"/>
  <c r="H9" i="77"/>
  <c r="G9" i="56"/>
  <c r="G9" i="77"/>
  <c r="F9" i="56"/>
  <c r="F9" i="77"/>
  <c r="C9" i="56"/>
  <c r="C9" i="77"/>
  <c r="K9" i="56"/>
  <c r="K9" i="77"/>
  <c r="B9" i="56"/>
  <c r="E9" i="77"/>
  <c r="D9" i="56"/>
  <c r="D9" i="77"/>
  <c r="J9" i="56"/>
  <c r="J9" i="77"/>
  <c r="Q44" i="13"/>
  <c r="T15" i="69"/>
  <c r="C9" i="71"/>
  <c r="D9" i="71"/>
  <c r="E9" i="56"/>
  <c r="E9" i="71"/>
  <c r="F9" i="71"/>
  <c r="G9" i="71"/>
  <c r="F16" i="61"/>
  <c r="F24" i="61"/>
  <c r="G24" i="61"/>
  <c r="B13" i="61"/>
  <c r="G61" i="61"/>
  <c r="G60" i="61"/>
  <c r="G59" i="61"/>
  <c r="G58" i="61"/>
  <c r="G57" i="61"/>
  <c r="G56" i="61"/>
  <c r="G55" i="61"/>
  <c r="H48" i="61"/>
  <c r="I48" i="61" s="1"/>
  <c r="H47" i="61"/>
  <c r="I47" i="61" s="1"/>
  <c r="H46" i="61"/>
  <c r="I46" i="61" s="1"/>
  <c r="H45" i="61"/>
  <c r="I45" i="61" s="1"/>
  <c r="H44" i="61"/>
  <c r="I44" i="61" s="1"/>
  <c r="H43" i="61"/>
  <c r="I43" i="61" s="1"/>
  <c r="G42" i="61"/>
  <c r="H42" i="61" s="1"/>
  <c r="I42" i="61" s="1"/>
  <c r="H41" i="61"/>
  <c r="I41" i="61" s="1"/>
  <c r="G37" i="61"/>
  <c r="F37" i="61"/>
  <c r="G36" i="61"/>
  <c r="F36" i="61"/>
  <c r="G35" i="61"/>
  <c r="F35" i="61"/>
  <c r="G34" i="61"/>
  <c r="F34" i="61"/>
  <c r="G33" i="61"/>
  <c r="F33" i="61"/>
  <c r="G32" i="61"/>
  <c r="F32" i="61"/>
  <c r="G31" i="61"/>
  <c r="F31" i="61"/>
  <c r="G30" i="61"/>
  <c r="F30" i="61"/>
  <c r="G29" i="61"/>
  <c r="F29" i="61"/>
  <c r="G25" i="61"/>
  <c r="F25" i="61"/>
  <c r="H20" i="61"/>
  <c r="I20" i="61" s="1"/>
  <c r="G19" i="61"/>
  <c r="F19" i="61"/>
  <c r="G18" i="61"/>
  <c r="F18" i="61"/>
  <c r="G17" i="61"/>
  <c r="F17" i="61"/>
  <c r="G16" i="61"/>
  <c r="J10" i="61"/>
  <c r="H10" i="61"/>
  <c r="G10" i="61"/>
  <c r="B10" i="61"/>
  <c r="J8" i="61"/>
  <c r="I8" i="61"/>
  <c r="H8" i="61"/>
  <c r="G8" i="61"/>
  <c r="H55" i="61" l="1"/>
  <c r="R44" i="13"/>
  <c r="U15" i="69"/>
  <c r="H24" i="61"/>
  <c r="I24" i="61" s="1"/>
  <c r="H59" i="61"/>
  <c r="I59" i="61" s="1"/>
  <c r="H58" i="61"/>
  <c r="I58" i="61" s="1"/>
  <c r="H17" i="61"/>
  <c r="I17" i="61" s="1"/>
  <c r="H19" i="61"/>
  <c r="I19" i="61" s="1"/>
  <c r="H37" i="61"/>
  <c r="I37" i="61" s="1"/>
  <c r="H25" i="61"/>
  <c r="I25" i="61" s="1"/>
  <c r="H30" i="61"/>
  <c r="I30" i="61" s="1"/>
  <c r="H32" i="61"/>
  <c r="I32" i="61" s="1"/>
  <c r="H34" i="61"/>
  <c r="I34" i="61" s="1"/>
  <c r="H36" i="61"/>
  <c r="I36" i="61" s="1"/>
  <c r="H16" i="61"/>
  <c r="I16" i="61" s="1"/>
  <c r="H18" i="61"/>
  <c r="I18" i="61" s="1"/>
  <c r="H56" i="61"/>
  <c r="I56" i="61" s="1"/>
  <c r="H60" i="61"/>
  <c r="I60" i="61" s="1"/>
  <c r="H29" i="61"/>
  <c r="I29" i="61" s="1"/>
  <c r="H33" i="61"/>
  <c r="I33" i="61" s="1"/>
  <c r="H35" i="61"/>
  <c r="I35" i="61" s="1"/>
  <c r="H57" i="61"/>
  <c r="I57" i="61" s="1"/>
  <c r="H61" i="61"/>
  <c r="I61" i="61" s="1"/>
  <c r="H49" i="61"/>
  <c r="H84" i="61" s="1"/>
  <c r="I84" i="61" s="1"/>
  <c r="I55" i="61"/>
  <c r="I49" i="61"/>
  <c r="I9" i="61" s="1"/>
  <c r="H31" i="61"/>
  <c r="I31" i="61" s="1"/>
  <c r="V15" i="69" l="1"/>
  <c r="S44" i="13"/>
  <c r="H21" i="61"/>
  <c r="H83" i="61" s="1"/>
  <c r="I21" i="61"/>
  <c r="G9" i="61" s="1"/>
  <c r="I62" i="61"/>
  <c r="H62" i="61"/>
  <c r="H65" i="61" s="1"/>
  <c r="I65" i="61" s="1"/>
  <c r="H79" i="61"/>
  <c r="I38" i="61"/>
  <c r="H9" i="61" s="1"/>
  <c r="T44" i="13" l="1"/>
  <c r="W15" i="69"/>
  <c r="H82" i="61"/>
  <c r="I82" i="61" s="1"/>
  <c r="I83" i="61"/>
  <c r="I79" i="61"/>
  <c r="U44" i="13" l="1"/>
  <c r="X15" i="69"/>
  <c r="K10" i="57"/>
  <c r="Y15" i="69" l="1"/>
  <c r="V44" i="13"/>
  <c r="B10" i="59"/>
  <c r="B11" i="57" s="1"/>
  <c r="B5" i="58"/>
  <c r="W44" i="13" l="1"/>
  <c r="AA15" i="69" s="1"/>
  <c r="Z15" i="69"/>
  <c r="G5" i="47"/>
  <c r="G7" i="47"/>
  <c r="G4" i="47"/>
  <c r="AU12" i="50" l="1"/>
  <c r="AU29" i="50" l="1"/>
  <c r="D6" i="13" l="1"/>
  <c r="E13" i="17"/>
  <c r="E12" i="17"/>
  <c r="E14" i="17"/>
  <c r="AV2" i="35" l="1"/>
  <c r="AV12" i="50" l="1"/>
  <c r="AW12" i="50"/>
  <c r="AX12" i="50"/>
  <c r="AY12" i="50"/>
  <c r="AZ12" i="50"/>
  <c r="BA12" i="50"/>
  <c r="BB12" i="50"/>
  <c r="BC12" i="50"/>
  <c r="BD12" i="50"/>
  <c r="BE12" i="50"/>
  <c r="BF12" i="50"/>
  <c r="BG12" i="50"/>
  <c r="BH12" i="50"/>
  <c r="BI12" i="50"/>
  <c r="BJ12" i="50"/>
  <c r="BK12" i="50"/>
  <c r="BL12" i="50"/>
  <c r="BM12" i="50"/>
  <c r="BN12" i="50"/>
  <c r="BO12" i="50"/>
  <c r="BP12" i="50"/>
  <c r="BQ12" i="50"/>
  <c r="BR12" i="50"/>
  <c r="BS12" i="50"/>
  <c r="BT12" i="50"/>
  <c r="BU12" i="50"/>
  <c r="BV12" i="50"/>
  <c r="BW12" i="50"/>
  <c r="BX12" i="50"/>
  <c r="BY12" i="50"/>
  <c r="BZ12" i="50"/>
  <c r="CA12" i="50"/>
  <c r="CB12" i="50"/>
  <c r="CC12" i="50"/>
  <c r="CD12" i="50"/>
  <c r="CE12" i="50"/>
  <c r="CF12" i="50"/>
  <c r="CG12" i="50"/>
  <c r="CH12" i="50"/>
  <c r="CI12" i="50"/>
  <c r="CJ12" i="50"/>
  <c r="CK12" i="50"/>
  <c r="CL12" i="50"/>
  <c r="AU14" i="50"/>
  <c r="AU31" i="50" s="1"/>
  <c r="AV14" i="50"/>
  <c r="AV31" i="50" s="1"/>
  <c r="AW14" i="50"/>
  <c r="AW31" i="50" s="1"/>
  <c r="AX14" i="50"/>
  <c r="AX31" i="50" s="1"/>
  <c r="AY14" i="50"/>
  <c r="AY31" i="50" s="1"/>
  <c r="AZ14" i="50"/>
  <c r="AZ31" i="50" s="1"/>
  <c r="BA14" i="50"/>
  <c r="BA31" i="50" s="1"/>
  <c r="BB14" i="50"/>
  <c r="BB31" i="50" s="1"/>
  <c r="BC14" i="50"/>
  <c r="BC31" i="50" s="1"/>
  <c r="BD14" i="50"/>
  <c r="BD31" i="50" s="1"/>
  <c r="BE14" i="50"/>
  <c r="BE31" i="50" s="1"/>
  <c r="BF14" i="50"/>
  <c r="BF31" i="50" s="1"/>
  <c r="BG14" i="50"/>
  <c r="BG31" i="50" s="1"/>
  <c r="BH14" i="50"/>
  <c r="BH31" i="50" s="1"/>
  <c r="BI14" i="50"/>
  <c r="BI31" i="50" s="1"/>
  <c r="BJ14" i="50"/>
  <c r="BJ31" i="50" s="1"/>
  <c r="BK14" i="50"/>
  <c r="BK31" i="50" s="1"/>
  <c r="BL14" i="50"/>
  <c r="BL31" i="50" s="1"/>
  <c r="BM14" i="50"/>
  <c r="BM31" i="50" s="1"/>
  <c r="BN14" i="50"/>
  <c r="BN31" i="50" s="1"/>
  <c r="BO14" i="50"/>
  <c r="BO31" i="50" s="1"/>
  <c r="BP14" i="50"/>
  <c r="BP31" i="50" s="1"/>
  <c r="BQ14" i="50"/>
  <c r="BQ31" i="50" s="1"/>
  <c r="BR14" i="50"/>
  <c r="BR31" i="50" s="1"/>
  <c r="BS14" i="50"/>
  <c r="BS31" i="50" s="1"/>
  <c r="BT14" i="50"/>
  <c r="BT31" i="50" s="1"/>
  <c r="BU14" i="50"/>
  <c r="BU31" i="50" s="1"/>
  <c r="BV14" i="50"/>
  <c r="BV31" i="50" s="1"/>
  <c r="BW14" i="50"/>
  <c r="BW31" i="50" s="1"/>
  <c r="BX14" i="50"/>
  <c r="BX31" i="50" s="1"/>
  <c r="BY14" i="50"/>
  <c r="BY31" i="50" s="1"/>
  <c r="BZ14" i="50"/>
  <c r="BZ31" i="50" s="1"/>
  <c r="CA14" i="50"/>
  <c r="CA31" i="50" s="1"/>
  <c r="CB14" i="50"/>
  <c r="CB31" i="50" s="1"/>
  <c r="CC14" i="50"/>
  <c r="CC31" i="50" s="1"/>
  <c r="CD14" i="50"/>
  <c r="CD31" i="50" s="1"/>
  <c r="CE14" i="50"/>
  <c r="CE31" i="50" s="1"/>
  <c r="CF14" i="50"/>
  <c r="CF31" i="50" s="1"/>
  <c r="CG14" i="50"/>
  <c r="CG31" i="50" s="1"/>
  <c r="CH14" i="50"/>
  <c r="CH31" i="50" s="1"/>
  <c r="CI14" i="50"/>
  <c r="CI31" i="50" s="1"/>
  <c r="CJ14" i="50"/>
  <c r="CJ31" i="50" s="1"/>
  <c r="CK14" i="50"/>
  <c r="CK31" i="50" s="1"/>
  <c r="CL14" i="50"/>
  <c r="CL31" i="50" s="1"/>
  <c r="AU15" i="50"/>
  <c r="AU32" i="50" s="1"/>
  <c r="AV15" i="50"/>
  <c r="AV32" i="50" s="1"/>
  <c r="AW15" i="50"/>
  <c r="AW32" i="50" s="1"/>
  <c r="AX15" i="50"/>
  <c r="AX32" i="50" s="1"/>
  <c r="AY15" i="50"/>
  <c r="AY32" i="50" s="1"/>
  <c r="AZ15" i="50"/>
  <c r="AZ32" i="50" s="1"/>
  <c r="BA15" i="50"/>
  <c r="BA32" i="50" s="1"/>
  <c r="BB15" i="50"/>
  <c r="BB32" i="50" s="1"/>
  <c r="BC15" i="50"/>
  <c r="BC32" i="50" s="1"/>
  <c r="BD15" i="50"/>
  <c r="BD32" i="50" s="1"/>
  <c r="BE15" i="50"/>
  <c r="BE32" i="50" s="1"/>
  <c r="BF15" i="50"/>
  <c r="BF32" i="50" s="1"/>
  <c r="BG15" i="50"/>
  <c r="BG32" i="50" s="1"/>
  <c r="BH15" i="50"/>
  <c r="BH32" i="50" s="1"/>
  <c r="BI15" i="50"/>
  <c r="BI32" i="50" s="1"/>
  <c r="BJ15" i="50"/>
  <c r="BJ32" i="50" s="1"/>
  <c r="BK15" i="50"/>
  <c r="BK32" i="50" s="1"/>
  <c r="BL15" i="50"/>
  <c r="BL32" i="50" s="1"/>
  <c r="BM15" i="50"/>
  <c r="BM32" i="50" s="1"/>
  <c r="BN15" i="50"/>
  <c r="BN32" i="50" s="1"/>
  <c r="BO15" i="50"/>
  <c r="BO32" i="50" s="1"/>
  <c r="BP15" i="50"/>
  <c r="BP32" i="50" s="1"/>
  <c r="BQ15" i="50"/>
  <c r="BQ32" i="50" s="1"/>
  <c r="BR15" i="50"/>
  <c r="BR32" i="50" s="1"/>
  <c r="BS15" i="50"/>
  <c r="BS32" i="50" s="1"/>
  <c r="BT15" i="50"/>
  <c r="BT32" i="50" s="1"/>
  <c r="BU15" i="50"/>
  <c r="BU32" i="50" s="1"/>
  <c r="BV15" i="50"/>
  <c r="BV32" i="50" s="1"/>
  <c r="BW15" i="50"/>
  <c r="BW32" i="50" s="1"/>
  <c r="BX15" i="50"/>
  <c r="BX32" i="50" s="1"/>
  <c r="BY15" i="50"/>
  <c r="BY32" i="50" s="1"/>
  <c r="BZ15" i="50"/>
  <c r="BZ32" i="50" s="1"/>
  <c r="CA15" i="50"/>
  <c r="CA32" i="50" s="1"/>
  <c r="CB15" i="50"/>
  <c r="CB32" i="50" s="1"/>
  <c r="CC15" i="50"/>
  <c r="CC32" i="50" s="1"/>
  <c r="CD15" i="50"/>
  <c r="CD32" i="50" s="1"/>
  <c r="CE15" i="50"/>
  <c r="CE32" i="50" s="1"/>
  <c r="CF15" i="50"/>
  <c r="CF32" i="50" s="1"/>
  <c r="CG15" i="50"/>
  <c r="CG32" i="50" s="1"/>
  <c r="CH15" i="50"/>
  <c r="CH32" i="50" s="1"/>
  <c r="CI15" i="50"/>
  <c r="CI32" i="50" s="1"/>
  <c r="CJ15" i="50"/>
  <c r="CJ32" i="50" s="1"/>
  <c r="CK15" i="50"/>
  <c r="CK32" i="50" s="1"/>
  <c r="CL15" i="50"/>
  <c r="CL32" i="50" s="1"/>
  <c r="AT14" i="50"/>
  <c r="CM14" i="50" s="1"/>
  <c r="AT15" i="50"/>
  <c r="A1" i="17"/>
  <c r="F6" i="47"/>
  <c r="CE29" i="50" l="1"/>
  <c r="CA29" i="50"/>
  <c r="BW29" i="50"/>
  <c r="BS29" i="50"/>
  <c r="BO29" i="50"/>
  <c r="BK29" i="50"/>
  <c r="BG29" i="50"/>
  <c r="BC29" i="50"/>
  <c r="AY29" i="50"/>
  <c r="BC13" i="50"/>
  <c r="BC30" i="50" s="1"/>
  <c r="K13" i="72"/>
  <c r="O13" i="72"/>
  <c r="S13" i="72"/>
  <c r="W13" i="72"/>
  <c r="AA13" i="72"/>
  <c r="AE13" i="72"/>
  <c r="AI13" i="72"/>
  <c r="AM13" i="72"/>
  <c r="AQ13" i="72"/>
  <c r="AU13" i="72"/>
  <c r="AY13" i="72"/>
  <c r="BC13" i="72"/>
  <c r="BG13" i="72"/>
  <c r="BK13" i="72"/>
  <c r="BO13" i="72"/>
  <c r="BS13" i="72"/>
  <c r="BW13" i="72"/>
  <c r="CA13" i="72"/>
  <c r="CE13" i="72"/>
  <c r="CI13" i="72"/>
  <c r="CM13" i="72"/>
  <c r="H13" i="72"/>
  <c r="L13" i="72"/>
  <c r="P13" i="72"/>
  <c r="T13" i="72"/>
  <c r="X13" i="72"/>
  <c r="AB13" i="72"/>
  <c r="AF13" i="72"/>
  <c r="AJ13" i="72"/>
  <c r="AN13" i="72"/>
  <c r="AR13" i="72"/>
  <c r="AV13" i="72"/>
  <c r="AZ13" i="72"/>
  <c r="BD13" i="72"/>
  <c r="BH13" i="72"/>
  <c r="BL13" i="72"/>
  <c r="BP13" i="72"/>
  <c r="BT13" i="72"/>
  <c r="BX13" i="72"/>
  <c r="CB13" i="72"/>
  <c r="CF13" i="72"/>
  <c r="CJ13" i="72"/>
  <c r="G13" i="72"/>
  <c r="I13" i="72"/>
  <c r="M13" i="72"/>
  <c r="Q13" i="72"/>
  <c r="U13" i="72"/>
  <c r="Y13" i="72"/>
  <c r="AC13" i="72"/>
  <c r="AG13" i="72"/>
  <c r="AK13" i="72"/>
  <c r="AO13" i="72"/>
  <c r="AS13" i="72"/>
  <c r="AW13" i="72"/>
  <c r="BA13" i="72"/>
  <c r="BE13" i="72"/>
  <c r="BI13" i="72"/>
  <c r="BM13" i="72"/>
  <c r="BQ13" i="72"/>
  <c r="BU13" i="72"/>
  <c r="BY13" i="72"/>
  <c r="CC13" i="72"/>
  <c r="CG13" i="72"/>
  <c r="CK13" i="72"/>
  <c r="V13" i="72"/>
  <c r="AL13" i="72"/>
  <c r="BB13" i="72"/>
  <c r="BR13" i="72"/>
  <c r="CH13" i="72"/>
  <c r="AX13" i="72"/>
  <c r="J13" i="72"/>
  <c r="Z13" i="72"/>
  <c r="AP13" i="72"/>
  <c r="BF13" i="72"/>
  <c r="BV13" i="72"/>
  <c r="CL13" i="72"/>
  <c r="BN13" i="72"/>
  <c r="N13" i="72"/>
  <c r="AD13" i="72"/>
  <c r="AT13" i="72"/>
  <c r="BJ13" i="72"/>
  <c r="BZ13" i="72"/>
  <c r="R13" i="72"/>
  <c r="AH13" i="72"/>
  <c r="CD13" i="72"/>
  <c r="O13" i="50"/>
  <c r="K13" i="50"/>
  <c r="G13" i="50"/>
  <c r="R13" i="50"/>
  <c r="N13" i="50"/>
  <c r="J13" i="50"/>
  <c r="Q13" i="50"/>
  <c r="M13" i="50"/>
  <c r="I13" i="50"/>
  <c r="P13" i="50"/>
  <c r="L13" i="50"/>
  <c r="H13" i="50"/>
  <c r="S13" i="50"/>
  <c r="W13" i="50"/>
  <c r="AA13" i="50"/>
  <c r="AE13" i="50"/>
  <c r="AI13" i="50"/>
  <c r="AM13" i="50"/>
  <c r="AQ13" i="50"/>
  <c r="U13" i="50"/>
  <c r="Y13" i="50"/>
  <c r="AC13" i="50"/>
  <c r="AK13" i="50"/>
  <c r="AO13" i="50"/>
  <c r="AS13" i="50"/>
  <c r="V13" i="50"/>
  <c r="Z13" i="50"/>
  <c r="AD13" i="50"/>
  <c r="AH13" i="50"/>
  <c r="AL13" i="50"/>
  <c r="AP13" i="50"/>
  <c r="T13" i="50"/>
  <c r="X13" i="50"/>
  <c r="AB13" i="50"/>
  <c r="AF13" i="50"/>
  <c r="AJ13" i="50"/>
  <c r="AN13" i="50"/>
  <c r="AR13" i="50"/>
  <c r="AG13" i="50"/>
  <c r="CH29" i="50"/>
  <c r="CD29" i="50"/>
  <c r="BZ29" i="50"/>
  <c r="BV29" i="50"/>
  <c r="BR29" i="50"/>
  <c r="BN29" i="50"/>
  <c r="BJ29" i="50"/>
  <c r="BF29" i="50"/>
  <c r="BB29" i="50"/>
  <c r="AX29" i="50"/>
  <c r="CI29" i="50"/>
  <c r="CK29" i="50"/>
  <c r="CG29" i="50"/>
  <c r="CC29" i="50"/>
  <c r="BY29" i="50"/>
  <c r="BU29" i="50"/>
  <c r="BQ29" i="50"/>
  <c r="BM29" i="50"/>
  <c r="BI29" i="50"/>
  <c r="BE29" i="50"/>
  <c r="BA29" i="50"/>
  <c r="AW29" i="50"/>
  <c r="CM15" i="50"/>
  <c r="CJ29" i="50"/>
  <c r="CF29" i="50"/>
  <c r="CB29" i="50"/>
  <c r="BX29" i="50"/>
  <c r="BT29" i="50"/>
  <c r="BP29" i="50"/>
  <c r="BL29" i="50"/>
  <c r="BH29" i="50"/>
  <c r="BD29" i="50"/>
  <c r="AZ29" i="50"/>
  <c r="AV29" i="50"/>
  <c r="CM12" i="50"/>
  <c r="AT31" i="50"/>
  <c r="CM31" i="50" s="1"/>
  <c r="CL29" i="50"/>
  <c r="AT32" i="50"/>
  <c r="CM32" i="50" s="1"/>
  <c r="CI13" i="50"/>
  <c r="CI30" i="50" s="1"/>
  <c r="BX13" i="50"/>
  <c r="BX30" i="50" s="1"/>
  <c r="BF13" i="50"/>
  <c r="BF30" i="50" s="1"/>
  <c r="CF13" i="50"/>
  <c r="CF30" i="50" s="1"/>
  <c r="BV13" i="50"/>
  <c r="BV30" i="50" s="1"/>
  <c r="AW13" i="50"/>
  <c r="AW30" i="50" s="1"/>
  <c r="CD13" i="50"/>
  <c r="CD30" i="50" s="1"/>
  <c r="BP13" i="50"/>
  <c r="BP30" i="50" s="1"/>
  <c r="CL13" i="50"/>
  <c r="CL18" i="50" s="1"/>
  <c r="CA13" i="50"/>
  <c r="CA30" i="50" s="1"/>
  <c r="BK13" i="50"/>
  <c r="BK30" i="50" s="1"/>
  <c r="CK25" i="50"/>
  <c r="CI24" i="50"/>
  <c r="CK26" i="50"/>
  <c r="CJ26" i="50"/>
  <c r="CJ25" i="50"/>
  <c r="CI25" i="50"/>
  <c r="CI26" i="50"/>
  <c r="CL26" i="50"/>
  <c r="CH26" i="50"/>
  <c r="CL25" i="50"/>
  <c r="CH25" i="50"/>
  <c r="CD26" i="50"/>
  <c r="BV26" i="50"/>
  <c r="BN26" i="50"/>
  <c r="BF26" i="50"/>
  <c r="AX26" i="50"/>
  <c r="BZ25" i="50"/>
  <c r="CG26" i="50"/>
  <c r="CC26" i="50"/>
  <c r="BY26" i="50"/>
  <c r="BU26" i="50"/>
  <c r="BQ26" i="50"/>
  <c r="BM26" i="50"/>
  <c r="BI26" i="50"/>
  <c r="BE26" i="50"/>
  <c r="BA26" i="50"/>
  <c r="AW26" i="50"/>
  <c r="CG25" i="50"/>
  <c r="CC25" i="50"/>
  <c r="BY25" i="50"/>
  <c r="BU25" i="50"/>
  <c r="BQ25" i="50"/>
  <c r="BM25" i="50"/>
  <c r="BI25" i="50"/>
  <c r="BE25" i="50"/>
  <c r="BA25" i="50"/>
  <c r="AW25" i="50"/>
  <c r="AT26" i="50"/>
  <c r="CB26" i="50"/>
  <c r="BT26" i="50"/>
  <c r="BL26" i="50"/>
  <c r="BD26" i="50"/>
  <c r="CB25" i="50"/>
  <c r="BX25" i="50"/>
  <c r="BP25" i="50"/>
  <c r="BL25" i="50"/>
  <c r="BH25" i="50"/>
  <c r="BD25" i="50"/>
  <c r="AZ25" i="50"/>
  <c r="AV25" i="50"/>
  <c r="AW24" i="50"/>
  <c r="CF26" i="50"/>
  <c r="BX26" i="50"/>
  <c r="BP26" i="50"/>
  <c r="BH26" i="50"/>
  <c r="AZ26" i="50"/>
  <c r="AV26" i="50"/>
  <c r="CF25" i="50"/>
  <c r="BT25" i="50"/>
  <c r="BC24" i="50"/>
  <c r="AT25" i="50"/>
  <c r="CE26" i="50"/>
  <c r="CA26" i="50"/>
  <c r="BW26" i="50"/>
  <c r="BS26" i="50"/>
  <c r="BO26" i="50"/>
  <c r="BK26" i="50"/>
  <c r="BG26" i="50"/>
  <c r="BC26" i="50"/>
  <c r="AY26" i="50"/>
  <c r="AU26" i="50"/>
  <c r="CE25" i="50"/>
  <c r="CA25" i="50"/>
  <c r="BW25" i="50"/>
  <c r="BS25" i="50"/>
  <c r="BO25" i="50"/>
  <c r="BK25" i="50"/>
  <c r="BG25" i="50"/>
  <c r="BC25" i="50"/>
  <c r="AY25" i="50"/>
  <c r="AU25" i="50"/>
  <c r="BZ26" i="50"/>
  <c r="BR26" i="50"/>
  <c r="BJ26" i="50"/>
  <c r="BB26" i="50"/>
  <c r="CD25" i="50"/>
  <c r="BV25" i="50"/>
  <c r="BR25" i="50"/>
  <c r="BN25" i="50"/>
  <c r="BJ25" i="50"/>
  <c r="BF25" i="50"/>
  <c r="BB25" i="50"/>
  <c r="AX25" i="50"/>
  <c r="BC21" i="50"/>
  <c r="BC19" i="50"/>
  <c r="BC22" i="50"/>
  <c r="BC20" i="50"/>
  <c r="BC18" i="50"/>
  <c r="BC16" i="50"/>
  <c r="BC33" i="50" s="1"/>
  <c r="BC28" i="50" s="1"/>
  <c r="CJ13" i="50"/>
  <c r="CJ30" i="50" s="1"/>
  <c r="CE13" i="50"/>
  <c r="CE30" i="50" s="1"/>
  <c r="BZ13" i="50"/>
  <c r="BZ30" i="50" s="1"/>
  <c r="BT13" i="50"/>
  <c r="BT30" i="50" s="1"/>
  <c r="BO13" i="50"/>
  <c r="BO30" i="50" s="1"/>
  <c r="BJ13" i="50"/>
  <c r="BJ30" i="50" s="1"/>
  <c r="BD13" i="50"/>
  <c r="BD30" i="50" s="1"/>
  <c r="AV13" i="50"/>
  <c r="AV30" i="50" s="1"/>
  <c r="AT46" i="50"/>
  <c r="BS13" i="50"/>
  <c r="BS30" i="50" s="1"/>
  <c r="BN13" i="50"/>
  <c r="BN30" i="50" s="1"/>
  <c r="BH13" i="50"/>
  <c r="BH30" i="50" s="1"/>
  <c r="G6" i="47"/>
  <c r="CH13" i="50"/>
  <c r="CH30" i="50" s="1"/>
  <c r="CB13" i="50"/>
  <c r="CB30" i="50" s="1"/>
  <c r="BW13" i="50"/>
  <c r="BW30" i="50" s="1"/>
  <c r="BR13" i="50"/>
  <c r="BR30" i="50" s="1"/>
  <c r="BL13" i="50"/>
  <c r="BL30" i="50" s="1"/>
  <c r="BG13" i="50"/>
  <c r="BG30" i="50" s="1"/>
  <c r="BA13" i="50"/>
  <c r="BA30" i="50" s="1"/>
  <c r="AX13" i="50"/>
  <c r="AX30" i="50" s="1"/>
  <c r="BB13" i="50"/>
  <c r="BB30" i="50" s="1"/>
  <c r="AU13" i="50"/>
  <c r="AY13" i="50"/>
  <c r="AY30" i="50" s="1"/>
  <c r="AT13" i="50"/>
  <c r="AT17" i="50" s="1"/>
  <c r="CK13" i="50"/>
  <c r="CK30" i="50" s="1"/>
  <c r="CG13" i="50"/>
  <c r="CG30" i="50" s="1"/>
  <c r="CC13" i="50"/>
  <c r="CC30" i="50" s="1"/>
  <c r="BY13" i="50"/>
  <c r="BY30" i="50" s="1"/>
  <c r="BU13" i="50"/>
  <c r="BU30" i="50" s="1"/>
  <c r="BQ13" i="50"/>
  <c r="BQ30" i="50" s="1"/>
  <c r="BM13" i="50"/>
  <c r="BM30" i="50" s="1"/>
  <c r="BI13" i="50"/>
  <c r="BI30" i="50" s="1"/>
  <c r="BE13" i="50"/>
  <c r="BE30" i="50" s="1"/>
  <c r="AZ13" i="50"/>
  <c r="AZ30" i="50" s="1"/>
  <c r="F8" i="47"/>
  <c r="G11" i="47" s="1"/>
  <c r="BU17" i="50" l="1"/>
  <c r="AX17" i="50"/>
  <c r="BE17" i="50"/>
  <c r="BS17" i="50"/>
  <c r="CC17" i="50"/>
  <c r="CD17" i="50"/>
  <c r="BF17" i="50"/>
  <c r="BC17" i="50"/>
  <c r="BM17" i="50"/>
  <c r="CA17" i="50"/>
  <c r="CM26" i="50"/>
  <c r="CK17" i="50"/>
  <c r="AW17" i="50"/>
  <c r="BK17" i="50"/>
  <c r="AO24" i="50"/>
  <c r="AO22" i="50"/>
  <c r="AO47" i="50"/>
  <c r="AO19" i="50"/>
  <c r="AO21" i="50"/>
  <c r="AO18" i="50"/>
  <c r="AO30" i="50"/>
  <c r="AO20" i="50"/>
  <c r="AO16" i="50"/>
  <c r="AO17" i="50"/>
  <c r="AO66" i="50" s="1"/>
  <c r="H47" i="50"/>
  <c r="H17" i="50"/>
  <c r="H20" i="50"/>
  <c r="H16" i="50"/>
  <c r="H21" i="50"/>
  <c r="H22" i="50"/>
  <c r="H18" i="50"/>
  <c r="H19" i="50"/>
  <c r="CD47" i="72"/>
  <c r="CD30" i="72"/>
  <c r="CD28" i="72" s="1"/>
  <c r="CD24" i="72"/>
  <c r="AP47" i="72"/>
  <c r="AP24" i="72"/>
  <c r="AP30" i="72"/>
  <c r="AP28" i="72" s="1"/>
  <c r="BI47" i="72"/>
  <c r="BI30" i="72"/>
  <c r="BI28" i="72" s="1"/>
  <c r="BI24" i="72"/>
  <c r="CF24" i="72"/>
  <c r="CF30" i="72"/>
  <c r="CF28" i="72" s="1"/>
  <c r="CF47" i="72"/>
  <c r="AJ24" i="72"/>
  <c r="AJ30" i="72"/>
  <c r="AJ28" i="72" s="1"/>
  <c r="AJ47" i="72"/>
  <c r="CM30" i="72"/>
  <c r="CM28" i="72" s="1"/>
  <c r="CM24" i="72"/>
  <c r="AA24" i="72"/>
  <c r="AA30" i="72"/>
  <c r="AA28" i="72" s="1"/>
  <c r="AA47" i="72"/>
  <c r="CM25" i="50"/>
  <c r="AV17" i="50"/>
  <c r="BD17" i="50"/>
  <c r="BL17" i="50"/>
  <c r="BT17" i="50"/>
  <c r="CB17" i="50"/>
  <c r="CJ17" i="50"/>
  <c r="AG24" i="50"/>
  <c r="AG18" i="50"/>
  <c r="AG47" i="50"/>
  <c r="AG21" i="50"/>
  <c r="AG22" i="50"/>
  <c r="AG30" i="50"/>
  <c r="AG16" i="50"/>
  <c r="AG17" i="50"/>
  <c r="AG19" i="50"/>
  <c r="AG20" i="50"/>
  <c r="AF30" i="50"/>
  <c r="AF17" i="50"/>
  <c r="AF16" i="50"/>
  <c r="AF21" i="50"/>
  <c r="AF18" i="50"/>
  <c r="AF24" i="50"/>
  <c r="AF20" i="50"/>
  <c r="AF19" i="50"/>
  <c r="AF47" i="50"/>
  <c r="AF22" i="50"/>
  <c r="AP47" i="50"/>
  <c r="AP17" i="50"/>
  <c r="AP18" i="50"/>
  <c r="AP24" i="50"/>
  <c r="AP30" i="50"/>
  <c r="AP19" i="50"/>
  <c r="AP20" i="50"/>
  <c r="AP16" i="50"/>
  <c r="AP22" i="50"/>
  <c r="AP21" i="50"/>
  <c r="Z47" i="50"/>
  <c r="Z17" i="50"/>
  <c r="Z30" i="50"/>
  <c r="Z19" i="50"/>
  <c r="Z20" i="50"/>
  <c r="Z16" i="50"/>
  <c r="Z22" i="50"/>
  <c r="Z18" i="50"/>
  <c r="Z24" i="50"/>
  <c r="Z21" i="50"/>
  <c r="AK24" i="50"/>
  <c r="AK16" i="50"/>
  <c r="AK17" i="50"/>
  <c r="AK66" i="50" s="1"/>
  <c r="AK18" i="50"/>
  <c r="AK19" i="50"/>
  <c r="AK21" i="50"/>
  <c r="AK22" i="50"/>
  <c r="AK47" i="50"/>
  <c r="AK20" i="50"/>
  <c r="AK30" i="50"/>
  <c r="AQ47" i="50"/>
  <c r="AQ17" i="50"/>
  <c r="AQ30" i="50"/>
  <c r="AQ18" i="50"/>
  <c r="AQ16" i="50"/>
  <c r="AQ24" i="50"/>
  <c r="AQ19" i="50"/>
  <c r="AQ22" i="50"/>
  <c r="AQ20" i="50"/>
  <c r="AQ21" i="50"/>
  <c r="AA47" i="50"/>
  <c r="AA17" i="50"/>
  <c r="AA19" i="50"/>
  <c r="AA30" i="50"/>
  <c r="AA24" i="50"/>
  <c r="AA16" i="50"/>
  <c r="AA21" i="50"/>
  <c r="AA18" i="50"/>
  <c r="AA20" i="50"/>
  <c r="AA22" i="50"/>
  <c r="L47" i="50"/>
  <c r="L21" i="50"/>
  <c r="L17" i="50"/>
  <c r="L16" i="50"/>
  <c r="L20" i="50"/>
  <c r="L19" i="50"/>
  <c r="L22" i="50"/>
  <c r="L18" i="50"/>
  <c r="Q47" i="50"/>
  <c r="Q17" i="50"/>
  <c r="Q66" i="50" s="1"/>
  <c r="Q16" i="50"/>
  <c r="Q19" i="50"/>
  <c r="Q18" i="50"/>
  <c r="Q21" i="50"/>
  <c r="Q20" i="50"/>
  <c r="Q22" i="50"/>
  <c r="CM13" i="50"/>
  <c r="G47" i="50"/>
  <c r="G22" i="50"/>
  <c r="G19" i="50"/>
  <c r="G17" i="50"/>
  <c r="G21" i="50"/>
  <c r="G16" i="50"/>
  <c r="G20" i="50"/>
  <c r="G18" i="50"/>
  <c r="AH47" i="72"/>
  <c r="AH30" i="72"/>
  <c r="AH28" i="72" s="1"/>
  <c r="AH24" i="72"/>
  <c r="AT47" i="72"/>
  <c r="AT24" i="72"/>
  <c r="AT30" i="72"/>
  <c r="AT28" i="72" s="1"/>
  <c r="CL47" i="72"/>
  <c r="CL24" i="72"/>
  <c r="CL30" i="72"/>
  <c r="CL28" i="72" s="1"/>
  <c r="Z47" i="72"/>
  <c r="Z24" i="72"/>
  <c r="Z30" i="72"/>
  <c r="Z28" i="72" s="1"/>
  <c r="BR47" i="72"/>
  <c r="BR30" i="72"/>
  <c r="BR28" i="72" s="1"/>
  <c r="BR24" i="72"/>
  <c r="CK24" i="72"/>
  <c r="CK30" i="72"/>
  <c r="CK28" i="72" s="1"/>
  <c r="CK47" i="72"/>
  <c r="BU24" i="72"/>
  <c r="BU30" i="72"/>
  <c r="BU28" i="72" s="1"/>
  <c r="BU47" i="72"/>
  <c r="BE24" i="72"/>
  <c r="BE30" i="72"/>
  <c r="BE28" i="72" s="1"/>
  <c r="BE47" i="72"/>
  <c r="AO24" i="72"/>
  <c r="AO30" i="72"/>
  <c r="AO28" i="72" s="1"/>
  <c r="AO47" i="72"/>
  <c r="Y24" i="72"/>
  <c r="Y30" i="72"/>
  <c r="Y28" i="72" s="1"/>
  <c r="Y47" i="72"/>
  <c r="I24" i="72"/>
  <c r="I30" i="72"/>
  <c r="I28" i="72" s="1"/>
  <c r="I47" i="72"/>
  <c r="CB24" i="72"/>
  <c r="CB30" i="72"/>
  <c r="CB28" i="72" s="1"/>
  <c r="CB47" i="72"/>
  <c r="BL24" i="72"/>
  <c r="BL30" i="72"/>
  <c r="BL28" i="72" s="1"/>
  <c r="BL47" i="72"/>
  <c r="AV24" i="72"/>
  <c r="AV30" i="72"/>
  <c r="AV28" i="72" s="1"/>
  <c r="AV47" i="72"/>
  <c r="AF24" i="72"/>
  <c r="AF30" i="72"/>
  <c r="AF28" i="72" s="1"/>
  <c r="AF47" i="72"/>
  <c r="P24" i="72"/>
  <c r="P30" i="72"/>
  <c r="P28" i="72" s="1"/>
  <c r="P47" i="72"/>
  <c r="CI24" i="72"/>
  <c r="CI30" i="72"/>
  <c r="CI28" i="72" s="1"/>
  <c r="CI47" i="72"/>
  <c r="BS47" i="72"/>
  <c r="BS24" i="72"/>
  <c r="BS30" i="72"/>
  <c r="BS28" i="72" s="1"/>
  <c r="BC47" i="72"/>
  <c r="BC24" i="72"/>
  <c r="BC30" i="72"/>
  <c r="BC28" i="72" s="1"/>
  <c r="AM47" i="72"/>
  <c r="AM24" i="72"/>
  <c r="AM30" i="72"/>
  <c r="AM28" i="72" s="1"/>
  <c r="W47" i="72"/>
  <c r="W24" i="72"/>
  <c r="W30" i="72"/>
  <c r="W28" i="72" s="1"/>
  <c r="BN17" i="50"/>
  <c r="CL17" i="50"/>
  <c r="T30" i="50"/>
  <c r="T18" i="50"/>
  <c r="T24" i="50"/>
  <c r="T20" i="50"/>
  <c r="T47" i="50"/>
  <c r="T22" i="50"/>
  <c r="T19" i="50"/>
  <c r="T17" i="50"/>
  <c r="T21" i="50"/>
  <c r="T16" i="50"/>
  <c r="AE47" i="50"/>
  <c r="AE30" i="50"/>
  <c r="AE24" i="50"/>
  <c r="AE21" i="50"/>
  <c r="AE18" i="50"/>
  <c r="AE16" i="50"/>
  <c r="AE19" i="50"/>
  <c r="AE22" i="50"/>
  <c r="AE17" i="50"/>
  <c r="AE66" i="50" s="1"/>
  <c r="AE20" i="50"/>
  <c r="M47" i="50"/>
  <c r="M21" i="50"/>
  <c r="M22" i="50"/>
  <c r="M20" i="50"/>
  <c r="M19" i="50"/>
  <c r="M17" i="50"/>
  <c r="M16" i="50"/>
  <c r="M18" i="50"/>
  <c r="BJ47" i="72"/>
  <c r="BJ30" i="72"/>
  <c r="BJ28" i="72" s="1"/>
  <c r="BJ24" i="72"/>
  <c r="CH47" i="72"/>
  <c r="CH24" i="72"/>
  <c r="CH30" i="72"/>
  <c r="CH28" i="72" s="1"/>
  <c r="BY47" i="72"/>
  <c r="BY30" i="72"/>
  <c r="BY28" i="72" s="1"/>
  <c r="BY24" i="72"/>
  <c r="AC47" i="72"/>
  <c r="AC30" i="72"/>
  <c r="AC28" i="72" s="1"/>
  <c r="AC24" i="72"/>
  <c r="AZ24" i="72"/>
  <c r="AZ30" i="72"/>
  <c r="AZ28" i="72" s="1"/>
  <c r="AZ47" i="72"/>
  <c r="BW24" i="72"/>
  <c r="BW30" i="72"/>
  <c r="BW28" i="72" s="1"/>
  <c r="BW47" i="72"/>
  <c r="CM29" i="50"/>
  <c r="BA17" i="50"/>
  <c r="BI17" i="50"/>
  <c r="BQ17" i="50"/>
  <c r="BY17" i="50"/>
  <c r="CG17" i="50"/>
  <c r="CI17" i="50"/>
  <c r="BB17" i="50"/>
  <c r="BJ17" i="50"/>
  <c r="BR17" i="50"/>
  <c r="BZ17" i="50"/>
  <c r="CH17" i="50"/>
  <c r="AR17" i="50"/>
  <c r="AR66" i="50" s="1"/>
  <c r="AR16" i="50"/>
  <c r="AR19" i="50"/>
  <c r="AR47" i="50"/>
  <c r="AR20" i="50"/>
  <c r="AR22" i="50"/>
  <c r="AR21" i="50"/>
  <c r="AR30" i="50"/>
  <c r="AR18" i="50"/>
  <c r="AR24" i="50"/>
  <c r="AB21" i="50"/>
  <c r="AB16" i="50"/>
  <c r="AB24" i="50"/>
  <c r="AB22" i="50"/>
  <c r="AB47" i="50"/>
  <c r="AB20" i="50"/>
  <c r="AB19" i="50"/>
  <c r="AB17" i="50"/>
  <c r="AB30" i="50"/>
  <c r="AB18" i="50"/>
  <c r="AL47" i="50"/>
  <c r="AL21" i="50"/>
  <c r="AL19" i="50"/>
  <c r="AL22" i="50"/>
  <c r="AL17" i="50"/>
  <c r="AL66" i="50" s="1"/>
  <c r="AL24" i="50"/>
  <c r="AL20" i="50"/>
  <c r="AL16" i="50"/>
  <c r="AL18" i="50"/>
  <c r="AL30" i="50"/>
  <c r="V47" i="50"/>
  <c r="V18" i="50"/>
  <c r="V30" i="50"/>
  <c r="V21" i="50"/>
  <c r="V17" i="50"/>
  <c r="V19" i="50"/>
  <c r="V20" i="50"/>
  <c r="V16" i="50"/>
  <c r="V22" i="50"/>
  <c r="V24" i="50"/>
  <c r="AC24" i="50"/>
  <c r="AC20" i="50"/>
  <c r="AC30" i="50"/>
  <c r="AC19" i="50"/>
  <c r="AC17" i="50"/>
  <c r="AC66" i="50" s="1"/>
  <c r="AC16" i="50"/>
  <c r="AC21" i="50"/>
  <c r="AC22" i="50"/>
  <c r="AC18" i="50"/>
  <c r="AC54" i="50" s="1"/>
  <c r="AC47" i="50"/>
  <c r="AM47" i="50"/>
  <c r="AM20" i="50"/>
  <c r="AM19" i="50"/>
  <c r="AM22" i="50"/>
  <c r="AM17" i="50"/>
  <c r="AM18" i="50"/>
  <c r="AM24" i="50"/>
  <c r="AM16" i="50"/>
  <c r="AM30" i="50"/>
  <c r="AM21" i="50"/>
  <c r="W47" i="50"/>
  <c r="W24" i="50"/>
  <c r="W19" i="50"/>
  <c r="W22" i="50"/>
  <c r="W21" i="50"/>
  <c r="W18" i="50"/>
  <c r="W17" i="50"/>
  <c r="W30" i="50"/>
  <c r="W20" i="50"/>
  <c r="W16" i="50"/>
  <c r="P47" i="50"/>
  <c r="P22" i="50"/>
  <c r="P19" i="50"/>
  <c r="P20" i="50"/>
  <c r="P17" i="50"/>
  <c r="P16" i="50"/>
  <c r="P18" i="50"/>
  <c r="P21" i="50"/>
  <c r="J47" i="50"/>
  <c r="J21" i="50"/>
  <c r="J19" i="50"/>
  <c r="J20" i="50"/>
  <c r="J18" i="50"/>
  <c r="J17" i="50"/>
  <c r="J16" i="50"/>
  <c r="J22" i="50"/>
  <c r="K47" i="50"/>
  <c r="K22" i="50"/>
  <c r="K16" i="50"/>
  <c r="K17" i="50"/>
  <c r="K18" i="50"/>
  <c r="K21" i="50"/>
  <c r="K20" i="50"/>
  <c r="K19" i="50"/>
  <c r="R47" i="72"/>
  <c r="R30" i="72"/>
  <c r="R28" i="72" s="1"/>
  <c r="R24" i="72"/>
  <c r="AD47" i="72"/>
  <c r="AD30" i="72"/>
  <c r="AD28" i="72" s="1"/>
  <c r="AD24" i="72"/>
  <c r="BV47" i="72"/>
  <c r="BV24" i="72"/>
  <c r="BV30" i="72"/>
  <c r="BV28" i="72" s="1"/>
  <c r="J47" i="72"/>
  <c r="J24" i="72"/>
  <c r="J30" i="72"/>
  <c r="J28" i="72" s="1"/>
  <c r="BB47" i="72"/>
  <c r="BB24" i="72"/>
  <c r="BB30" i="72"/>
  <c r="BB28" i="72" s="1"/>
  <c r="CG24" i="72"/>
  <c r="CG47" i="72"/>
  <c r="CG30" i="72"/>
  <c r="CG28" i="72" s="1"/>
  <c r="BQ24" i="72"/>
  <c r="BQ47" i="72"/>
  <c r="BQ30" i="72"/>
  <c r="BQ28" i="72" s="1"/>
  <c r="BA24" i="72"/>
  <c r="BA47" i="72"/>
  <c r="BA30" i="72"/>
  <c r="BA28" i="72" s="1"/>
  <c r="AK24" i="72"/>
  <c r="AK47" i="72"/>
  <c r="AK30" i="72"/>
  <c r="AK28" i="72" s="1"/>
  <c r="U24" i="72"/>
  <c r="U47" i="72"/>
  <c r="U30" i="72"/>
  <c r="U28" i="72" s="1"/>
  <c r="G47" i="72"/>
  <c r="G24" i="72"/>
  <c r="G30" i="72"/>
  <c r="G28" i="72" s="1"/>
  <c r="BX30" i="72"/>
  <c r="BX28" i="72" s="1"/>
  <c r="BX47" i="72"/>
  <c r="BX24" i="72"/>
  <c r="BH30" i="72"/>
  <c r="BH28" i="72" s="1"/>
  <c r="BH24" i="72"/>
  <c r="BH47" i="72"/>
  <c r="AR30" i="72"/>
  <c r="AR28" i="72" s="1"/>
  <c r="AR47" i="72"/>
  <c r="AR24" i="72"/>
  <c r="AB30" i="72"/>
  <c r="AB28" i="72" s="1"/>
  <c r="AB24" i="72"/>
  <c r="AB47" i="72"/>
  <c r="L30" i="72"/>
  <c r="L28" i="72" s="1"/>
  <c r="L47" i="72"/>
  <c r="L24" i="72"/>
  <c r="CE47" i="72"/>
  <c r="CE24" i="72"/>
  <c r="CE30" i="72"/>
  <c r="CE28" i="72" s="1"/>
  <c r="BO47" i="72"/>
  <c r="BO24" i="72"/>
  <c r="BO30" i="72"/>
  <c r="BO28" i="72" s="1"/>
  <c r="AY47" i="72"/>
  <c r="AY24" i="72"/>
  <c r="AY30" i="72"/>
  <c r="AY28" i="72" s="1"/>
  <c r="AI47" i="72"/>
  <c r="AI24" i="72"/>
  <c r="AI30" i="72"/>
  <c r="AI28" i="72" s="1"/>
  <c r="S47" i="72"/>
  <c r="S24" i="72"/>
  <c r="S30" i="72"/>
  <c r="S28" i="72" s="1"/>
  <c r="AY17" i="50"/>
  <c r="BG17" i="50"/>
  <c r="BO17" i="50"/>
  <c r="BW17" i="50"/>
  <c r="CE17" i="50"/>
  <c r="AU30" i="50"/>
  <c r="AU17" i="50"/>
  <c r="BV17" i="50"/>
  <c r="AJ30" i="50"/>
  <c r="AJ18" i="50"/>
  <c r="AJ24" i="50"/>
  <c r="AJ20" i="50"/>
  <c r="AJ17" i="50"/>
  <c r="AJ22" i="50"/>
  <c r="AJ19" i="50"/>
  <c r="AJ47" i="50"/>
  <c r="AJ16" i="50"/>
  <c r="AJ21" i="50"/>
  <c r="AD47" i="50"/>
  <c r="AD30" i="50"/>
  <c r="AD20" i="50"/>
  <c r="AD16" i="50"/>
  <c r="AD22" i="50"/>
  <c r="AD21" i="50"/>
  <c r="AD17" i="50"/>
  <c r="AD24" i="50"/>
  <c r="AD18" i="50"/>
  <c r="AD19" i="50"/>
  <c r="U24" i="50"/>
  <c r="U22" i="50"/>
  <c r="U16" i="50"/>
  <c r="U17" i="50"/>
  <c r="U19" i="50"/>
  <c r="U21" i="50"/>
  <c r="U30" i="50"/>
  <c r="U47" i="50"/>
  <c r="U20" i="50"/>
  <c r="U18" i="50"/>
  <c r="R47" i="50"/>
  <c r="R17" i="50"/>
  <c r="R66" i="50" s="1"/>
  <c r="R18" i="50"/>
  <c r="R19" i="50"/>
  <c r="R22" i="50"/>
  <c r="R21" i="50"/>
  <c r="R16" i="50"/>
  <c r="R20" i="50"/>
  <c r="BN47" i="72"/>
  <c r="BN30" i="72"/>
  <c r="BN28" i="72" s="1"/>
  <c r="BN24" i="72"/>
  <c r="V47" i="72"/>
  <c r="V24" i="72"/>
  <c r="V30" i="72"/>
  <c r="V28" i="72" s="1"/>
  <c r="AS47" i="72"/>
  <c r="AS30" i="72"/>
  <c r="AS28" i="72" s="1"/>
  <c r="AS24" i="72"/>
  <c r="M47" i="72"/>
  <c r="M30" i="72"/>
  <c r="M28" i="72" s="1"/>
  <c r="M24" i="72"/>
  <c r="BP24" i="72"/>
  <c r="BP30" i="72"/>
  <c r="BP28" i="72" s="1"/>
  <c r="BP47" i="72"/>
  <c r="T24" i="72"/>
  <c r="T30" i="72"/>
  <c r="T28" i="72" s="1"/>
  <c r="T47" i="72"/>
  <c r="BG24" i="72"/>
  <c r="BG30" i="72"/>
  <c r="BG28" i="72" s="1"/>
  <c r="BG47" i="72"/>
  <c r="AQ24" i="72"/>
  <c r="AQ30" i="72"/>
  <c r="AQ28" i="72" s="1"/>
  <c r="AQ47" i="72"/>
  <c r="K47" i="72"/>
  <c r="K24" i="72"/>
  <c r="K30" i="72"/>
  <c r="K28" i="72" s="1"/>
  <c r="J16" i="72"/>
  <c r="N16" i="72"/>
  <c r="R16" i="72"/>
  <c r="V16" i="72"/>
  <c r="Z16" i="72"/>
  <c r="AD16" i="72"/>
  <c r="AH16" i="72"/>
  <c r="AL16" i="72"/>
  <c r="AP16" i="72"/>
  <c r="AT16" i="72"/>
  <c r="AX16" i="72"/>
  <c r="BB16" i="72"/>
  <c r="BF16" i="72"/>
  <c r="BJ16" i="72"/>
  <c r="BN16" i="72"/>
  <c r="BR16" i="72"/>
  <c r="BV16" i="72"/>
  <c r="BZ16" i="72"/>
  <c r="CD16" i="72"/>
  <c r="CH16" i="72"/>
  <c r="CL16" i="72"/>
  <c r="I16" i="72"/>
  <c r="O16" i="72"/>
  <c r="T16" i="72"/>
  <c r="Y16" i="72"/>
  <c r="AE16" i="72"/>
  <c r="AJ16" i="72"/>
  <c r="AO16" i="72"/>
  <c r="AU16" i="72"/>
  <c r="AZ16" i="72"/>
  <c r="BE16" i="72"/>
  <c r="BK16" i="72"/>
  <c r="BP16" i="72"/>
  <c r="BU16" i="72"/>
  <c r="CA16" i="72"/>
  <c r="CF16" i="72"/>
  <c r="CK16" i="72"/>
  <c r="K16" i="72"/>
  <c r="P16" i="72"/>
  <c r="U16" i="72"/>
  <c r="AA16" i="72"/>
  <c r="AF16" i="72"/>
  <c r="AK16" i="72"/>
  <c r="AQ16" i="72"/>
  <c r="AV16" i="72"/>
  <c r="BA16" i="72"/>
  <c r="BG16" i="72"/>
  <c r="BL16" i="72"/>
  <c r="BQ16" i="72"/>
  <c r="BW16" i="72"/>
  <c r="CB16" i="72"/>
  <c r="CG16" i="72"/>
  <c r="CM16" i="72"/>
  <c r="L16" i="72"/>
  <c r="Q16" i="72"/>
  <c r="W16" i="72"/>
  <c r="AB16" i="72"/>
  <c r="AG16" i="72"/>
  <c r="AM16" i="72"/>
  <c r="AR16" i="72"/>
  <c r="AW16" i="72"/>
  <c r="BC16" i="72"/>
  <c r="BH16" i="72"/>
  <c r="BM16" i="72"/>
  <c r="BS16" i="72"/>
  <c r="BX16" i="72"/>
  <c r="CC16" i="72"/>
  <c r="CI16" i="72"/>
  <c r="G16" i="72"/>
  <c r="M16" i="72"/>
  <c r="AI16" i="72"/>
  <c r="BD16" i="72"/>
  <c r="BY16" i="72"/>
  <c r="AY16" i="72"/>
  <c r="S16" i="72"/>
  <c r="AN16" i="72"/>
  <c r="BI16" i="72"/>
  <c r="CE16" i="72"/>
  <c r="H16" i="72"/>
  <c r="BT16" i="72"/>
  <c r="X16" i="72"/>
  <c r="AS16" i="72"/>
  <c r="BO16" i="72"/>
  <c r="CJ16" i="72"/>
  <c r="AC16" i="72"/>
  <c r="AZ17" i="50"/>
  <c r="BH17" i="50"/>
  <c r="BP17" i="50"/>
  <c r="BX17" i="50"/>
  <c r="CF17" i="50"/>
  <c r="AN17" i="50"/>
  <c r="AN47" i="50"/>
  <c r="AN22" i="50"/>
  <c r="AN19" i="50"/>
  <c r="AN20" i="50"/>
  <c r="AN30" i="50"/>
  <c r="AN18" i="50"/>
  <c r="AN21" i="50"/>
  <c r="AN16" i="50"/>
  <c r="AN24" i="50"/>
  <c r="X47" i="50"/>
  <c r="X22" i="50"/>
  <c r="X19" i="50"/>
  <c r="X17" i="50"/>
  <c r="X21" i="50"/>
  <c r="X30" i="50"/>
  <c r="X16" i="50"/>
  <c r="X24" i="50"/>
  <c r="X18" i="50"/>
  <c r="X20" i="50"/>
  <c r="AH47" i="50"/>
  <c r="AH17" i="50"/>
  <c r="AH24" i="50"/>
  <c r="AH19" i="50"/>
  <c r="AH30" i="50"/>
  <c r="AH21" i="50"/>
  <c r="AH16" i="50"/>
  <c r="AH22" i="50"/>
  <c r="AH18" i="50"/>
  <c r="AH54" i="50" s="1"/>
  <c r="AH20" i="50"/>
  <c r="AS24" i="50"/>
  <c r="AS20" i="50"/>
  <c r="AS16" i="50"/>
  <c r="AS17" i="50"/>
  <c r="AS22" i="50"/>
  <c r="AS18" i="50"/>
  <c r="AS30" i="50"/>
  <c r="AS47" i="50"/>
  <c r="AS19" i="50"/>
  <c r="AS21" i="50"/>
  <c r="Y24" i="50"/>
  <c r="Y47" i="50"/>
  <c r="Y19" i="50"/>
  <c r="Y21" i="50"/>
  <c r="Y16" i="50"/>
  <c r="Y22" i="50"/>
  <c r="Y30" i="50"/>
  <c r="Y20" i="50"/>
  <c r="Y18" i="50"/>
  <c r="Y17" i="50"/>
  <c r="AI47" i="50"/>
  <c r="AI21" i="50"/>
  <c r="AI18" i="50"/>
  <c r="AI54" i="50" s="1"/>
  <c r="AI20" i="50"/>
  <c r="AI24" i="50"/>
  <c r="AI16" i="50"/>
  <c r="AI30" i="50"/>
  <c r="AI22" i="50"/>
  <c r="AI19" i="50"/>
  <c r="AI17" i="50"/>
  <c r="AI66" i="50" s="1"/>
  <c r="S47" i="50"/>
  <c r="S20" i="50"/>
  <c r="S21" i="50"/>
  <c r="S18" i="50"/>
  <c r="S22" i="50"/>
  <c r="S19" i="50"/>
  <c r="S17" i="50"/>
  <c r="S16" i="50"/>
  <c r="I47" i="50"/>
  <c r="I17" i="50"/>
  <c r="I66" i="50" s="1"/>
  <c r="I16" i="50"/>
  <c r="I20" i="50"/>
  <c r="I18" i="50"/>
  <c r="I22" i="50"/>
  <c r="I21" i="50"/>
  <c r="I19" i="50"/>
  <c r="N47" i="50"/>
  <c r="N22" i="50"/>
  <c r="N17" i="50"/>
  <c r="N16" i="50"/>
  <c r="N19" i="50"/>
  <c r="N21" i="50"/>
  <c r="N20" i="50"/>
  <c r="N18" i="50"/>
  <c r="O47" i="50"/>
  <c r="O18" i="50"/>
  <c r="O21" i="50"/>
  <c r="O22" i="50"/>
  <c r="O16" i="50"/>
  <c r="O20" i="50"/>
  <c r="O17" i="50"/>
  <c r="O19" i="50"/>
  <c r="BZ47" i="72"/>
  <c r="BZ24" i="72"/>
  <c r="BZ30" i="72"/>
  <c r="BZ28" i="72" s="1"/>
  <c r="N47" i="72"/>
  <c r="N24" i="72"/>
  <c r="N30" i="72"/>
  <c r="N28" i="72" s="1"/>
  <c r="BF47" i="72"/>
  <c r="BF24" i="72"/>
  <c r="BF30" i="72"/>
  <c r="BF28" i="72" s="1"/>
  <c r="AX47" i="72"/>
  <c r="AX30" i="72"/>
  <c r="AX28" i="72" s="1"/>
  <c r="AX24" i="72"/>
  <c r="AL47" i="72"/>
  <c r="AL24" i="72"/>
  <c r="AL30" i="72"/>
  <c r="AL28" i="72" s="1"/>
  <c r="CC24" i="72"/>
  <c r="CC30" i="72"/>
  <c r="CC28" i="72" s="1"/>
  <c r="CC47" i="72"/>
  <c r="BM24" i="72"/>
  <c r="BM30" i="72"/>
  <c r="BM28" i="72" s="1"/>
  <c r="BM47" i="72"/>
  <c r="AW24" i="72"/>
  <c r="AW30" i="72"/>
  <c r="AW28" i="72" s="1"/>
  <c r="AW47" i="72"/>
  <c r="AG24" i="72"/>
  <c r="AG30" i="72"/>
  <c r="AG28" i="72" s="1"/>
  <c r="AG47" i="72"/>
  <c r="Q24" i="72"/>
  <c r="Q30" i="72"/>
  <c r="Q28" i="72" s="1"/>
  <c r="Q47" i="72"/>
  <c r="CJ30" i="72"/>
  <c r="CJ28" i="72" s="1"/>
  <c r="CJ47" i="72"/>
  <c r="CJ24" i="72"/>
  <c r="BT30" i="72"/>
  <c r="BT28" i="72" s="1"/>
  <c r="BT47" i="72"/>
  <c r="BT24" i="72"/>
  <c r="BD30" i="72"/>
  <c r="BD28" i="72" s="1"/>
  <c r="BD47" i="72"/>
  <c r="BD24" i="72"/>
  <c r="AN30" i="72"/>
  <c r="AN28" i="72" s="1"/>
  <c r="AN47" i="72"/>
  <c r="AN24" i="72"/>
  <c r="X30" i="72"/>
  <c r="X28" i="72" s="1"/>
  <c r="X47" i="72"/>
  <c r="X24" i="72"/>
  <c r="H30" i="72"/>
  <c r="H28" i="72" s="1"/>
  <c r="H47" i="72"/>
  <c r="H24" i="72"/>
  <c r="CA47" i="72"/>
  <c r="CA24" i="72"/>
  <c r="CA30" i="72"/>
  <c r="CA28" i="72" s="1"/>
  <c r="BK30" i="72"/>
  <c r="BK28" i="72" s="1"/>
  <c r="BK47" i="72"/>
  <c r="BK24" i="72"/>
  <c r="AU30" i="72"/>
  <c r="AU28" i="72" s="1"/>
  <c r="AU24" i="72"/>
  <c r="AU47" i="72"/>
  <c r="AE30" i="72"/>
  <c r="AE28" i="72" s="1"/>
  <c r="AE24" i="72"/>
  <c r="AE47" i="72"/>
  <c r="O47" i="72"/>
  <c r="O30" i="72"/>
  <c r="O28" i="72" s="1"/>
  <c r="O24" i="72"/>
  <c r="BX19" i="50"/>
  <c r="AW16" i="50"/>
  <c r="AW33" i="50" s="1"/>
  <c r="AW28" i="50" s="1"/>
  <c r="AW22" i="50"/>
  <c r="BX21" i="50"/>
  <c r="AT30" i="50"/>
  <c r="AW19" i="50"/>
  <c r="CL20" i="50"/>
  <c r="CI16" i="50"/>
  <c r="CI33" i="50" s="1"/>
  <c r="CI28" i="50" s="1"/>
  <c r="AW20" i="50"/>
  <c r="BX16" i="50"/>
  <c r="BX33" i="50" s="1"/>
  <c r="BX28" i="50" s="1"/>
  <c r="BX18" i="50"/>
  <c r="AW21" i="50"/>
  <c r="CA20" i="50"/>
  <c r="BF22" i="50"/>
  <c r="BX20" i="50"/>
  <c r="BX22" i="50"/>
  <c r="CA21" i="50"/>
  <c r="CA24" i="50"/>
  <c r="BF19" i="50"/>
  <c r="AW18" i="50"/>
  <c r="BF20" i="50"/>
  <c r="CD16" i="50"/>
  <c r="CD33" i="50" s="1"/>
  <c r="CD28" i="50" s="1"/>
  <c r="BX24" i="50"/>
  <c r="CI18" i="50"/>
  <c r="CL21" i="50"/>
  <c r="CL16" i="50"/>
  <c r="CL33" i="50" s="1"/>
  <c r="CI20" i="50"/>
  <c r="CI21" i="50"/>
  <c r="CL19" i="50"/>
  <c r="CL22" i="50"/>
  <c r="CI19" i="50"/>
  <c r="BV16" i="50"/>
  <c r="BV33" i="50" s="1"/>
  <c r="BV28" i="50" s="1"/>
  <c r="CI22" i="50"/>
  <c r="BF21" i="50"/>
  <c r="BF18" i="50"/>
  <c r="BK19" i="50"/>
  <c r="CL30" i="50"/>
  <c r="S66" i="50"/>
  <c r="BK18" i="50"/>
  <c r="BK21" i="50"/>
  <c r="BF24" i="50"/>
  <c r="BK20" i="50"/>
  <c r="BP24" i="50"/>
  <c r="CF19" i="50"/>
  <c r="CL24" i="50"/>
  <c r="BP20" i="50"/>
  <c r="BP16" i="50"/>
  <c r="BP33" i="50" s="1"/>
  <c r="BP28" i="50" s="1"/>
  <c r="BP21" i="50"/>
  <c r="BF16" i="50"/>
  <c r="BF33" i="50" s="1"/>
  <c r="BF28" i="50" s="1"/>
  <c r="BK22" i="50"/>
  <c r="CF18" i="50"/>
  <c r="BK24" i="50"/>
  <c r="BP18" i="50"/>
  <c r="BP19" i="50"/>
  <c r="BP22" i="50"/>
  <c r="BK16" i="50"/>
  <c r="BK33" i="50" s="1"/>
  <c r="BK28" i="50" s="1"/>
  <c r="CA22" i="50"/>
  <c r="CF16" i="50"/>
  <c r="CF33" i="50" s="1"/>
  <c r="CF28" i="50" s="1"/>
  <c r="CF21" i="50"/>
  <c r="CF24" i="50"/>
  <c r="CA16" i="50"/>
  <c r="CA33" i="50" s="1"/>
  <c r="CA28" i="50" s="1"/>
  <c r="CF22" i="50"/>
  <c r="CA18" i="50"/>
  <c r="CA19" i="50"/>
  <c r="CF20" i="50"/>
  <c r="BV19" i="50"/>
  <c r="BV18" i="50"/>
  <c r="CD21" i="50"/>
  <c r="CD18" i="50"/>
  <c r="BV20" i="50"/>
  <c r="CD19" i="50"/>
  <c r="CD20" i="50"/>
  <c r="BV21" i="50"/>
  <c r="BV22" i="50"/>
  <c r="CD22" i="50"/>
  <c r="CD24" i="50"/>
  <c r="BV24" i="50"/>
  <c r="CC19" i="50"/>
  <c r="CB20" i="50"/>
  <c r="CK22" i="50"/>
  <c r="CK24" i="50"/>
  <c r="BJ20" i="50"/>
  <c r="BJ24" i="50"/>
  <c r="BM18" i="50"/>
  <c r="BM24" i="50"/>
  <c r="AY19" i="50"/>
  <c r="AY24" i="50"/>
  <c r="BG22" i="50"/>
  <c r="BG24" i="50"/>
  <c r="BH22" i="50"/>
  <c r="BH24" i="50"/>
  <c r="AV22" i="50"/>
  <c r="AV24" i="50"/>
  <c r="BT20" i="50"/>
  <c r="BT24" i="50"/>
  <c r="BM20" i="50"/>
  <c r="AZ19" i="50"/>
  <c r="AZ24" i="50"/>
  <c r="BQ20" i="50"/>
  <c r="BQ24" i="50"/>
  <c r="CG20" i="50"/>
  <c r="CG24" i="50"/>
  <c r="AU24" i="50"/>
  <c r="BL22" i="50"/>
  <c r="BL24" i="50"/>
  <c r="CH16" i="50"/>
  <c r="CH24" i="50"/>
  <c r="BN22" i="50"/>
  <c r="BN24" i="50"/>
  <c r="BD19" i="50"/>
  <c r="BD24" i="50"/>
  <c r="BZ20" i="50"/>
  <c r="BZ24" i="50"/>
  <c r="BB16" i="50"/>
  <c r="BB33" i="50" s="1"/>
  <c r="BB28" i="50" s="1"/>
  <c r="BB24" i="50"/>
  <c r="BU22" i="50"/>
  <c r="BU24" i="50"/>
  <c r="BS21" i="50"/>
  <c r="BS24" i="50"/>
  <c r="CE19" i="50"/>
  <c r="CE24" i="50"/>
  <c r="BC23" i="50"/>
  <c r="BC27" i="50"/>
  <c r="BI16" i="50"/>
  <c r="BI33" i="50" s="1"/>
  <c r="BI28" i="50" s="1"/>
  <c r="BI24" i="50"/>
  <c r="BY16" i="50"/>
  <c r="BY33" i="50" s="1"/>
  <c r="BY28" i="50" s="1"/>
  <c r="BY24" i="50"/>
  <c r="AT21" i="50"/>
  <c r="AT24" i="50"/>
  <c r="AX22" i="50"/>
  <c r="AX24" i="50"/>
  <c r="BA20" i="50"/>
  <c r="BA24" i="50"/>
  <c r="BW22" i="50"/>
  <c r="BW24" i="50"/>
  <c r="BO19" i="50"/>
  <c r="BO24" i="50"/>
  <c r="CJ19" i="50"/>
  <c r="CJ24" i="50"/>
  <c r="BM16" i="50"/>
  <c r="BM33" i="50" s="1"/>
  <c r="BM28" i="50" s="1"/>
  <c r="BW16" i="50"/>
  <c r="BE22" i="50"/>
  <c r="BE24" i="50"/>
  <c r="BR16" i="50"/>
  <c r="BR24" i="50"/>
  <c r="CC18" i="50"/>
  <c r="CC24" i="50"/>
  <c r="CB16" i="50"/>
  <c r="CB24" i="50"/>
  <c r="BU16" i="50"/>
  <c r="BU33" i="50" s="1"/>
  <c r="BU28" i="50" s="1"/>
  <c r="CK16" i="50"/>
  <c r="CK33" i="50" s="1"/>
  <c r="CK28" i="50" s="1"/>
  <c r="BJ22" i="50"/>
  <c r="CC20" i="50"/>
  <c r="CJ21" i="50"/>
  <c r="BO21" i="50"/>
  <c r="CE20" i="50"/>
  <c r="BT18" i="50"/>
  <c r="BB21" i="50"/>
  <c r="BR18" i="50"/>
  <c r="AY20" i="50"/>
  <c r="BE19" i="50"/>
  <c r="BI18" i="50"/>
  <c r="BA21" i="50"/>
  <c r="BE16" i="50"/>
  <c r="BE33" i="50" s="1"/>
  <c r="BE28" i="50" s="1"/>
  <c r="BY18" i="50"/>
  <c r="CB19" i="50"/>
  <c r="BB18" i="50"/>
  <c r="BR19" i="50"/>
  <c r="AY21" i="50"/>
  <c r="BG16" i="50"/>
  <c r="BG42" i="50" s="1"/>
  <c r="BS22" i="50"/>
  <c r="BA22" i="50"/>
  <c r="BE20" i="50"/>
  <c r="BM19" i="50"/>
  <c r="CJ20" i="50"/>
  <c r="AX16" i="50"/>
  <c r="AX36" i="50" s="1"/>
  <c r="BJ19" i="50"/>
  <c r="BO20" i="50"/>
  <c r="CE21" i="50"/>
  <c r="AV16" i="50"/>
  <c r="AV38" i="50" s="1"/>
  <c r="BT19" i="50"/>
  <c r="AU21" i="50"/>
  <c r="AU20" i="50"/>
  <c r="AU19" i="50"/>
  <c r="AU18" i="50"/>
  <c r="AU16" i="50"/>
  <c r="AU22" i="50"/>
  <c r="BQ21" i="50"/>
  <c r="BQ22" i="50"/>
  <c r="CG21" i="50"/>
  <c r="BN16" i="50"/>
  <c r="BZ19" i="50"/>
  <c r="AZ21" i="50"/>
  <c r="BD21" i="50"/>
  <c r="AT20" i="50"/>
  <c r="BA16" i="50"/>
  <c r="BA35" i="50" s="1"/>
  <c r="BE18" i="50"/>
  <c r="BI19" i="50"/>
  <c r="BI20" i="50"/>
  <c r="BM21" i="50"/>
  <c r="BM22" i="50"/>
  <c r="BQ16" i="50"/>
  <c r="BQ33" i="50" s="1"/>
  <c r="BQ28" i="50" s="1"/>
  <c r="BU18" i="50"/>
  <c r="BY19" i="50"/>
  <c r="BY20" i="50"/>
  <c r="CC21" i="50"/>
  <c r="CC22" i="50"/>
  <c r="CG16" i="50"/>
  <c r="CG33" i="50" s="1"/>
  <c r="CG28" i="50" s="1"/>
  <c r="CK18" i="50"/>
  <c r="CB18" i="50"/>
  <c r="CB21" i="50"/>
  <c r="CJ22" i="50"/>
  <c r="AX21" i="50"/>
  <c r="AX18" i="50"/>
  <c r="BB19" i="50"/>
  <c r="BB20" i="50"/>
  <c r="BJ16" i="50"/>
  <c r="BJ33" i="50" s="1"/>
  <c r="BJ28" i="50" s="1"/>
  <c r="BN21" i="50"/>
  <c r="BN18" i="50"/>
  <c r="BR20" i="50"/>
  <c r="BZ16" i="50"/>
  <c r="BZ33" i="50" s="1"/>
  <c r="BZ28" i="50" s="1"/>
  <c r="CH19" i="50"/>
  <c r="CH20" i="50"/>
  <c r="AY22" i="50"/>
  <c r="BG18" i="50"/>
  <c r="BG19" i="50"/>
  <c r="BO22" i="50"/>
  <c r="BS16" i="50"/>
  <c r="BS34" i="50" s="1"/>
  <c r="BW18" i="50"/>
  <c r="BW19" i="50"/>
  <c r="CE22" i="50"/>
  <c r="AV20" i="50"/>
  <c r="AV19" i="50"/>
  <c r="AZ16" i="50"/>
  <c r="AZ22" i="50"/>
  <c r="BD22" i="50"/>
  <c r="BH16" i="50"/>
  <c r="BH33" i="50" s="1"/>
  <c r="BH28" i="50" s="1"/>
  <c r="BH19" i="50"/>
  <c r="BL16" i="50"/>
  <c r="BL19" i="50"/>
  <c r="BT16" i="50"/>
  <c r="BT33" i="50" s="1"/>
  <c r="BT28" i="50" s="1"/>
  <c r="BT21" i="50"/>
  <c r="AT18" i="50"/>
  <c r="CG22" i="50"/>
  <c r="BZ22" i="50"/>
  <c r="CH21" i="50"/>
  <c r="CH18" i="50"/>
  <c r="BL20" i="50"/>
  <c r="BQ18" i="50"/>
  <c r="BU19" i="50"/>
  <c r="BU20" i="50"/>
  <c r="BY21" i="50"/>
  <c r="BY22" i="50"/>
  <c r="CC16" i="50"/>
  <c r="CC33" i="50" s="1"/>
  <c r="CC28" i="50" s="1"/>
  <c r="CG18" i="50"/>
  <c r="CK19" i="50"/>
  <c r="CK20" i="50"/>
  <c r="CB22" i="50"/>
  <c r="CJ18" i="50"/>
  <c r="AX19" i="50"/>
  <c r="AX20" i="50"/>
  <c r="BB22" i="50"/>
  <c r="BJ21" i="50"/>
  <c r="BJ18" i="50"/>
  <c r="BN19" i="50"/>
  <c r="BN20" i="50"/>
  <c r="BR21" i="50"/>
  <c r="BR22" i="50"/>
  <c r="BZ18" i="50"/>
  <c r="CH22" i="50"/>
  <c r="AY16" i="50"/>
  <c r="AY33" i="50" s="1"/>
  <c r="AY28" i="50" s="1"/>
  <c r="BG20" i="50"/>
  <c r="BG21" i="50"/>
  <c r="BO16" i="50"/>
  <c r="BS18" i="50"/>
  <c r="BS19" i="50"/>
  <c r="BW20" i="50"/>
  <c r="BW21" i="50"/>
  <c r="CE16" i="50"/>
  <c r="AV18" i="50"/>
  <c r="AV21" i="50"/>
  <c r="BD18" i="50"/>
  <c r="BH18" i="50"/>
  <c r="BH21" i="50"/>
  <c r="BL18" i="50"/>
  <c r="BL21" i="50"/>
  <c r="BT22" i="50"/>
  <c r="AT16" i="50"/>
  <c r="AT19" i="50"/>
  <c r="AZ18" i="50"/>
  <c r="BD16" i="50"/>
  <c r="BA18" i="50"/>
  <c r="BI21" i="50"/>
  <c r="BI22" i="50"/>
  <c r="BA19" i="50"/>
  <c r="BE21" i="50"/>
  <c r="BQ19" i="50"/>
  <c r="BU21" i="50"/>
  <c r="CG19" i="50"/>
  <c r="CK21" i="50"/>
  <c r="CJ16" i="50"/>
  <c r="CJ33" i="50" s="1"/>
  <c r="CJ28" i="50" s="1"/>
  <c r="BZ21" i="50"/>
  <c r="AY18" i="50"/>
  <c r="BO18" i="50"/>
  <c r="BS20" i="50"/>
  <c r="CE18" i="50"/>
  <c r="AZ20" i="50"/>
  <c r="BD20" i="50"/>
  <c r="BH20" i="50"/>
  <c r="AT22" i="50"/>
  <c r="BL34" i="50"/>
  <c r="AW36" i="50"/>
  <c r="AW38" i="50"/>
  <c r="BC37" i="50"/>
  <c r="BC38" i="50"/>
  <c r="BC35" i="50"/>
  <c r="BC40" i="50"/>
  <c r="BC36" i="50"/>
  <c r="BC34" i="50"/>
  <c r="BC43" i="50"/>
  <c r="BC42" i="50"/>
  <c r="BS38" i="50"/>
  <c r="B80" i="75" l="1"/>
  <c r="B55" i="75"/>
  <c r="B79" i="75"/>
  <c r="B56" i="75"/>
  <c r="B67" i="75"/>
  <c r="B68" i="75"/>
  <c r="B40" i="75"/>
  <c r="B41" i="75"/>
  <c r="AB66" i="50"/>
  <c r="AF66" i="50"/>
  <c r="I54" i="50"/>
  <c r="Y54" i="50"/>
  <c r="AR54" i="50"/>
  <c r="Q54" i="50"/>
  <c r="N66" i="50"/>
  <c r="L66" i="50"/>
  <c r="AD66" i="50"/>
  <c r="P54" i="50"/>
  <c r="AL54" i="50"/>
  <c r="AE54" i="50"/>
  <c r="AP54" i="50"/>
  <c r="AF54" i="50"/>
  <c r="H66" i="50"/>
  <c r="BK51" i="72"/>
  <c r="BK53" i="72" s="1"/>
  <c r="BK50" i="72"/>
  <c r="BK52" i="72" s="1"/>
  <c r="AN51" i="72"/>
  <c r="AN53" i="72" s="1"/>
  <c r="AN50" i="72"/>
  <c r="AN52" i="72" s="1"/>
  <c r="O44" i="50"/>
  <c r="O64" i="50" s="1"/>
  <c r="O42" i="50"/>
  <c r="O60" i="50" s="1"/>
  <c r="O43" i="50"/>
  <c r="O61" i="50" s="1"/>
  <c r="O45" i="50"/>
  <c r="O63" i="50" s="1"/>
  <c r="O37" i="50"/>
  <c r="O38" i="50"/>
  <c r="O35" i="50"/>
  <c r="O36" i="50"/>
  <c r="O39" i="50"/>
  <c r="O34" i="50"/>
  <c r="O40" i="50"/>
  <c r="O51" i="50"/>
  <c r="O53" i="50" s="1"/>
  <c r="O50" i="50"/>
  <c r="O52" i="50" s="1"/>
  <c r="N51" i="50"/>
  <c r="N53" i="50" s="1"/>
  <c r="N50" i="50"/>
  <c r="N52" i="50" s="1"/>
  <c r="I51" i="50"/>
  <c r="I53" i="50" s="1"/>
  <c r="I50" i="50"/>
  <c r="I52" i="50" s="1"/>
  <c r="AS35" i="50"/>
  <c r="AS37" i="50"/>
  <c r="AS42" i="50"/>
  <c r="AS60" i="50" s="1"/>
  <c r="AS45" i="50"/>
  <c r="AS63" i="50" s="1"/>
  <c r="AS39" i="50"/>
  <c r="AS36" i="50"/>
  <c r="AS43" i="50"/>
  <c r="AS61" i="50" s="1"/>
  <c r="AS44" i="50"/>
  <c r="AS64" i="50" s="1"/>
  <c r="AS34" i="50"/>
  <c r="AS40" i="50"/>
  <c r="AS23" i="50"/>
  <c r="AS38" i="50"/>
  <c r="AS27" i="50"/>
  <c r="AS33" i="50"/>
  <c r="AS28" i="50" s="1"/>
  <c r="AN23" i="50"/>
  <c r="AN42" i="50"/>
  <c r="AN60" i="50" s="1"/>
  <c r="AN45" i="50"/>
  <c r="AN63" i="50" s="1"/>
  <c r="AN40" i="50"/>
  <c r="AN36" i="50"/>
  <c r="AN43" i="50"/>
  <c r="AN61" i="50" s="1"/>
  <c r="AN34" i="50"/>
  <c r="AN39" i="50"/>
  <c r="AN27" i="50"/>
  <c r="AN55" i="50" s="1"/>
  <c r="AN44" i="50"/>
  <c r="AN64" i="50" s="1"/>
  <c r="AN38" i="50"/>
  <c r="AN35" i="50"/>
  <c r="AN37" i="50"/>
  <c r="AN33" i="50"/>
  <c r="AN28" i="50" s="1"/>
  <c r="CC39" i="72"/>
  <c r="CC27" i="72"/>
  <c r="CC42" i="72"/>
  <c r="CC60" i="72" s="1"/>
  <c r="CC36" i="72"/>
  <c r="CC43" i="72"/>
  <c r="CC61" i="72" s="1"/>
  <c r="CC45" i="72"/>
  <c r="CC63" i="72" s="1"/>
  <c r="CC34" i="72"/>
  <c r="CC35" i="72"/>
  <c r="CC23" i="72"/>
  <c r="CC55" i="72" s="1"/>
  <c r="CC40" i="72"/>
  <c r="CC37" i="72"/>
  <c r="CC44" i="72"/>
  <c r="CC64" i="72" s="1"/>
  <c r="CC33" i="72"/>
  <c r="CC38" i="72"/>
  <c r="BG33" i="72"/>
  <c r="BG23" i="72"/>
  <c r="BG55" i="72" s="1"/>
  <c r="BG39" i="72"/>
  <c r="BG35" i="72"/>
  <c r="BG34" i="72"/>
  <c r="BG45" i="72"/>
  <c r="BG63" i="72" s="1"/>
  <c r="BG42" i="72"/>
  <c r="BG60" i="72" s="1"/>
  <c r="BG27" i="72"/>
  <c r="BG44" i="72"/>
  <c r="BG64" i="72" s="1"/>
  <c r="BG38" i="72"/>
  <c r="BG40" i="72"/>
  <c r="BG43" i="72"/>
  <c r="BG61" i="72" s="1"/>
  <c r="BG36" i="72"/>
  <c r="BG37" i="72"/>
  <c r="CD44" i="72"/>
  <c r="CD64" i="72" s="1"/>
  <c r="CD39" i="72"/>
  <c r="CD27" i="72"/>
  <c r="CD38" i="72"/>
  <c r="CD43" i="72"/>
  <c r="CD61" i="72" s="1"/>
  <c r="CD40" i="72"/>
  <c r="CD37" i="72"/>
  <c r="CD23" i="72"/>
  <c r="CD55" i="72" s="1"/>
  <c r="CD42" i="72"/>
  <c r="CD60" i="72" s="1"/>
  <c r="CD35" i="72"/>
  <c r="CD33" i="72"/>
  <c r="CD36" i="72"/>
  <c r="CD45" i="72"/>
  <c r="CD63" i="72" s="1"/>
  <c r="CD34" i="72"/>
  <c r="BH51" i="72"/>
  <c r="BH53" i="72" s="1"/>
  <c r="BH50" i="72"/>
  <c r="BH52" i="72" s="1"/>
  <c r="BX51" i="72"/>
  <c r="BX53" i="72" s="1"/>
  <c r="BX50" i="72"/>
  <c r="BX52" i="72" s="1"/>
  <c r="G51" i="72"/>
  <c r="CM47" i="72"/>
  <c r="G50" i="72"/>
  <c r="BA50" i="72"/>
  <c r="BA52" i="72" s="1"/>
  <c r="BA51" i="72"/>
  <c r="BA53" i="72" s="1"/>
  <c r="BV50" i="72"/>
  <c r="BV52" i="72" s="1"/>
  <c r="BV51" i="72"/>
  <c r="BV53" i="72" s="1"/>
  <c r="J45" i="50"/>
  <c r="J63" i="50" s="1"/>
  <c r="J44" i="50"/>
  <c r="J64" i="50" s="1"/>
  <c r="J42" i="50"/>
  <c r="J60" i="50" s="1"/>
  <c r="J43" i="50"/>
  <c r="J61" i="50" s="1"/>
  <c r="J34" i="50"/>
  <c r="J40" i="50"/>
  <c r="J38" i="50"/>
  <c r="J35" i="50"/>
  <c r="J37" i="50"/>
  <c r="J36" i="50"/>
  <c r="J39" i="50"/>
  <c r="AL51" i="50"/>
  <c r="AL53" i="50" s="1"/>
  <c r="AL50" i="50"/>
  <c r="AL52" i="50" s="1"/>
  <c r="AZ50" i="72"/>
  <c r="AZ52" i="72" s="1"/>
  <c r="AZ51" i="72"/>
  <c r="AZ53" i="72" s="1"/>
  <c r="BY51" i="72"/>
  <c r="BY53" i="72" s="1"/>
  <c r="BY50" i="72"/>
  <c r="BY52" i="72" s="1"/>
  <c r="CM24" i="50"/>
  <c r="AQ23" i="50"/>
  <c r="AQ36" i="50"/>
  <c r="AQ43" i="50"/>
  <c r="AQ61" i="50" s="1"/>
  <c r="AQ45" i="50"/>
  <c r="AQ63" i="50" s="1"/>
  <c r="AQ42" i="50"/>
  <c r="AQ60" i="50" s="1"/>
  <c r="AQ37" i="50"/>
  <c r="AQ44" i="50"/>
  <c r="AQ64" i="50" s="1"/>
  <c r="AQ39" i="50"/>
  <c r="AQ34" i="50"/>
  <c r="AQ40" i="50"/>
  <c r="AQ38" i="50"/>
  <c r="AQ27" i="50"/>
  <c r="AQ35" i="50"/>
  <c r="AQ33" i="50"/>
  <c r="AQ28" i="50" s="1"/>
  <c r="AQ50" i="50"/>
  <c r="AQ52" i="50" s="1"/>
  <c r="AQ51" i="50"/>
  <c r="AQ53" i="50" s="1"/>
  <c r="Z50" i="50"/>
  <c r="Z52" i="50" s="1"/>
  <c r="Z51" i="50"/>
  <c r="Z53" i="50" s="1"/>
  <c r="AF50" i="50"/>
  <c r="AF52" i="50" s="1"/>
  <c r="AF51" i="50"/>
  <c r="AF53" i="50" s="1"/>
  <c r="AG45" i="50"/>
  <c r="AG63" i="50" s="1"/>
  <c r="AG35" i="50"/>
  <c r="AG37" i="50"/>
  <c r="AG23" i="50"/>
  <c r="AG38" i="50"/>
  <c r="AG44" i="50"/>
  <c r="AG64" i="50" s="1"/>
  <c r="AG39" i="50"/>
  <c r="AG36" i="50"/>
  <c r="AG27" i="50"/>
  <c r="AG43" i="50"/>
  <c r="AG61" i="50" s="1"/>
  <c r="AG34" i="50"/>
  <c r="AG40" i="50"/>
  <c r="AG42" i="50"/>
  <c r="AG60" i="50" s="1"/>
  <c r="AG33" i="50"/>
  <c r="AG28" i="50" s="1"/>
  <c r="AG51" i="50"/>
  <c r="AG53" i="50" s="1"/>
  <c r="AG50" i="50"/>
  <c r="AG52" i="50" s="1"/>
  <c r="AW43" i="50"/>
  <c r="AW37" i="50"/>
  <c r="AW27" i="50"/>
  <c r="AE50" i="72"/>
  <c r="AE52" i="72" s="1"/>
  <c r="AE51" i="72"/>
  <c r="AE53" i="72" s="1"/>
  <c r="X51" i="72"/>
  <c r="X53" i="72" s="1"/>
  <c r="X50" i="72"/>
  <c r="X52" i="72" s="1"/>
  <c r="CJ50" i="72"/>
  <c r="CJ52" i="72" s="1"/>
  <c r="CJ51" i="72"/>
  <c r="CJ53" i="72" s="1"/>
  <c r="AW50" i="72"/>
  <c r="AW52" i="72" s="1"/>
  <c r="AW51" i="72"/>
  <c r="AW53" i="72" s="1"/>
  <c r="N51" i="72"/>
  <c r="N53" i="72" s="1"/>
  <c r="N50" i="72"/>
  <c r="N52" i="72" s="1"/>
  <c r="N54" i="50"/>
  <c r="N34" i="50"/>
  <c r="N45" i="50"/>
  <c r="N63" i="50" s="1"/>
  <c r="N44" i="50"/>
  <c r="N64" i="50" s="1"/>
  <c r="N42" i="50"/>
  <c r="N60" i="50" s="1"/>
  <c r="N43" i="50"/>
  <c r="N61" i="50" s="1"/>
  <c r="N35" i="50"/>
  <c r="N39" i="50"/>
  <c r="N36" i="50"/>
  <c r="N40" i="50"/>
  <c r="N37" i="50"/>
  <c r="N38" i="50"/>
  <c r="S34" i="50"/>
  <c r="S44" i="50"/>
  <c r="S64" i="50" s="1"/>
  <c r="S45" i="50"/>
  <c r="S63" i="50" s="1"/>
  <c r="S36" i="50"/>
  <c r="S42" i="50"/>
  <c r="S60" i="50" s="1"/>
  <c r="S38" i="50"/>
  <c r="S37" i="50"/>
  <c r="S35" i="50"/>
  <c r="S43" i="50"/>
  <c r="S61" i="50" s="1"/>
  <c r="S40" i="50"/>
  <c r="S39" i="50"/>
  <c r="S54" i="50"/>
  <c r="AI43" i="50"/>
  <c r="AI61" i="50" s="1"/>
  <c r="AI35" i="50"/>
  <c r="AI27" i="50"/>
  <c r="AI45" i="50"/>
  <c r="AI63" i="50" s="1"/>
  <c r="AI36" i="50"/>
  <c r="AI37" i="50"/>
  <c r="AI38" i="50"/>
  <c r="AI23" i="50"/>
  <c r="AI40" i="50"/>
  <c r="AI34" i="50"/>
  <c r="AI44" i="50"/>
  <c r="AI64" i="50" s="1"/>
  <c r="AI39" i="50"/>
  <c r="AI42" i="50"/>
  <c r="AI60" i="50" s="1"/>
  <c r="AI33" i="50"/>
  <c r="AI28" i="50" s="1"/>
  <c r="AS54" i="50"/>
  <c r="AS27" i="72"/>
  <c r="AS45" i="72"/>
  <c r="AS63" i="72" s="1"/>
  <c r="AS33" i="72"/>
  <c r="AS23" i="72"/>
  <c r="AS44" i="72"/>
  <c r="AS64" i="72" s="1"/>
  <c r="AS39" i="72"/>
  <c r="AS35" i="72"/>
  <c r="AS42" i="72"/>
  <c r="AS60" i="72" s="1"/>
  <c r="AS36" i="72"/>
  <c r="AS38" i="72"/>
  <c r="AS40" i="72"/>
  <c r="AS37" i="72"/>
  <c r="AS34" i="72"/>
  <c r="AS43" i="72"/>
  <c r="AS61" i="72" s="1"/>
  <c r="CE42" i="72"/>
  <c r="CE60" i="72" s="1"/>
  <c r="CE35" i="72"/>
  <c r="CE34" i="72"/>
  <c r="CE45" i="72"/>
  <c r="CE63" i="72" s="1"/>
  <c r="CE44" i="72"/>
  <c r="CE64" i="72" s="1"/>
  <c r="CE38" i="72"/>
  <c r="CE43" i="72"/>
  <c r="CE61" i="72" s="1"/>
  <c r="CE40" i="72"/>
  <c r="CE27" i="72"/>
  <c r="CE36" i="72"/>
  <c r="CE33" i="72"/>
  <c r="CE39" i="72"/>
  <c r="CE23" i="72"/>
  <c r="CE55" i="72" s="1"/>
  <c r="CE37" i="72"/>
  <c r="AY39" i="72"/>
  <c r="AY37" i="72"/>
  <c r="AY36" i="72"/>
  <c r="AY42" i="72"/>
  <c r="AY60" i="72" s="1"/>
  <c r="AY35" i="72"/>
  <c r="AY34" i="72"/>
  <c r="AY45" i="72"/>
  <c r="AY63" i="72" s="1"/>
  <c r="AY40" i="72"/>
  <c r="AY27" i="72"/>
  <c r="AY23" i="72"/>
  <c r="AY55" i="72" s="1"/>
  <c r="AY43" i="72"/>
  <c r="AY61" i="72" s="1"/>
  <c r="AY38" i="72"/>
  <c r="AY33" i="72"/>
  <c r="AY44" i="72"/>
  <c r="AY64" i="72" s="1"/>
  <c r="M43" i="72"/>
  <c r="M61" i="72" s="1"/>
  <c r="M27" i="72"/>
  <c r="M42" i="72"/>
  <c r="M60" i="72" s="1"/>
  <c r="M39" i="72"/>
  <c r="M35" i="72"/>
  <c r="M23" i="72"/>
  <c r="M55" i="72" s="1"/>
  <c r="M40" i="72"/>
  <c r="M36" i="72"/>
  <c r="M45" i="72"/>
  <c r="M63" i="72" s="1"/>
  <c r="M34" i="72"/>
  <c r="M41" i="72" s="1"/>
  <c r="M62" i="72" s="1"/>
  <c r="M38" i="72"/>
  <c r="M44" i="72"/>
  <c r="M64" i="72" s="1"/>
  <c r="M37" i="72"/>
  <c r="BX35" i="72"/>
  <c r="BX43" i="72"/>
  <c r="BX61" i="72" s="1"/>
  <c r="BX40" i="72"/>
  <c r="BX34" i="72"/>
  <c r="BX39" i="72"/>
  <c r="BX38" i="72"/>
  <c r="BX33" i="72"/>
  <c r="BX23" i="72"/>
  <c r="BX45" i="72"/>
  <c r="BX63" i="72" s="1"/>
  <c r="BX37" i="72"/>
  <c r="BX27" i="72"/>
  <c r="BX36" i="72"/>
  <c r="BX44" i="72"/>
  <c r="BX64" i="72" s="1"/>
  <c r="BX42" i="72"/>
  <c r="BX60" i="72" s="1"/>
  <c r="BC40" i="72"/>
  <c r="BC43" i="72"/>
  <c r="BC61" i="72" s="1"/>
  <c r="BC27" i="72"/>
  <c r="BC34" i="72"/>
  <c r="BC45" i="72"/>
  <c r="BC63" i="72" s="1"/>
  <c r="BC42" i="72"/>
  <c r="BC60" i="72" s="1"/>
  <c r="BC37" i="72"/>
  <c r="BC44" i="72"/>
  <c r="BC64" i="72" s="1"/>
  <c r="BC36" i="72"/>
  <c r="BC39" i="72"/>
  <c r="BC23" i="72"/>
  <c r="BC55" i="72" s="1"/>
  <c r="BC35" i="72"/>
  <c r="BC33" i="72"/>
  <c r="BC38" i="72"/>
  <c r="AG39" i="72"/>
  <c r="AG27" i="72"/>
  <c r="AG44" i="72"/>
  <c r="AG64" i="72" s="1"/>
  <c r="AG36" i="72"/>
  <c r="AG43" i="72"/>
  <c r="AG61" i="72" s="1"/>
  <c r="AG42" i="72"/>
  <c r="AG60" i="72" s="1"/>
  <c r="AG34" i="72"/>
  <c r="AG37" i="72"/>
  <c r="AG23" i="72"/>
  <c r="AG55" i="72" s="1"/>
  <c r="AG45" i="72"/>
  <c r="AG63" i="72" s="1"/>
  <c r="AG38" i="72"/>
  <c r="AG35" i="72"/>
  <c r="AG33" i="72"/>
  <c r="AG40" i="72"/>
  <c r="L35" i="72"/>
  <c r="L37" i="72"/>
  <c r="L43" i="72"/>
  <c r="L61" i="72" s="1"/>
  <c r="L38" i="72"/>
  <c r="L44" i="72"/>
  <c r="L64" i="72" s="1"/>
  <c r="L39" i="72"/>
  <c r="L27" i="72"/>
  <c r="L23" i="72"/>
  <c r="L42" i="72"/>
  <c r="L60" i="72" s="1"/>
  <c r="L36" i="72"/>
  <c r="L45" i="72"/>
  <c r="L63" i="72" s="1"/>
  <c r="L40" i="72"/>
  <c r="L34" i="72"/>
  <c r="L41" i="72" s="1"/>
  <c r="L62" i="72" s="1"/>
  <c r="BW43" i="72"/>
  <c r="BW61" i="72" s="1"/>
  <c r="BW35" i="72"/>
  <c r="BW34" i="72"/>
  <c r="BW39" i="72"/>
  <c r="BW27" i="72"/>
  <c r="BW45" i="72"/>
  <c r="BW63" i="72" s="1"/>
  <c r="BW42" i="72"/>
  <c r="BW60" i="72" s="1"/>
  <c r="BW40" i="72"/>
  <c r="BW23" i="72"/>
  <c r="BW55" i="72" s="1"/>
  <c r="BW37" i="72"/>
  <c r="BW33" i="72"/>
  <c r="BW36" i="72"/>
  <c r="BW38" i="72"/>
  <c r="BW44" i="72"/>
  <c r="BW64" i="72" s="1"/>
  <c r="BA37" i="72"/>
  <c r="BA40" i="72"/>
  <c r="BA33" i="72"/>
  <c r="BA44" i="72"/>
  <c r="BA64" i="72" s="1"/>
  <c r="BA36" i="72"/>
  <c r="BA39" i="72"/>
  <c r="BA45" i="72"/>
  <c r="BA63" i="72" s="1"/>
  <c r="BA34" i="72"/>
  <c r="BA41" i="72" s="1"/>
  <c r="BA62" i="72" s="1"/>
  <c r="BA35" i="72"/>
  <c r="BA23" i="72"/>
  <c r="BA55" i="72" s="1"/>
  <c r="BA27" i="72"/>
  <c r="BA38" i="72"/>
  <c r="BA42" i="72"/>
  <c r="BA60" i="72" s="1"/>
  <c r="BA43" i="72"/>
  <c r="BA61" i="72" s="1"/>
  <c r="AF43" i="72"/>
  <c r="AF61" i="72" s="1"/>
  <c r="AF40" i="72"/>
  <c r="AF34" i="72"/>
  <c r="AF37" i="72"/>
  <c r="AF39" i="72"/>
  <c r="AF38" i="72"/>
  <c r="AF33" i="72"/>
  <c r="AF44" i="72"/>
  <c r="AF64" i="72" s="1"/>
  <c r="AF27" i="72"/>
  <c r="AF23" i="72"/>
  <c r="AF55" i="72" s="1"/>
  <c r="AF45" i="72"/>
  <c r="AF63" i="72" s="1"/>
  <c r="AF42" i="72"/>
  <c r="AF60" i="72" s="1"/>
  <c r="AF35" i="72"/>
  <c r="AF36" i="72"/>
  <c r="K23" i="72"/>
  <c r="K39" i="72"/>
  <c r="K35" i="72"/>
  <c r="K36" i="72"/>
  <c r="K42" i="72"/>
  <c r="K60" i="72" s="1"/>
  <c r="K27" i="72"/>
  <c r="K34" i="72"/>
  <c r="K44" i="72"/>
  <c r="K64" i="72" s="1"/>
  <c r="K38" i="72"/>
  <c r="K45" i="72"/>
  <c r="K63" i="72" s="1"/>
  <c r="K43" i="72"/>
  <c r="K61" i="72" s="1"/>
  <c r="K37" i="72"/>
  <c r="K40" i="72"/>
  <c r="BU38" i="72"/>
  <c r="BU39" i="72"/>
  <c r="BU35" i="72"/>
  <c r="BU44" i="72"/>
  <c r="BU64" i="72" s="1"/>
  <c r="BU43" i="72"/>
  <c r="BU61" i="72" s="1"/>
  <c r="BU37" i="72"/>
  <c r="BU42" i="72"/>
  <c r="BU60" i="72" s="1"/>
  <c r="BU36" i="72"/>
  <c r="BU33" i="72"/>
  <c r="BU34" i="72"/>
  <c r="BU23" i="72"/>
  <c r="BU55" i="72" s="1"/>
  <c r="BU45" i="72"/>
  <c r="BU63" i="72" s="1"/>
  <c r="BU40" i="72"/>
  <c r="BU27" i="72"/>
  <c r="AZ39" i="72"/>
  <c r="AZ40" i="72"/>
  <c r="AZ34" i="72"/>
  <c r="AZ37" i="72"/>
  <c r="AZ38" i="72"/>
  <c r="AZ33" i="72"/>
  <c r="AZ45" i="72"/>
  <c r="AZ63" i="72" s="1"/>
  <c r="AZ42" i="72"/>
  <c r="AZ60" i="72" s="1"/>
  <c r="AZ27" i="72"/>
  <c r="AZ43" i="72"/>
  <c r="AZ61" i="72" s="1"/>
  <c r="AZ35" i="72"/>
  <c r="AZ44" i="72"/>
  <c r="AZ64" i="72" s="1"/>
  <c r="AZ36" i="72"/>
  <c r="AZ23" i="72"/>
  <c r="AE39" i="72"/>
  <c r="AE35" i="72"/>
  <c r="AE36" i="72"/>
  <c r="AE44" i="72"/>
  <c r="AE64" i="72" s="1"/>
  <c r="AE40" i="72"/>
  <c r="AE34" i="72"/>
  <c r="AE45" i="72"/>
  <c r="AE63" i="72" s="1"/>
  <c r="AE42" i="72"/>
  <c r="AE60" i="72" s="1"/>
  <c r="AE27" i="72"/>
  <c r="AE33" i="72"/>
  <c r="AE37" i="72"/>
  <c r="AE38" i="72"/>
  <c r="AE23" i="72"/>
  <c r="AE55" i="72" s="1"/>
  <c r="AE43" i="72"/>
  <c r="AE61" i="72" s="1"/>
  <c r="I42" i="72"/>
  <c r="I60" i="72" s="1"/>
  <c r="I36" i="72"/>
  <c r="I37" i="72"/>
  <c r="I44" i="72"/>
  <c r="I64" i="72" s="1"/>
  <c r="I39" i="72"/>
  <c r="I43" i="72"/>
  <c r="I61" i="72" s="1"/>
  <c r="I34" i="72"/>
  <c r="I45" i="72"/>
  <c r="I63" i="72" s="1"/>
  <c r="I38" i="72"/>
  <c r="I23" i="72"/>
  <c r="I35" i="72"/>
  <c r="I40" i="72"/>
  <c r="I27" i="72"/>
  <c r="BZ36" i="72"/>
  <c r="BZ34" i="72"/>
  <c r="BZ45" i="72"/>
  <c r="BZ63" i="72" s="1"/>
  <c r="BZ39" i="72"/>
  <c r="BZ44" i="72"/>
  <c r="BZ64" i="72" s="1"/>
  <c r="BZ23" i="72"/>
  <c r="BZ42" i="72"/>
  <c r="BZ60" i="72" s="1"/>
  <c r="BZ43" i="72"/>
  <c r="BZ61" i="72" s="1"/>
  <c r="BZ40" i="72"/>
  <c r="BZ37" i="72"/>
  <c r="BZ35" i="72"/>
  <c r="BZ27" i="72"/>
  <c r="BZ33" i="72"/>
  <c r="BZ38" i="72"/>
  <c r="BJ36" i="72"/>
  <c r="BJ34" i="72"/>
  <c r="BJ43" i="72"/>
  <c r="BJ61" i="72" s="1"/>
  <c r="BJ42" i="72"/>
  <c r="BJ60" i="72" s="1"/>
  <c r="BJ23" i="72"/>
  <c r="BJ40" i="72"/>
  <c r="BJ27" i="72"/>
  <c r="BJ45" i="72"/>
  <c r="BJ63" i="72" s="1"/>
  <c r="BJ39" i="72"/>
  <c r="BJ33" i="72"/>
  <c r="BJ37" i="72"/>
  <c r="BJ44" i="72"/>
  <c r="BJ64" i="72" s="1"/>
  <c r="BJ35" i="72"/>
  <c r="BJ38" i="72"/>
  <c r="AT36" i="72"/>
  <c r="AT40" i="72"/>
  <c r="AT37" i="72"/>
  <c r="AT27" i="72"/>
  <c r="AT23" i="72"/>
  <c r="AT43" i="72"/>
  <c r="AT61" i="72" s="1"/>
  <c r="AT34" i="72"/>
  <c r="AT35" i="72"/>
  <c r="AT38" i="72"/>
  <c r="AT42" i="72"/>
  <c r="AT60" i="72" s="1"/>
  <c r="AT45" i="72"/>
  <c r="AT63" i="72" s="1"/>
  <c r="AT33" i="72"/>
  <c r="AT39" i="72"/>
  <c r="AT44" i="72"/>
  <c r="AT64" i="72" s="1"/>
  <c r="AD36" i="72"/>
  <c r="AD34" i="72"/>
  <c r="AD45" i="72"/>
  <c r="AD63" i="72" s="1"/>
  <c r="AD39" i="72"/>
  <c r="AD35" i="72"/>
  <c r="AD23" i="72"/>
  <c r="AD55" i="72" s="1"/>
  <c r="AD27" i="72"/>
  <c r="AD43" i="72"/>
  <c r="AD61" i="72" s="1"/>
  <c r="AD40" i="72"/>
  <c r="AD42" i="72"/>
  <c r="AD60" i="72" s="1"/>
  <c r="AD44" i="72"/>
  <c r="AD64" i="72" s="1"/>
  <c r="AD33" i="72"/>
  <c r="AD38" i="72"/>
  <c r="AD37" i="72"/>
  <c r="N36" i="72"/>
  <c r="N34" i="72"/>
  <c r="N40" i="72"/>
  <c r="N39" i="72"/>
  <c r="N27" i="72"/>
  <c r="N23" i="72"/>
  <c r="N55" i="72" s="1"/>
  <c r="N43" i="72"/>
  <c r="N61" i="72" s="1"/>
  <c r="N38" i="72"/>
  <c r="N42" i="72"/>
  <c r="N60" i="72" s="1"/>
  <c r="N44" i="72"/>
  <c r="N64" i="72" s="1"/>
  <c r="N37" i="72"/>
  <c r="N45" i="72"/>
  <c r="N63" i="72" s="1"/>
  <c r="N35" i="72"/>
  <c r="K50" i="72"/>
  <c r="K52" i="72" s="1"/>
  <c r="K51" i="72"/>
  <c r="K53" i="72" s="1"/>
  <c r="BG50" i="72"/>
  <c r="BG52" i="72" s="1"/>
  <c r="BG51" i="72"/>
  <c r="BG53" i="72" s="1"/>
  <c r="BN51" i="72"/>
  <c r="BN53" i="72" s="1"/>
  <c r="BN50" i="72"/>
  <c r="BN52" i="72" s="1"/>
  <c r="R51" i="50"/>
  <c r="R53" i="50" s="1"/>
  <c r="R50" i="50"/>
  <c r="R52" i="50" s="1"/>
  <c r="U66" i="50"/>
  <c r="U44" i="50"/>
  <c r="U64" i="50" s="1"/>
  <c r="U42" i="50"/>
  <c r="U60" i="50" s="1"/>
  <c r="U40" i="50"/>
  <c r="U23" i="50"/>
  <c r="U55" i="50" s="1"/>
  <c r="U27" i="50"/>
  <c r="U43" i="50"/>
  <c r="U61" i="50" s="1"/>
  <c r="U34" i="50"/>
  <c r="U36" i="50"/>
  <c r="U39" i="50"/>
  <c r="U35" i="50"/>
  <c r="U38" i="50"/>
  <c r="U45" i="50"/>
  <c r="U63" i="50" s="1"/>
  <c r="U37" i="50"/>
  <c r="U33" i="50"/>
  <c r="U28" i="50" s="1"/>
  <c r="AD54" i="50"/>
  <c r="AD50" i="50"/>
  <c r="AD52" i="50" s="1"/>
  <c r="AD51" i="50"/>
  <c r="AD53" i="50" s="1"/>
  <c r="AI50" i="72"/>
  <c r="AI52" i="72" s="1"/>
  <c r="AI51" i="72"/>
  <c r="AI53" i="72" s="1"/>
  <c r="AK50" i="72"/>
  <c r="AK52" i="72" s="1"/>
  <c r="AK51" i="72"/>
  <c r="AK53" i="72" s="1"/>
  <c r="J51" i="72"/>
  <c r="J53" i="72" s="1"/>
  <c r="J50" i="72"/>
  <c r="J52" i="72" s="1"/>
  <c r="J66" i="50"/>
  <c r="P35" i="50"/>
  <c r="P44" i="50"/>
  <c r="P64" i="50" s="1"/>
  <c r="P42" i="50"/>
  <c r="P60" i="50" s="1"/>
  <c r="P43" i="50"/>
  <c r="P61" i="50" s="1"/>
  <c r="P45" i="50"/>
  <c r="P63" i="50" s="1"/>
  <c r="P34" i="50"/>
  <c r="P36" i="50"/>
  <c r="P39" i="50"/>
  <c r="P38" i="50"/>
  <c r="P40" i="50"/>
  <c r="P37" i="50"/>
  <c r="AM54" i="50"/>
  <c r="V54" i="50"/>
  <c r="AL44" i="50"/>
  <c r="AL64" i="50" s="1"/>
  <c r="AL35" i="50"/>
  <c r="AL37" i="50"/>
  <c r="AL23" i="50"/>
  <c r="AL27" i="50"/>
  <c r="AL45" i="50"/>
  <c r="AL63" i="50" s="1"/>
  <c r="AL38" i="50"/>
  <c r="AL43" i="50"/>
  <c r="AL61" i="50" s="1"/>
  <c r="AL39" i="50"/>
  <c r="AL42" i="50"/>
  <c r="AL60" i="50" s="1"/>
  <c r="AL36" i="50"/>
  <c r="AL34" i="50"/>
  <c r="AL40" i="50"/>
  <c r="AL33" i="50"/>
  <c r="AL28" i="50" s="1"/>
  <c r="AB54" i="50"/>
  <c r="AB23" i="50"/>
  <c r="AB44" i="50"/>
  <c r="AB64" i="50" s="1"/>
  <c r="AB38" i="50"/>
  <c r="AB35" i="50"/>
  <c r="AB40" i="50"/>
  <c r="AB43" i="50"/>
  <c r="AB61" i="50" s="1"/>
  <c r="AB37" i="50"/>
  <c r="AB45" i="50"/>
  <c r="AB63" i="50" s="1"/>
  <c r="AB42" i="50"/>
  <c r="AB60" i="50" s="1"/>
  <c r="AB36" i="50"/>
  <c r="AB39" i="50"/>
  <c r="AB27" i="50"/>
  <c r="AB55" i="50" s="1"/>
  <c r="AB34" i="50"/>
  <c r="AB33" i="50"/>
  <c r="AB28" i="50" s="1"/>
  <c r="AR51" i="50"/>
  <c r="AR53" i="50" s="1"/>
  <c r="AR50" i="50"/>
  <c r="AR52" i="50" s="1"/>
  <c r="BW51" i="72"/>
  <c r="BW53" i="72" s="1"/>
  <c r="BW50" i="72"/>
  <c r="BW52" i="72" s="1"/>
  <c r="AC50" i="72"/>
  <c r="AC52" i="72" s="1"/>
  <c r="AC51" i="72"/>
  <c r="AC53" i="72" s="1"/>
  <c r="M66" i="50"/>
  <c r="T23" i="50"/>
  <c r="T44" i="50"/>
  <c r="T64" i="50" s="1"/>
  <c r="T38" i="50"/>
  <c r="T40" i="50"/>
  <c r="T43" i="50"/>
  <c r="T61" i="50" s="1"/>
  <c r="T45" i="50"/>
  <c r="T63" i="50" s="1"/>
  <c r="T35" i="50"/>
  <c r="T36" i="50"/>
  <c r="T42" i="50"/>
  <c r="T60" i="50" s="1"/>
  <c r="T37" i="50"/>
  <c r="T39" i="50"/>
  <c r="T34" i="50"/>
  <c r="T27" i="50"/>
  <c r="T33" i="50"/>
  <c r="T54" i="50"/>
  <c r="BC51" i="72"/>
  <c r="BC53" i="72" s="1"/>
  <c r="BC50" i="72"/>
  <c r="BC52" i="72" s="1"/>
  <c r="CI50" i="72"/>
  <c r="CI52" i="72" s="1"/>
  <c r="CI51" i="72"/>
  <c r="CI53" i="72" s="1"/>
  <c r="BL51" i="72"/>
  <c r="BL53" i="72" s="1"/>
  <c r="BL50" i="72"/>
  <c r="BL52" i="72" s="1"/>
  <c r="AO50" i="72"/>
  <c r="AO52" i="72" s="1"/>
  <c r="AO51" i="72"/>
  <c r="AO53" i="72" s="1"/>
  <c r="CL50" i="72"/>
  <c r="CL52" i="72" s="1"/>
  <c r="CL51" i="72"/>
  <c r="CL53" i="72" s="1"/>
  <c r="CM20" i="50"/>
  <c r="CM19" i="50"/>
  <c r="L54" i="50"/>
  <c r="L44" i="50"/>
  <c r="L64" i="50" s="1"/>
  <c r="L42" i="50"/>
  <c r="L60" i="50" s="1"/>
  <c r="L43" i="50"/>
  <c r="L61" i="50" s="1"/>
  <c r="L45" i="50"/>
  <c r="L63" i="50" s="1"/>
  <c r="L34" i="50"/>
  <c r="L40" i="50"/>
  <c r="L35" i="50"/>
  <c r="L37" i="50"/>
  <c r="L36" i="50"/>
  <c r="L38" i="50"/>
  <c r="L39" i="50"/>
  <c r="AA27" i="50"/>
  <c r="AA43" i="50"/>
  <c r="AA61" i="50" s="1"/>
  <c r="AA37" i="50"/>
  <c r="AA38" i="50"/>
  <c r="AA44" i="50"/>
  <c r="AA64" i="50" s="1"/>
  <c r="AA42" i="50"/>
  <c r="AA60" i="50" s="1"/>
  <c r="AA36" i="50"/>
  <c r="AA34" i="50"/>
  <c r="AA23" i="50"/>
  <c r="AA55" i="50" s="1"/>
  <c r="AA45" i="50"/>
  <c r="AA63" i="50" s="1"/>
  <c r="AA40" i="50"/>
  <c r="AA39" i="50"/>
  <c r="AA35" i="50"/>
  <c r="AA33" i="50"/>
  <c r="AA28" i="50" s="1"/>
  <c r="AA66" i="50"/>
  <c r="AQ54" i="50"/>
  <c r="AK35" i="50"/>
  <c r="AK38" i="50"/>
  <c r="AK23" i="50"/>
  <c r="AK36" i="50"/>
  <c r="AK45" i="50"/>
  <c r="AK63" i="50" s="1"/>
  <c r="AK39" i="50"/>
  <c r="AK37" i="50"/>
  <c r="AK27" i="50"/>
  <c r="AK43" i="50"/>
  <c r="AK61" i="50" s="1"/>
  <c r="AK44" i="50"/>
  <c r="AK64" i="50" s="1"/>
  <c r="AK42" i="50"/>
  <c r="AK60" i="50" s="1"/>
  <c r="AK40" i="50"/>
  <c r="AK34" i="50"/>
  <c r="AK33" i="50"/>
  <c r="AK28" i="50" s="1"/>
  <c r="Z54" i="50"/>
  <c r="AP66" i="50"/>
  <c r="AG54" i="50"/>
  <c r="CD51" i="72"/>
  <c r="CD53" i="72" s="1"/>
  <c r="CD50" i="72"/>
  <c r="CD52" i="72" s="1"/>
  <c r="H51" i="50"/>
  <c r="H53" i="50" s="1"/>
  <c r="H50" i="50"/>
  <c r="H52" i="50" s="1"/>
  <c r="AO50" i="50"/>
  <c r="AO52" i="50" s="1"/>
  <c r="AO51" i="50"/>
  <c r="AO53" i="50" s="1"/>
  <c r="O50" i="72"/>
  <c r="O52" i="72" s="1"/>
  <c r="O51" i="72"/>
  <c r="O53" i="72" s="1"/>
  <c r="BM50" i="72"/>
  <c r="BM52" i="72" s="1"/>
  <c r="BM51" i="72"/>
  <c r="BM53" i="72" s="1"/>
  <c r="AL51" i="72"/>
  <c r="AL53" i="72" s="1"/>
  <c r="AL50" i="72"/>
  <c r="AL52" i="72" s="1"/>
  <c r="S50" i="50"/>
  <c r="S52" i="50" s="1"/>
  <c r="S51" i="50"/>
  <c r="S53" i="50" s="1"/>
  <c r="Y35" i="50"/>
  <c r="Y42" i="50"/>
  <c r="Y60" i="50" s="1"/>
  <c r="Y43" i="50"/>
  <c r="Y61" i="50" s="1"/>
  <c r="Y45" i="50"/>
  <c r="Y63" i="50" s="1"/>
  <c r="Y39" i="50"/>
  <c r="Y37" i="50"/>
  <c r="Y38" i="50"/>
  <c r="Y44" i="50"/>
  <c r="Y64" i="50" s="1"/>
  <c r="Y34" i="50"/>
  <c r="Y36" i="50"/>
  <c r="Y23" i="50"/>
  <c r="Y40" i="50"/>
  <c r="Y27" i="50"/>
  <c r="Y33" i="50"/>
  <c r="Y28" i="50" s="1"/>
  <c r="X27" i="50"/>
  <c r="X43" i="50"/>
  <c r="X61" i="50" s="1"/>
  <c r="X37" i="50"/>
  <c r="X39" i="50"/>
  <c r="X42" i="50"/>
  <c r="X60" i="50" s="1"/>
  <c r="X40" i="50"/>
  <c r="X38" i="50"/>
  <c r="X23" i="50"/>
  <c r="X55" i="50" s="1"/>
  <c r="X45" i="50"/>
  <c r="X63" i="50" s="1"/>
  <c r="X44" i="50"/>
  <c r="X64" i="50" s="1"/>
  <c r="X34" i="50"/>
  <c r="X36" i="50"/>
  <c r="X35" i="50"/>
  <c r="X33" i="50"/>
  <c r="X28" i="50" s="1"/>
  <c r="AN66" i="50"/>
  <c r="H39" i="72"/>
  <c r="H27" i="72"/>
  <c r="H23" i="72"/>
  <c r="H42" i="72"/>
  <c r="H60" i="72" s="1"/>
  <c r="H36" i="72"/>
  <c r="H45" i="72"/>
  <c r="H63" i="72" s="1"/>
  <c r="H40" i="72"/>
  <c r="H34" i="72"/>
  <c r="H44" i="72"/>
  <c r="H64" i="72" s="1"/>
  <c r="H43" i="72"/>
  <c r="H61" i="72" s="1"/>
  <c r="H35" i="72"/>
  <c r="H38" i="72"/>
  <c r="H37" i="72"/>
  <c r="S43" i="72"/>
  <c r="S61" i="72" s="1"/>
  <c r="S38" i="72"/>
  <c r="S36" i="72"/>
  <c r="S39" i="72"/>
  <c r="S37" i="72"/>
  <c r="S34" i="72"/>
  <c r="S23" i="72"/>
  <c r="S45" i="72"/>
  <c r="S63" i="72" s="1"/>
  <c r="S42" i="72"/>
  <c r="S60" i="72" s="1"/>
  <c r="S35" i="72"/>
  <c r="S44" i="72"/>
  <c r="S64" i="72" s="1"/>
  <c r="S40" i="72"/>
  <c r="S27" i="72"/>
  <c r="BH35" i="72"/>
  <c r="BH43" i="72"/>
  <c r="BH61" i="72" s="1"/>
  <c r="BH40" i="72"/>
  <c r="BH34" i="72"/>
  <c r="BH39" i="72"/>
  <c r="BH38" i="72"/>
  <c r="BH33" i="72"/>
  <c r="BH23" i="72"/>
  <c r="BH45" i="72"/>
  <c r="BH63" i="72" s="1"/>
  <c r="BH37" i="72"/>
  <c r="BH27" i="72"/>
  <c r="BH36" i="72"/>
  <c r="BH44" i="72"/>
  <c r="BH64" i="72" s="1"/>
  <c r="BH42" i="72"/>
  <c r="BH60" i="72" s="1"/>
  <c r="Q39" i="72"/>
  <c r="Q27" i="72"/>
  <c r="Q44" i="72"/>
  <c r="Q64" i="72" s="1"/>
  <c r="Q43" i="72"/>
  <c r="Q61" i="72" s="1"/>
  <c r="Q42" i="72"/>
  <c r="Q60" i="72" s="1"/>
  <c r="Q36" i="72"/>
  <c r="Q37" i="72"/>
  <c r="Q23" i="72"/>
  <c r="Q45" i="72"/>
  <c r="Q63" i="72" s="1"/>
  <c r="Q34" i="72"/>
  <c r="Q35" i="72"/>
  <c r="Q38" i="72"/>
  <c r="Q40" i="72"/>
  <c r="AK38" i="72"/>
  <c r="AK45" i="72"/>
  <c r="AK63" i="72" s="1"/>
  <c r="AK34" i="72"/>
  <c r="AK35" i="72"/>
  <c r="AK37" i="72"/>
  <c r="AK42" i="72"/>
  <c r="AK60" i="72" s="1"/>
  <c r="AK43" i="72"/>
  <c r="AK61" i="72" s="1"/>
  <c r="AK27" i="72"/>
  <c r="AK40" i="72"/>
  <c r="AK33" i="72"/>
  <c r="AK23" i="72"/>
  <c r="AK36" i="72"/>
  <c r="AK39" i="72"/>
  <c r="AK44" i="72"/>
  <c r="AK64" i="72" s="1"/>
  <c r="CA33" i="72"/>
  <c r="CA23" i="72"/>
  <c r="CA45" i="72"/>
  <c r="CA63" i="72" s="1"/>
  <c r="CA42" i="72"/>
  <c r="CA60" i="72" s="1"/>
  <c r="CA38" i="72"/>
  <c r="CA43" i="72"/>
  <c r="CA61" i="72" s="1"/>
  <c r="CA35" i="72"/>
  <c r="CA37" i="72"/>
  <c r="CA39" i="72"/>
  <c r="CA40" i="72"/>
  <c r="CA36" i="72"/>
  <c r="CA34" i="72"/>
  <c r="CA27" i="72"/>
  <c r="CA44" i="72"/>
  <c r="CA64" i="72" s="1"/>
  <c r="AJ39" i="72"/>
  <c r="AJ38" i="72"/>
  <c r="AJ34" i="72"/>
  <c r="AJ42" i="72"/>
  <c r="AJ60" i="72" s="1"/>
  <c r="AJ37" i="72"/>
  <c r="AJ33" i="72"/>
  <c r="AJ45" i="72"/>
  <c r="AJ63" i="72" s="1"/>
  <c r="AJ44" i="72"/>
  <c r="AJ64" i="72" s="1"/>
  <c r="AJ27" i="72"/>
  <c r="AJ43" i="72"/>
  <c r="AJ61" i="72" s="1"/>
  <c r="AJ40" i="72"/>
  <c r="AJ23" i="72"/>
  <c r="AJ36" i="72"/>
  <c r="AJ35" i="72"/>
  <c r="BN42" i="72"/>
  <c r="BN60" i="72" s="1"/>
  <c r="BN45" i="72"/>
  <c r="BN63" i="72" s="1"/>
  <c r="BN43" i="72"/>
  <c r="BN61" i="72" s="1"/>
  <c r="BN35" i="72"/>
  <c r="BN40" i="72"/>
  <c r="BN44" i="72"/>
  <c r="BN64" i="72" s="1"/>
  <c r="BN39" i="72"/>
  <c r="BN27" i="72"/>
  <c r="BN23" i="72"/>
  <c r="BN36" i="72"/>
  <c r="BN33" i="72"/>
  <c r="BN37" i="72"/>
  <c r="BN34" i="72"/>
  <c r="BN38" i="72"/>
  <c r="AH42" i="72"/>
  <c r="AH60" i="72" s="1"/>
  <c r="AH44" i="72"/>
  <c r="AH64" i="72" s="1"/>
  <c r="AH39" i="72"/>
  <c r="AH27" i="72"/>
  <c r="AH34" i="72"/>
  <c r="AH33" i="72"/>
  <c r="AH35" i="72"/>
  <c r="AH40" i="72"/>
  <c r="AH37" i="72"/>
  <c r="AH23" i="72"/>
  <c r="AH45" i="72"/>
  <c r="AH63" i="72" s="1"/>
  <c r="AH38" i="72"/>
  <c r="AH43" i="72"/>
  <c r="AH61" i="72" s="1"/>
  <c r="AH36" i="72"/>
  <c r="U51" i="50"/>
  <c r="U53" i="50" s="1"/>
  <c r="U50" i="50"/>
  <c r="U52" i="50" s="1"/>
  <c r="AJ51" i="50"/>
  <c r="AJ53" i="50" s="1"/>
  <c r="AJ50" i="50"/>
  <c r="AJ52" i="50" s="1"/>
  <c r="K34" i="50"/>
  <c r="K44" i="50"/>
  <c r="K64" i="50" s="1"/>
  <c r="K42" i="50"/>
  <c r="K60" i="50" s="1"/>
  <c r="K43" i="50"/>
  <c r="K61" i="50" s="1"/>
  <c r="K45" i="50"/>
  <c r="K63" i="50" s="1"/>
  <c r="K35" i="50"/>
  <c r="K40" i="50"/>
  <c r="K37" i="50"/>
  <c r="K38" i="50"/>
  <c r="K36" i="50"/>
  <c r="K39" i="50"/>
  <c r="W50" i="50"/>
  <c r="W52" i="50" s="1"/>
  <c r="W51" i="50"/>
  <c r="W53" i="50" s="1"/>
  <c r="AE51" i="50"/>
  <c r="AE53" i="50" s="1"/>
  <c r="AE50" i="50"/>
  <c r="AE52" i="50" s="1"/>
  <c r="AT50" i="72"/>
  <c r="AT52" i="72" s="1"/>
  <c r="AT51" i="72"/>
  <c r="AT53" i="72" s="1"/>
  <c r="Q51" i="50"/>
  <c r="Q53" i="50" s="1"/>
  <c r="Q50" i="50"/>
  <c r="Q52" i="50" s="1"/>
  <c r="L51" i="50"/>
  <c r="L53" i="50" s="1"/>
  <c r="L50" i="50"/>
  <c r="L52" i="50" s="1"/>
  <c r="AW42" i="50"/>
  <c r="AW34" i="50"/>
  <c r="AW23" i="50"/>
  <c r="H51" i="72"/>
  <c r="H53" i="72" s="1"/>
  <c r="H50" i="72"/>
  <c r="H52" i="72" s="1"/>
  <c r="BT51" i="72"/>
  <c r="BT53" i="72" s="1"/>
  <c r="BT50" i="72"/>
  <c r="BT52" i="72" s="1"/>
  <c r="AG50" i="72"/>
  <c r="AG52" i="72" s="1"/>
  <c r="AG51" i="72"/>
  <c r="AG53" i="72" s="1"/>
  <c r="BF50" i="72"/>
  <c r="BF52" i="72" s="1"/>
  <c r="BF51" i="72"/>
  <c r="BF53" i="72" s="1"/>
  <c r="O66" i="50"/>
  <c r="I34" i="50"/>
  <c r="I45" i="50"/>
  <c r="I63" i="50" s="1"/>
  <c r="I44" i="50"/>
  <c r="I64" i="50" s="1"/>
  <c r="I42" i="50"/>
  <c r="I60" i="50" s="1"/>
  <c r="I43" i="50"/>
  <c r="I61" i="50" s="1"/>
  <c r="I38" i="50"/>
  <c r="I36" i="50"/>
  <c r="I37" i="50"/>
  <c r="I35" i="50"/>
  <c r="I39" i="50"/>
  <c r="I40" i="50"/>
  <c r="I23" i="50"/>
  <c r="I55" i="50" s="1"/>
  <c r="AI51" i="50"/>
  <c r="AI53" i="50" s="1"/>
  <c r="AI50" i="50"/>
  <c r="AI52" i="50" s="1"/>
  <c r="AH44" i="50"/>
  <c r="AH64" i="50" s="1"/>
  <c r="AH39" i="50"/>
  <c r="AH37" i="50"/>
  <c r="AH23" i="50"/>
  <c r="AH27" i="50"/>
  <c r="AH43" i="50"/>
  <c r="AH61" i="50" s="1"/>
  <c r="AH36" i="50"/>
  <c r="AH34" i="50"/>
  <c r="AH35" i="50"/>
  <c r="AH42" i="50"/>
  <c r="AH60" i="50" s="1"/>
  <c r="AH40" i="50"/>
  <c r="AH38" i="50"/>
  <c r="AH45" i="50"/>
  <c r="AH63" i="50" s="1"/>
  <c r="AH33" i="50"/>
  <c r="AH28" i="50" s="1"/>
  <c r="X54" i="50"/>
  <c r="X51" i="50"/>
  <c r="X53" i="50" s="1"/>
  <c r="X50" i="50"/>
  <c r="X52" i="50" s="1"/>
  <c r="AN54" i="50"/>
  <c r="AC38" i="72"/>
  <c r="AC27" i="72"/>
  <c r="AC43" i="72"/>
  <c r="AC61" i="72" s="1"/>
  <c r="AC40" i="72"/>
  <c r="AC34" i="72"/>
  <c r="AC23" i="72"/>
  <c r="AC55" i="72" s="1"/>
  <c r="AC45" i="72"/>
  <c r="AC63" i="72" s="1"/>
  <c r="AC33" i="72"/>
  <c r="AC44" i="72"/>
  <c r="AC64" i="72" s="1"/>
  <c r="AC39" i="72"/>
  <c r="AC37" i="72"/>
  <c r="AC35" i="72"/>
  <c r="AC36" i="72"/>
  <c r="AC42" i="72"/>
  <c r="AC60" i="72" s="1"/>
  <c r="X39" i="72"/>
  <c r="X27" i="72"/>
  <c r="X23" i="72"/>
  <c r="X42" i="72"/>
  <c r="X60" i="72" s="1"/>
  <c r="X36" i="72"/>
  <c r="X45" i="72"/>
  <c r="X63" i="72" s="1"/>
  <c r="X40" i="72"/>
  <c r="X34" i="72"/>
  <c r="X43" i="72"/>
  <c r="X61" i="72" s="1"/>
  <c r="X44" i="72"/>
  <c r="X64" i="72" s="1"/>
  <c r="X38" i="72"/>
  <c r="X33" i="72"/>
  <c r="X37" i="72"/>
  <c r="X35" i="72"/>
  <c r="BI38" i="72"/>
  <c r="BI27" i="72"/>
  <c r="BI37" i="72"/>
  <c r="BI40" i="72"/>
  <c r="BI34" i="72"/>
  <c r="BI23" i="72"/>
  <c r="BI55" i="72" s="1"/>
  <c r="BI45" i="72"/>
  <c r="BI63" i="72" s="1"/>
  <c r="BI33" i="72"/>
  <c r="BI44" i="72"/>
  <c r="BI64" i="72" s="1"/>
  <c r="BI39" i="72"/>
  <c r="BI35" i="72"/>
  <c r="BI36" i="72"/>
  <c r="BI43" i="72"/>
  <c r="BI61" i="72" s="1"/>
  <c r="BI42" i="72"/>
  <c r="BI60" i="72" s="1"/>
  <c r="BY43" i="72"/>
  <c r="BY61" i="72" s="1"/>
  <c r="BY27" i="72"/>
  <c r="BY38" i="72"/>
  <c r="BY34" i="72"/>
  <c r="BY23" i="72"/>
  <c r="BY44" i="72"/>
  <c r="BY64" i="72" s="1"/>
  <c r="BY45" i="72"/>
  <c r="BY63" i="72" s="1"/>
  <c r="BY33" i="72"/>
  <c r="BY42" i="72"/>
  <c r="BY60" i="72" s="1"/>
  <c r="BY39" i="72"/>
  <c r="BY35" i="72"/>
  <c r="BY37" i="72"/>
  <c r="BY36" i="72"/>
  <c r="BY40" i="72"/>
  <c r="G45" i="72"/>
  <c r="G63" i="72" s="1"/>
  <c r="G37" i="72"/>
  <c r="G36" i="72"/>
  <c r="G23" i="72"/>
  <c r="G43" i="72"/>
  <c r="G35" i="72"/>
  <c r="G34" i="72"/>
  <c r="G39" i="72"/>
  <c r="G27" i="72"/>
  <c r="G44" i="72"/>
  <c r="G64" i="72" s="1"/>
  <c r="G40" i="72"/>
  <c r="G42" i="72"/>
  <c r="G38" i="72"/>
  <c r="BS23" i="72"/>
  <c r="BS55" i="72" s="1"/>
  <c r="BS39" i="72"/>
  <c r="BS27" i="72"/>
  <c r="BS44" i="72"/>
  <c r="BS64" i="72" s="1"/>
  <c r="BS38" i="72"/>
  <c r="BS36" i="72"/>
  <c r="BS35" i="72"/>
  <c r="BS45" i="72"/>
  <c r="BS63" i="72" s="1"/>
  <c r="BS37" i="72"/>
  <c r="BS43" i="72"/>
  <c r="BS61" i="72" s="1"/>
  <c r="BS34" i="72"/>
  <c r="BS40" i="72"/>
  <c r="BS33" i="72"/>
  <c r="BS42" i="72"/>
  <c r="BS60" i="72" s="1"/>
  <c r="AW27" i="72"/>
  <c r="AW45" i="72"/>
  <c r="AW63" i="72" s="1"/>
  <c r="AW38" i="72"/>
  <c r="AW35" i="72"/>
  <c r="AW39" i="72"/>
  <c r="AW40" i="72"/>
  <c r="AW37" i="72"/>
  <c r="AW23" i="72"/>
  <c r="AW44" i="72"/>
  <c r="AW64" i="72" s="1"/>
  <c r="AW36" i="72"/>
  <c r="AW33" i="72"/>
  <c r="AW34" i="72"/>
  <c r="AW42" i="72"/>
  <c r="AW60" i="72" s="1"/>
  <c r="AW43" i="72"/>
  <c r="AW61" i="72" s="1"/>
  <c r="AB37" i="72"/>
  <c r="AB35" i="72"/>
  <c r="AB45" i="72"/>
  <c r="AB63" i="72" s="1"/>
  <c r="AB42" i="72"/>
  <c r="AB60" i="72" s="1"/>
  <c r="AB36" i="72"/>
  <c r="AB44" i="72"/>
  <c r="AB64" i="72" s="1"/>
  <c r="AB40" i="72"/>
  <c r="AB34" i="72"/>
  <c r="AB23" i="72"/>
  <c r="AB43" i="72"/>
  <c r="AB61" i="72" s="1"/>
  <c r="AB38" i="72"/>
  <c r="AB33" i="72"/>
  <c r="AB27" i="72"/>
  <c r="AB39" i="72"/>
  <c r="CM27" i="72"/>
  <c r="CM45" i="72"/>
  <c r="CM44" i="72"/>
  <c r="CM39" i="72"/>
  <c r="CM23" i="72"/>
  <c r="BQ42" i="72"/>
  <c r="BQ60" i="72" s="1"/>
  <c r="BQ34" i="72"/>
  <c r="BQ35" i="72"/>
  <c r="BQ40" i="72"/>
  <c r="BQ43" i="72"/>
  <c r="BQ61" i="72" s="1"/>
  <c r="BQ37" i="72"/>
  <c r="BQ44" i="72"/>
  <c r="BQ64" i="72" s="1"/>
  <c r="BQ38" i="72"/>
  <c r="BQ33" i="72"/>
  <c r="BQ23" i="72"/>
  <c r="BQ45" i="72"/>
  <c r="BQ63" i="72" s="1"/>
  <c r="BQ39" i="72"/>
  <c r="BQ36" i="72"/>
  <c r="BQ27" i="72"/>
  <c r="AV39" i="72"/>
  <c r="AV40" i="72"/>
  <c r="AV34" i="72"/>
  <c r="AV35" i="72"/>
  <c r="AV37" i="72"/>
  <c r="AV38" i="72"/>
  <c r="AV33" i="72"/>
  <c r="AV45" i="72"/>
  <c r="AV63" i="72" s="1"/>
  <c r="AV44" i="72"/>
  <c r="AV64" i="72" s="1"/>
  <c r="AV27" i="72"/>
  <c r="AV23" i="72"/>
  <c r="AV55" i="72" s="1"/>
  <c r="AV43" i="72"/>
  <c r="AV61" i="72" s="1"/>
  <c r="AV42" i="72"/>
  <c r="AV60" i="72" s="1"/>
  <c r="AV36" i="72"/>
  <c r="AA33" i="72"/>
  <c r="AA44" i="72"/>
  <c r="AA64" i="72" s="1"/>
  <c r="AA38" i="72"/>
  <c r="AA40" i="72"/>
  <c r="AA39" i="72"/>
  <c r="AA35" i="72"/>
  <c r="AA34" i="72"/>
  <c r="AA45" i="72"/>
  <c r="AA63" i="72" s="1"/>
  <c r="AA27" i="72"/>
  <c r="AA43" i="72"/>
  <c r="AA61" i="72" s="1"/>
  <c r="AA36" i="72"/>
  <c r="AA42" i="72"/>
  <c r="AA60" i="72" s="1"/>
  <c r="AA23" i="72"/>
  <c r="AA55" i="72" s="1"/>
  <c r="AA37" i="72"/>
  <c r="CK23" i="72"/>
  <c r="CK38" i="72"/>
  <c r="CK45" i="72"/>
  <c r="CK63" i="72" s="1"/>
  <c r="CK35" i="72"/>
  <c r="CK44" i="72"/>
  <c r="CK64" i="72" s="1"/>
  <c r="CK43" i="72"/>
  <c r="CK61" i="72" s="1"/>
  <c r="CK39" i="72"/>
  <c r="CK42" i="72"/>
  <c r="CK60" i="72" s="1"/>
  <c r="CK36" i="72"/>
  <c r="CK37" i="72"/>
  <c r="CK33" i="72"/>
  <c r="CK27" i="72"/>
  <c r="CK34" i="72"/>
  <c r="CK40" i="72"/>
  <c r="BP39" i="72"/>
  <c r="BP40" i="72"/>
  <c r="BP34" i="72"/>
  <c r="BP37" i="72"/>
  <c r="BP38" i="72"/>
  <c r="BP33" i="72"/>
  <c r="BP45" i="72"/>
  <c r="BP63" i="72" s="1"/>
  <c r="BP42" i="72"/>
  <c r="BP60" i="72" s="1"/>
  <c r="BP27" i="72"/>
  <c r="BP43" i="72"/>
  <c r="BP61" i="72" s="1"/>
  <c r="BP44" i="72"/>
  <c r="BP64" i="72" s="1"/>
  <c r="BP35" i="72"/>
  <c r="BP36" i="72"/>
  <c r="BP23" i="72"/>
  <c r="AU33" i="72"/>
  <c r="AU44" i="72"/>
  <c r="AU64" i="72" s="1"/>
  <c r="AU27" i="72"/>
  <c r="AU34" i="72"/>
  <c r="AU45" i="72"/>
  <c r="AU63" i="72" s="1"/>
  <c r="AU42" i="72"/>
  <c r="AU60" i="72" s="1"/>
  <c r="AU38" i="72"/>
  <c r="AU23" i="72"/>
  <c r="AU43" i="72"/>
  <c r="AU61" i="72" s="1"/>
  <c r="AU35" i="72"/>
  <c r="AU37" i="72"/>
  <c r="AU39" i="72"/>
  <c r="AU36" i="72"/>
  <c r="AU40" i="72"/>
  <c r="Y40" i="72"/>
  <c r="Y45" i="72"/>
  <c r="Y63" i="72" s="1"/>
  <c r="Y37" i="72"/>
  <c r="Y43" i="72"/>
  <c r="Y61" i="72" s="1"/>
  <c r="Y39" i="72"/>
  <c r="Y35" i="72"/>
  <c r="Y44" i="72"/>
  <c r="Y64" i="72" s="1"/>
  <c r="Y36" i="72"/>
  <c r="Y38" i="72"/>
  <c r="Y34" i="72"/>
  <c r="Y27" i="72"/>
  <c r="Y33" i="72"/>
  <c r="Y23" i="72"/>
  <c r="Y55" i="72" s="1"/>
  <c r="Y42" i="72"/>
  <c r="Y60" i="72" s="1"/>
  <c r="CL36" i="72"/>
  <c r="CL23" i="72"/>
  <c r="CL34" i="72"/>
  <c r="CL45" i="72"/>
  <c r="CL63" i="72" s="1"/>
  <c r="CL43" i="72"/>
  <c r="CL61" i="72" s="1"/>
  <c r="CL42" i="72"/>
  <c r="CL60" i="72" s="1"/>
  <c r="CL37" i="72"/>
  <c r="CL44" i="72"/>
  <c r="CL64" i="72" s="1"/>
  <c r="CL40" i="72"/>
  <c r="CL39" i="72"/>
  <c r="CL35" i="72"/>
  <c r="CL38" i="72"/>
  <c r="CL27" i="72"/>
  <c r="CL33" i="72"/>
  <c r="BV36" i="72"/>
  <c r="BV34" i="72"/>
  <c r="BV44" i="72"/>
  <c r="BV64" i="72" s="1"/>
  <c r="BV33" i="72"/>
  <c r="BV39" i="72"/>
  <c r="BV37" i="72"/>
  <c r="BV23" i="72"/>
  <c r="BV45" i="72"/>
  <c r="BV63" i="72" s="1"/>
  <c r="BV43" i="72"/>
  <c r="BV61" i="72" s="1"/>
  <c r="BV42" i="72"/>
  <c r="BV60" i="72" s="1"/>
  <c r="BV35" i="72"/>
  <c r="BV40" i="72"/>
  <c r="BV38" i="72"/>
  <c r="BV27" i="72"/>
  <c r="BF36" i="72"/>
  <c r="BF34" i="72"/>
  <c r="BF38" i="72"/>
  <c r="BF37" i="72"/>
  <c r="BF27" i="72"/>
  <c r="BF43" i="72"/>
  <c r="BF61" i="72" s="1"/>
  <c r="BF35" i="72"/>
  <c r="BF44" i="72"/>
  <c r="BF64" i="72" s="1"/>
  <c r="BF33" i="72"/>
  <c r="BF45" i="72"/>
  <c r="BF63" i="72" s="1"/>
  <c r="BF40" i="72"/>
  <c r="BF42" i="72"/>
  <c r="BF60" i="72" s="1"/>
  <c r="BF39" i="72"/>
  <c r="BF23" i="72"/>
  <c r="AP36" i="72"/>
  <c r="AP34" i="72"/>
  <c r="AP45" i="72"/>
  <c r="AP63" i="72" s="1"/>
  <c r="AP43" i="72"/>
  <c r="AP61" i="72" s="1"/>
  <c r="AP42" i="72"/>
  <c r="AP60" i="72" s="1"/>
  <c r="AP38" i="72"/>
  <c r="AP33" i="72"/>
  <c r="AP40" i="72"/>
  <c r="AP39" i="72"/>
  <c r="AP35" i="72"/>
  <c r="AP27" i="72"/>
  <c r="AP23" i="72"/>
  <c r="AP37" i="72"/>
  <c r="AP44" i="72"/>
  <c r="AP64" i="72" s="1"/>
  <c r="Z36" i="72"/>
  <c r="Z34" i="72"/>
  <c r="Z44" i="72"/>
  <c r="Z64" i="72" s="1"/>
  <c r="Z42" i="72"/>
  <c r="Z60" i="72" s="1"/>
  <c r="Z40" i="72"/>
  <c r="Z35" i="72"/>
  <c r="Z33" i="72"/>
  <c r="Z23" i="72"/>
  <c r="Z45" i="72"/>
  <c r="Z63" i="72" s="1"/>
  <c r="Z43" i="72"/>
  <c r="Z61" i="72" s="1"/>
  <c r="Z37" i="72"/>
  <c r="Z38" i="72"/>
  <c r="Z39" i="72"/>
  <c r="Z27" i="72"/>
  <c r="J36" i="72"/>
  <c r="J34" i="72"/>
  <c r="J40" i="72"/>
  <c r="J39" i="72"/>
  <c r="J27" i="72"/>
  <c r="J45" i="72"/>
  <c r="J63" i="72" s="1"/>
  <c r="J42" i="72"/>
  <c r="J60" i="72" s="1"/>
  <c r="J35" i="72"/>
  <c r="J23" i="72"/>
  <c r="J55" i="72" s="1"/>
  <c r="J38" i="72"/>
  <c r="J37" i="72"/>
  <c r="J43" i="72"/>
  <c r="J61" i="72" s="1"/>
  <c r="J44" i="72"/>
  <c r="J64" i="72" s="1"/>
  <c r="AQ51" i="72"/>
  <c r="AQ53" i="72" s="1"/>
  <c r="AQ50" i="72"/>
  <c r="AQ52" i="72" s="1"/>
  <c r="V50" i="72"/>
  <c r="V52" i="72" s="1"/>
  <c r="V51" i="72"/>
  <c r="V53" i="72" s="1"/>
  <c r="U54" i="50"/>
  <c r="AD44" i="50"/>
  <c r="AD64" i="50" s="1"/>
  <c r="AD39" i="50"/>
  <c r="AD37" i="50"/>
  <c r="AD38" i="50"/>
  <c r="AD36" i="50"/>
  <c r="AD43" i="50"/>
  <c r="AD61" i="50" s="1"/>
  <c r="AD45" i="50"/>
  <c r="AD63" i="50" s="1"/>
  <c r="AD27" i="50"/>
  <c r="AD42" i="50"/>
  <c r="AD60" i="50" s="1"/>
  <c r="AD40" i="50"/>
  <c r="AD34" i="50"/>
  <c r="AD23" i="50"/>
  <c r="AD55" i="50" s="1"/>
  <c r="AD35" i="50"/>
  <c r="AD33" i="50"/>
  <c r="AD28" i="50" s="1"/>
  <c r="AJ54" i="50"/>
  <c r="S51" i="72"/>
  <c r="S53" i="72" s="1"/>
  <c r="S50" i="72"/>
  <c r="S52" i="72" s="1"/>
  <c r="CE51" i="72"/>
  <c r="CE53" i="72" s="1"/>
  <c r="CE50" i="72"/>
  <c r="CE52" i="72" s="1"/>
  <c r="AB50" i="72"/>
  <c r="AB52" i="72" s="1"/>
  <c r="AB51" i="72"/>
  <c r="AB53" i="72" s="1"/>
  <c r="AR51" i="72"/>
  <c r="AR53" i="72" s="1"/>
  <c r="AR50" i="72"/>
  <c r="AR52" i="72" s="1"/>
  <c r="U50" i="72"/>
  <c r="U52" i="72" s="1"/>
  <c r="U51" i="72"/>
  <c r="U53" i="72" s="1"/>
  <c r="CG50" i="72"/>
  <c r="CG52" i="72" s="1"/>
  <c r="CG51" i="72"/>
  <c r="CG53" i="72" s="1"/>
  <c r="BB51" i="72"/>
  <c r="BB53" i="72" s="1"/>
  <c r="BB50" i="72"/>
  <c r="BB52" i="72" s="1"/>
  <c r="R50" i="72"/>
  <c r="R52" i="72" s="1"/>
  <c r="R51" i="72"/>
  <c r="R53" i="72" s="1"/>
  <c r="K54" i="50"/>
  <c r="K51" i="50"/>
  <c r="K53" i="50" s="1"/>
  <c r="K50" i="50"/>
  <c r="K52" i="50" s="1"/>
  <c r="J54" i="50"/>
  <c r="J51" i="50"/>
  <c r="J53" i="50" s="1"/>
  <c r="J50" i="50"/>
  <c r="J52" i="50" s="1"/>
  <c r="P66" i="50"/>
  <c r="P51" i="50"/>
  <c r="P53" i="50" s="1"/>
  <c r="P50" i="50"/>
  <c r="P52" i="50" s="1"/>
  <c r="W66" i="50"/>
  <c r="AM66" i="50"/>
  <c r="AM50" i="50"/>
  <c r="AM52" i="50" s="1"/>
  <c r="AM51" i="50"/>
  <c r="AM53" i="50" s="1"/>
  <c r="V66" i="50"/>
  <c r="V51" i="50"/>
  <c r="V53" i="50" s="1"/>
  <c r="V50" i="50"/>
  <c r="V52" i="50" s="1"/>
  <c r="AB50" i="50"/>
  <c r="AB52" i="50" s="1"/>
  <c r="AB51" i="50"/>
  <c r="AB53" i="50" s="1"/>
  <c r="BJ51" i="72"/>
  <c r="BJ53" i="72" s="1"/>
  <c r="BJ50" i="72"/>
  <c r="BJ52" i="72" s="1"/>
  <c r="M51" i="50"/>
  <c r="M53" i="50" s="1"/>
  <c r="M50" i="50"/>
  <c r="M52" i="50" s="1"/>
  <c r="T51" i="50"/>
  <c r="T53" i="50" s="1"/>
  <c r="T50" i="50"/>
  <c r="T52" i="50" s="1"/>
  <c r="CM30" i="50"/>
  <c r="AM51" i="72"/>
  <c r="AM53" i="72" s="1"/>
  <c r="AM50" i="72"/>
  <c r="AM52" i="72" s="1"/>
  <c r="AV51" i="72"/>
  <c r="AV53" i="72" s="1"/>
  <c r="AV50" i="72"/>
  <c r="AV52" i="72" s="1"/>
  <c r="Y51" i="72"/>
  <c r="Y53" i="72" s="1"/>
  <c r="Y50" i="72"/>
  <c r="Y52" i="72" s="1"/>
  <c r="CK51" i="72"/>
  <c r="CK53" i="72" s="1"/>
  <c r="CK50" i="72"/>
  <c r="CK52" i="72" s="1"/>
  <c r="Z51" i="72"/>
  <c r="Z53" i="72" s="1"/>
  <c r="Z50" i="72"/>
  <c r="Z52" i="72" s="1"/>
  <c r="CM16" i="50"/>
  <c r="G44" i="50"/>
  <c r="G42" i="50"/>
  <c r="G43" i="50"/>
  <c r="G45" i="50"/>
  <c r="G37" i="50"/>
  <c r="G39" i="50"/>
  <c r="G35" i="50"/>
  <c r="G36" i="50"/>
  <c r="G38" i="50"/>
  <c r="G40" i="50"/>
  <c r="G23" i="50"/>
  <c r="G34" i="50"/>
  <c r="CM22" i="50"/>
  <c r="Q38" i="50"/>
  <c r="Q45" i="50"/>
  <c r="Q63" i="50" s="1"/>
  <c r="Q44" i="50"/>
  <c r="Q64" i="50" s="1"/>
  <c r="Q42" i="50"/>
  <c r="Q60" i="50" s="1"/>
  <c r="Q43" i="50"/>
  <c r="Q61" i="50" s="1"/>
  <c r="Q37" i="50"/>
  <c r="Q34" i="50"/>
  <c r="Q35" i="50"/>
  <c r="Q36" i="50"/>
  <c r="Q40" i="50"/>
  <c r="Q39" i="50"/>
  <c r="AA51" i="50"/>
  <c r="AA53" i="50" s="1"/>
  <c r="AA50" i="50"/>
  <c r="AA52" i="50" s="1"/>
  <c r="AP50" i="50"/>
  <c r="AP52" i="50" s="1"/>
  <c r="AP51" i="50"/>
  <c r="AP53" i="50" s="1"/>
  <c r="AF23" i="50"/>
  <c r="AF27" i="50"/>
  <c r="AF43" i="50"/>
  <c r="AF61" i="50" s="1"/>
  <c r="AF38" i="50"/>
  <c r="AF35" i="50"/>
  <c r="AF34" i="50"/>
  <c r="AF42" i="50"/>
  <c r="AF60" i="50" s="1"/>
  <c r="AF37" i="50"/>
  <c r="AF40" i="50"/>
  <c r="AF45" i="50"/>
  <c r="AF63" i="50" s="1"/>
  <c r="AF36" i="50"/>
  <c r="AF44" i="50"/>
  <c r="AF64" i="50" s="1"/>
  <c r="AF39" i="50"/>
  <c r="AF33" i="50"/>
  <c r="AF28" i="50" s="1"/>
  <c r="AA51" i="72"/>
  <c r="AA53" i="72" s="1"/>
  <c r="AA50" i="72"/>
  <c r="AA52" i="72" s="1"/>
  <c r="CF50" i="72"/>
  <c r="CF52" i="72" s="1"/>
  <c r="CF51" i="72"/>
  <c r="CF53" i="72" s="1"/>
  <c r="AP51" i="72"/>
  <c r="AP53" i="72" s="1"/>
  <c r="AP50" i="72"/>
  <c r="AP52" i="72" s="1"/>
  <c r="H35" i="50"/>
  <c r="H44" i="50"/>
  <c r="H64" i="50" s="1"/>
  <c r="H42" i="50"/>
  <c r="H60" i="50" s="1"/>
  <c r="H43" i="50"/>
  <c r="H61" i="50" s="1"/>
  <c r="H45" i="50"/>
  <c r="H63" i="50" s="1"/>
  <c r="H34" i="50"/>
  <c r="H23" i="50"/>
  <c r="H55" i="50" s="1"/>
  <c r="H36" i="50"/>
  <c r="H39" i="50"/>
  <c r="H40" i="50"/>
  <c r="H37" i="50"/>
  <c r="H38" i="50"/>
  <c r="AO54" i="50"/>
  <c r="AU51" i="72"/>
  <c r="AU53" i="72" s="1"/>
  <c r="AU50" i="72"/>
  <c r="AU52" i="72" s="1"/>
  <c r="CA50" i="72"/>
  <c r="CA52" i="72" s="1"/>
  <c r="CA51" i="72"/>
  <c r="CA53" i="72" s="1"/>
  <c r="BZ50" i="72"/>
  <c r="BZ52" i="72" s="1"/>
  <c r="BZ51" i="72"/>
  <c r="BZ53" i="72" s="1"/>
  <c r="AH50" i="50"/>
  <c r="AH52" i="50" s="1"/>
  <c r="AH51" i="50"/>
  <c r="AH53" i="50" s="1"/>
  <c r="BO33" i="72"/>
  <c r="BO44" i="72"/>
  <c r="BO64" i="72" s="1"/>
  <c r="BO42" i="72"/>
  <c r="BO60" i="72" s="1"/>
  <c r="BO38" i="72"/>
  <c r="BO23" i="72"/>
  <c r="BO45" i="72"/>
  <c r="BO63" i="72" s="1"/>
  <c r="BO40" i="72"/>
  <c r="BO27" i="72"/>
  <c r="BO43" i="72"/>
  <c r="BO61" i="72" s="1"/>
  <c r="BO37" i="72"/>
  <c r="BO36" i="72"/>
  <c r="BO35" i="72"/>
  <c r="BO34" i="72"/>
  <c r="BO39" i="72"/>
  <c r="AI33" i="72"/>
  <c r="AI23" i="72"/>
  <c r="AI42" i="72"/>
  <c r="AI60" i="72" s="1"/>
  <c r="AI44" i="72"/>
  <c r="AI64" i="72" s="1"/>
  <c r="AI34" i="72"/>
  <c r="AI45" i="72"/>
  <c r="AI63" i="72" s="1"/>
  <c r="AI40" i="72"/>
  <c r="AI37" i="72"/>
  <c r="AI43" i="72"/>
  <c r="AI61" i="72" s="1"/>
  <c r="AI38" i="72"/>
  <c r="AI27" i="72"/>
  <c r="AI36" i="72"/>
  <c r="AI39" i="72"/>
  <c r="AI35" i="72"/>
  <c r="AM40" i="72"/>
  <c r="AM44" i="72"/>
  <c r="AM64" i="72" s="1"/>
  <c r="AM35" i="72"/>
  <c r="AM36" i="72"/>
  <c r="AM39" i="72"/>
  <c r="AM38" i="72"/>
  <c r="AM23" i="72"/>
  <c r="AM55" i="72" s="1"/>
  <c r="AM42" i="72"/>
  <c r="AM60" i="72" s="1"/>
  <c r="AM27" i="72"/>
  <c r="AM45" i="72"/>
  <c r="AM63" i="72" s="1"/>
  <c r="AM37" i="72"/>
  <c r="AM34" i="72"/>
  <c r="AM43" i="72"/>
  <c r="AM61" i="72" s="1"/>
  <c r="AM33" i="72"/>
  <c r="CB39" i="72"/>
  <c r="CB40" i="72"/>
  <c r="CB34" i="72"/>
  <c r="CB37" i="72"/>
  <c r="CB38" i="72"/>
  <c r="CB33" i="72"/>
  <c r="CB45" i="72"/>
  <c r="CB63" i="72" s="1"/>
  <c r="CB44" i="72"/>
  <c r="CB64" i="72" s="1"/>
  <c r="CB27" i="72"/>
  <c r="CB23" i="72"/>
  <c r="CB35" i="72"/>
  <c r="CB43" i="72"/>
  <c r="CB61" i="72" s="1"/>
  <c r="CB42" i="72"/>
  <c r="CB60" i="72" s="1"/>
  <c r="CB36" i="72"/>
  <c r="P42" i="72"/>
  <c r="P60" i="72" s="1"/>
  <c r="P44" i="72"/>
  <c r="P64" i="72" s="1"/>
  <c r="P45" i="72"/>
  <c r="P63" i="72" s="1"/>
  <c r="P40" i="72"/>
  <c r="P36" i="72"/>
  <c r="P43" i="72"/>
  <c r="P61" i="72" s="1"/>
  <c r="P38" i="72"/>
  <c r="P34" i="72"/>
  <c r="P23" i="72"/>
  <c r="P35" i="72"/>
  <c r="P27" i="72"/>
  <c r="P37" i="72"/>
  <c r="P39" i="72"/>
  <c r="BE42" i="72"/>
  <c r="BE60" i="72" s="1"/>
  <c r="BE34" i="72"/>
  <c r="BE33" i="72"/>
  <c r="BE40" i="72"/>
  <c r="BE39" i="72"/>
  <c r="BE35" i="72"/>
  <c r="BE45" i="72"/>
  <c r="BE63" i="72" s="1"/>
  <c r="BE43" i="72"/>
  <c r="BE61" i="72" s="1"/>
  <c r="BE38" i="72"/>
  <c r="BE44" i="72"/>
  <c r="BE64" i="72" s="1"/>
  <c r="BE23" i="72"/>
  <c r="BE36" i="72"/>
  <c r="BE37" i="72"/>
  <c r="BE27" i="72"/>
  <c r="O44" i="72"/>
  <c r="O64" i="72" s="1"/>
  <c r="O37" i="72"/>
  <c r="O38" i="72"/>
  <c r="O39" i="72"/>
  <c r="O40" i="72"/>
  <c r="O34" i="72"/>
  <c r="O42" i="72"/>
  <c r="O60" i="72" s="1"/>
  <c r="O35" i="72"/>
  <c r="O23" i="72"/>
  <c r="O45" i="72"/>
  <c r="O63" i="72" s="1"/>
  <c r="O27" i="72"/>
  <c r="O43" i="72"/>
  <c r="O61" i="72" s="1"/>
  <c r="O36" i="72"/>
  <c r="AX42" i="72"/>
  <c r="AX60" i="72" s="1"/>
  <c r="AX38" i="72"/>
  <c r="AX33" i="72"/>
  <c r="AX36" i="72"/>
  <c r="AX44" i="72"/>
  <c r="AX64" i="72" s="1"/>
  <c r="AX45" i="72"/>
  <c r="AX63" i="72" s="1"/>
  <c r="AX43" i="72"/>
  <c r="AX61" i="72" s="1"/>
  <c r="AX35" i="72"/>
  <c r="AX23" i="72"/>
  <c r="AX34" i="72"/>
  <c r="AX27" i="72"/>
  <c r="AX40" i="72"/>
  <c r="AX39" i="72"/>
  <c r="AX37" i="72"/>
  <c r="R44" i="72"/>
  <c r="R64" i="72" s="1"/>
  <c r="R35" i="72"/>
  <c r="R42" i="72"/>
  <c r="R60" i="72" s="1"/>
  <c r="R40" i="72"/>
  <c r="R37" i="72"/>
  <c r="R34" i="72"/>
  <c r="R45" i="72"/>
  <c r="R63" i="72" s="1"/>
  <c r="R43" i="72"/>
  <c r="R61" i="72" s="1"/>
  <c r="R27" i="72"/>
  <c r="R23" i="72"/>
  <c r="R36" i="72"/>
  <c r="R38" i="72"/>
  <c r="R39" i="72"/>
  <c r="T51" i="72"/>
  <c r="T53" i="72" s="1"/>
  <c r="T50" i="72"/>
  <c r="T52" i="72" s="1"/>
  <c r="M50" i="72"/>
  <c r="M52" i="72" s="1"/>
  <c r="M51" i="72"/>
  <c r="M53" i="72" s="1"/>
  <c r="AY50" i="72"/>
  <c r="AY52" i="72" s="1"/>
  <c r="AY51" i="72"/>
  <c r="AY53" i="72" s="1"/>
  <c r="L50" i="72"/>
  <c r="L52" i="72" s="1"/>
  <c r="L51" i="72"/>
  <c r="L53" i="72" s="1"/>
  <c r="M34" i="50"/>
  <c r="M45" i="50"/>
  <c r="M63" i="50" s="1"/>
  <c r="M44" i="50"/>
  <c r="M64" i="50" s="1"/>
  <c r="M42" i="50"/>
  <c r="M60" i="50" s="1"/>
  <c r="M43" i="50"/>
  <c r="M61" i="50" s="1"/>
  <c r="M36" i="50"/>
  <c r="M40" i="50"/>
  <c r="M38" i="50"/>
  <c r="M35" i="50"/>
  <c r="M37" i="50"/>
  <c r="M39" i="50"/>
  <c r="BS50" i="72"/>
  <c r="BS52" i="72" s="1"/>
  <c r="BS51" i="72"/>
  <c r="BS53" i="72" s="1"/>
  <c r="P50" i="72"/>
  <c r="P52" i="72" s="1"/>
  <c r="P51" i="72"/>
  <c r="P53" i="72" s="1"/>
  <c r="CB51" i="72"/>
  <c r="CB53" i="72" s="1"/>
  <c r="CB50" i="72"/>
  <c r="CB52" i="72" s="1"/>
  <c r="BE51" i="72"/>
  <c r="BE53" i="72" s="1"/>
  <c r="BE50" i="72"/>
  <c r="BE52" i="72" s="1"/>
  <c r="CM18" i="50"/>
  <c r="G54" i="50"/>
  <c r="CM17" i="50"/>
  <c r="G66" i="50"/>
  <c r="BX36" i="50"/>
  <c r="BX34" i="50"/>
  <c r="AW35" i="50"/>
  <c r="AW40" i="50"/>
  <c r="BD50" i="72"/>
  <c r="BD52" i="72" s="1"/>
  <c r="BD51" i="72"/>
  <c r="BD53" i="72" s="1"/>
  <c r="Q50" i="72"/>
  <c r="Q52" i="72" s="1"/>
  <c r="Q51" i="72"/>
  <c r="Q53" i="72" s="1"/>
  <c r="CC50" i="72"/>
  <c r="CC52" i="72" s="1"/>
  <c r="CC51" i="72"/>
  <c r="CC53" i="72" s="1"/>
  <c r="AX51" i="72"/>
  <c r="AX53" i="72" s="1"/>
  <c r="AX50" i="72"/>
  <c r="AX52" i="72" s="1"/>
  <c r="O54" i="50"/>
  <c r="Y66" i="50"/>
  <c r="Y50" i="50"/>
  <c r="Y52" i="50" s="1"/>
  <c r="Y51" i="50"/>
  <c r="Y53" i="50" s="1"/>
  <c r="AS50" i="50"/>
  <c r="AS52" i="50" s="1"/>
  <c r="AS51" i="50"/>
  <c r="AS53" i="50" s="1"/>
  <c r="AS66" i="50"/>
  <c r="AH66" i="50"/>
  <c r="X66" i="50"/>
  <c r="AN50" i="50"/>
  <c r="AN52" i="50" s="1"/>
  <c r="AN51" i="50"/>
  <c r="AN53" i="50" s="1"/>
  <c r="CJ43" i="72"/>
  <c r="CJ61" i="72" s="1"/>
  <c r="CJ40" i="72"/>
  <c r="CJ36" i="72"/>
  <c r="CJ39" i="72"/>
  <c r="CJ38" i="72"/>
  <c r="CJ34" i="72"/>
  <c r="CJ37" i="72"/>
  <c r="CJ27" i="72"/>
  <c r="CJ33" i="72"/>
  <c r="CJ42" i="72"/>
  <c r="CJ60" i="72" s="1"/>
  <c r="CJ23" i="72"/>
  <c r="CJ45" i="72"/>
  <c r="CJ63" i="72" s="1"/>
  <c r="CJ44" i="72"/>
  <c r="CJ64" i="72" s="1"/>
  <c r="CJ35" i="72"/>
  <c r="BT39" i="72"/>
  <c r="BT38" i="72"/>
  <c r="BT44" i="72"/>
  <c r="BT64" i="72" s="1"/>
  <c r="BT23" i="72"/>
  <c r="BT55" i="72" s="1"/>
  <c r="BT37" i="72"/>
  <c r="BT27" i="72"/>
  <c r="BT33" i="72"/>
  <c r="BT45" i="72"/>
  <c r="BT63" i="72" s="1"/>
  <c r="BT42" i="72"/>
  <c r="BT60" i="72" s="1"/>
  <c r="BT36" i="72"/>
  <c r="BT40" i="72"/>
  <c r="BT34" i="72"/>
  <c r="BT41" i="72" s="1"/>
  <c r="BT62" i="72" s="1"/>
  <c r="BT65" i="72" s="1"/>
  <c r="BT35" i="72"/>
  <c r="BT43" i="72"/>
  <c r="BT61" i="72" s="1"/>
  <c r="AN39" i="72"/>
  <c r="AN38" i="72"/>
  <c r="AN34" i="72"/>
  <c r="AN23" i="72"/>
  <c r="AN37" i="72"/>
  <c r="AN44" i="72"/>
  <c r="AN64" i="72" s="1"/>
  <c r="AN33" i="72"/>
  <c r="AN45" i="72"/>
  <c r="AN63" i="72" s="1"/>
  <c r="AN42" i="72"/>
  <c r="AN60" i="72" s="1"/>
  <c r="AN27" i="72"/>
  <c r="AN40" i="72"/>
  <c r="AN36" i="72"/>
  <c r="AN35" i="72"/>
  <c r="AN43" i="72"/>
  <c r="AN61" i="72" s="1"/>
  <c r="BD39" i="72"/>
  <c r="BD38" i="72"/>
  <c r="BD34" i="72"/>
  <c r="BD23" i="72"/>
  <c r="BD55" i="72" s="1"/>
  <c r="BD37" i="72"/>
  <c r="BD27" i="72"/>
  <c r="BD33" i="72"/>
  <c r="BD45" i="72"/>
  <c r="BD63" i="72" s="1"/>
  <c r="BD42" i="72"/>
  <c r="BD60" i="72" s="1"/>
  <c r="BD44" i="72"/>
  <c r="BD64" i="72" s="1"/>
  <c r="BD40" i="72"/>
  <c r="BD36" i="72"/>
  <c r="BD43" i="72"/>
  <c r="BD61" i="72" s="1"/>
  <c r="BD35" i="72"/>
  <c r="CI45" i="72"/>
  <c r="CI63" i="72" s="1"/>
  <c r="CI42" i="72"/>
  <c r="CI60" i="72" s="1"/>
  <c r="CI37" i="72"/>
  <c r="CI44" i="72"/>
  <c r="CI64" i="72" s="1"/>
  <c r="CI38" i="72"/>
  <c r="CI36" i="72"/>
  <c r="CI43" i="72"/>
  <c r="CI61" i="72" s="1"/>
  <c r="CI35" i="72"/>
  <c r="CI34" i="72"/>
  <c r="CI27" i="72"/>
  <c r="CI33" i="72"/>
  <c r="CI39" i="72"/>
  <c r="CI23" i="72"/>
  <c r="CI40" i="72"/>
  <c r="BM27" i="72"/>
  <c r="BM42" i="72"/>
  <c r="BM60" i="72" s="1"/>
  <c r="BM36" i="72"/>
  <c r="BM43" i="72"/>
  <c r="BM61" i="72" s="1"/>
  <c r="BM45" i="72"/>
  <c r="BM63" i="72" s="1"/>
  <c r="BM34" i="72"/>
  <c r="BM35" i="72"/>
  <c r="BM23" i="72"/>
  <c r="BM55" i="72" s="1"/>
  <c r="BM40" i="72"/>
  <c r="BM37" i="72"/>
  <c r="BM44" i="72"/>
  <c r="BM64" i="72" s="1"/>
  <c r="BM39" i="72"/>
  <c r="BM38" i="72"/>
  <c r="BM33" i="72"/>
  <c r="AR35" i="72"/>
  <c r="AR43" i="72"/>
  <c r="AR61" i="72" s="1"/>
  <c r="AR40" i="72"/>
  <c r="AR34" i="72"/>
  <c r="AR39" i="72"/>
  <c r="AR38" i="72"/>
  <c r="AR33" i="72"/>
  <c r="AR23" i="72"/>
  <c r="AR55" i="72" s="1"/>
  <c r="AR45" i="72"/>
  <c r="AR63" i="72" s="1"/>
  <c r="AR37" i="72"/>
  <c r="AR27" i="72"/>
  <c r="AR36" i="72"/>
  <c r="AR44" i="72"/>
  <c r="AR64" i="72" s="1"/>
  <c r="AR42" i="72"/>
  <c r="AR60" i="72" s="1"/>
  <c r="W43" i="72"/>
  <c r="W61" i="72" s="1"/>
  <c r="W35" i="72"/>
  <c r="W34" i="72"/>
  <c r="W39" i="72"/>
  <c r="W27" i="72"/>
  <c r="W45" i="72"/>
  <c r="W63" i="72" s="1"/>
  <c r="W42" i="72"/>
  <c r="W60" i="72" s="1"/>
  <c r="W38" i="72"/>
  <c r="W23" i="72"/>
  <c r="W55" i="72" s="1"/>
  <c r="W37" i="72"/>
  <c r="W36" i="72"/>
  <c r="W33" i="72"/>
  <c r="W40" i="72"/>
  <c r="W44" i="72"/>
  <c r="W64" i="72" s="1"/>
  <c r="CG37" i="72"/>
  <c r="CG23" i="72"/>
  <c r="CG42" i="72"/>
  <c r="CG60" i="72" s="1"/>
  <c r="CG34" i="72"/>
  <c r="CG35" i="72"/>
  <c r="CG27" i="72"/>
  <c r="CG40" i="72"/>
  <c r="CG43" i="72"/>
  <c r="CG61" i="72" s="1"/>
  <c r="CG44" i="72"/>
  <c r="CG64" i="72" s="1"/>
  <c r="CG38" i="72"/>
  <c r="CG33" i="72"/>
  <c r="CG36" i="72"/>
  <c r="CG39" i="72"/>
  <c r="CG45" i="72"/>
  <c r="CG63" i="72" s="1"/>
  <c r="BL39" i="72"/>
  <c r="BL40" i="72"/>
  <c r="BL34" i="72"/>
  <c r="BL37" i="72"/>
  <c r="BL38" i="72"/>
  <c r="BL33" i="72"/>
  <c r="BL45" i="72"/>
  <c r="BL63" i="72" s="1"/>
  <c r="BL44" i="72"/>
  <c r="BL64" i="72" s="1"/>
  <c r="BL27" i="72"/>
  <c r="BL23" i="72"/>
  <c r="BL55" i="72" s="1"/>
  <c r="BL35" i="72"/>
  <c r="BL43" i="72"/>
  <c r="BL61" i="72" s="1"/>
  <c r="BL42" i="72"/>
  <c r="BL60" i="72" s="1"/>
  <c r="BL36" i="72"/>
  <c r="AQ43" i="72"/>
  <c r="AQ61" i="72" s="1"/>
  <c r="AQ37" i="72"/>
  <c r="AQ36" i="72"/>
  <c r="AQ39" i="72"/>
  <c r="AQ35" i="72"/>
  <c r="AQ34" i="72"/>
  <c r="AQ45" i="72"/>
  <c r="AQ63" i="72" s="1"/>
  <c r="AQ42" i="72"/>
  <c r="AQ60" i="72" s="1"/>
  <c r="AQ27" i="72"/>
  <c r="AQ40" i="72"/>
  <c r="AQ23" i="72"/>
  <c r="AQ44" i="72"/>
  <c r="AQ64" i="72" s="1"/>
  <c r="AQ33" i="72"/>
  <c r="AQ38" i="72"/>
  <c r="U42" i="72"/>
  <c r="U60" i="72" s="1"/>
  <c r="U34" i="72"/>
  <c r="U37" i="72"/>
  <c r="U27" i="72"/>
  <c r="U40" i="72"/>
  <c r="U43" i="72"/>
  <c r="U61" i="72" s="1"/>
  <c r="U35" i="72"/>
  <c r="U44" i="72"/>
  <c r="U64" i="72" s="1"/>
  <c r="U33" i="72"/>
  <c r="U23" i="72"/>
  <c r="U45" i="72"/>
  <c r="U63" i="72" s="1"/>
  <c r="U36" i="72"/>
  <c r="U39" i="72"/>
  <c r="U38" i="72"/>
  <c r="CF39" i="72"/>
  <c r="CF40" i="72"/>
  <c r="CF36" i="72"/>
  <c r="CF37" i="72"/>
  <c r="CF38" i="72"/>
  <c r="CF34" i="72"/>
  <c r="CF45" i="72"/>
  <c r="CF63" i="72" s="1"/>
  <c r="CF42" i="72"/>
  <c r="CF60" i="72" s="1"/>
  <c r="CF27" i="72"/>
  <c r="CF33" i="72"/>
  <c r="CF43" i="72"/>
  <c r="CF61" i="72" s="1"/>
  <c r="CF44" i="72"/>
  <c r="CF64" i="72" s="1"/>
  <c r="CF23" i="72"/>
  <c r="CF55" i="72" s="1"/>
  <c r="CF35" i="72"/>
  <c r="BK39" i="72"/>
  <c r="BK40" i="72"/>
  <c r="BK36" i="72"/>
  <c r="BK23" i="72"/>
  <c r="BK55" i="72" s="1"/>
  <c r="BK44" i="72"/>
  <c r="BK64" i="72" s="1"/>
  <c r="BK27" i="72"/>
  <c r="BK34" i="72"/>
  <c r="BK45" i="72"/>
  <c r="BK63" i="72" s="1"/>
  <c r="BK42" i="72"/>
  <c r="BK60" i="72" s="1"/>
  <c r="BK38" i="72"/>
  <c r="BK43" i="72"/>
  <c r="BK61" i="72" s="1"/>
  <c r="BK35" i="72"/>
  <c r="BK37" i="72"/>
  <c r="BK33" i="72"/>
  <c r="AO45" i="72"/>
  <c r="AO63" i="72" s="1"/>
  <c r="AO39" i="72"/>
  <c r="AO35" i="72"/>
  <c r="AO44" i="72"/>
  <c r="AO64" i="72" s="1"/>
  <c r="AO43" i="72"/>
  <c r="AO61" i="72" s="1"/>
  <c r="AO38" i="72"/>
  <c r="AO42" i="72"/>
  <c r="AO60" i="72" s="1"/>
  <c r="AO36" i="72"/>
  <c r="AO37" i="72"/>
  <c r="AO33" i="72"/>
  <c r="AO23" i="72"/>
  <c r="AO27" i="72"/>
  <c r="AO34" i="72"/>
  <c r="AO40" i="72"/>
  <c r="T43" i="72"/>
  <c r="T61" i="72" s="1"/>
  <c r="T38" i="72"/>
  <c r="T34" i="72"/>
  <c r="T39" i="72"/>
  <c r="T44" i="72"/>
  <c r="T64" i="72" s="1"/>
  <c r="T33" i="72"/>
  <c r="T42" i="72"/>
  <c r="T60" i="72" s="1"/>
  <c r="T27" i="72"/>
  <c r="T23" i="72"/>
  <c r="T45" i="72"/>
  <c r="T63" i="72" s="1"/>
  <c r="T40" i="72"/>
  <c r="T35" i="72"/>
  <c r="T36" i="72"/>
  <c r="T37" i="72"/>
  <c r="CH36" i="72"/>
  <c r="CH34" i="72"/>
  <c r="CH23" i="72"/>
  <c r="CH55" i="72" s="1"/>
  <c r="CH44" i="72"/>
  <c r="CH64" i="72" s="1"/>
  <c r="CH33" i="72"/>
  <c r="CH39" i="72"/>
  <c r="CH37" i="72"/>
  <c r="CH45" i="72"/>
  <c r="CH63" i="72" s="1"/>
  <c r="CH43" i="72"/>
  <c r="CH61" i="72" s="1"/>
  <c r="CH35" i="72"/>
  <c r="CH40" i="72"/>
  <c r="CH27" i="72"/>
  <c r="CH42" i="72"/>
  <c r="CH60" i="72" s="1"/>
  <c r="CH38" i="72"/>
  <c r="BR36" i="72"/>
  <c r="BR34" i="72"/>
  <c r="BR38" i="72"/>
  <c r="BR37" i="72"/>
  <c r="BR27" i="72"/>
  <c r="BR43" i="72"/>
  <c r="BR61" i="72" s="1"/>
  <c r="BR23" i="72"/>
  <c r="BR55" i="72" s="1"/>
  <c r="BR39" i="72"/>
  <c r="BR44" i="72"/>
  <c r="BR64" i="72" s="1"/>
  <c r="BR33" i="72"/>
  <c r="BR45" i="72"/>
  <c r="BR63" i="72" s="1"/>
  <c r="BR42" i="72"/>
  <c r="BR60" i="72" s="1"/>
  <c r="BR35" i="72"/>
  <c r="BR40" i="72"/>
  <c r="BB36" i="72"/>
  <c r="BB34" i="72"/>
  <c r="BB40" i="72"/>
  <c r="BB39" i="72"/>
  <c r="BB42" i="72"/>
  <c r="BB60" i="72" s="1"/>
  <c r="BB44" i="72"/>
  <c r="BB64" i="72" s="1"/>
  <c r="BB45" i="72"/>
  <c r="BB63" i="72" s="1"/>
  <c r="BB35" i="72"/>
  <c r="BB38" i="72"/>
  <c r="BB37" i="72"/>
  <c r="BB27" i="72"/>
  <c r="BB23" i="72"/>
  <c r="BB55" i="72" s="1"/>
  <c r="BB33" i="72"/>
  <c r="BB43" i="72"/>
  <c r="BB61" i="72" s="1"/>
  <c r="AL36" i="72"/>
  <c r="AL34" i="72"/>
  <c r="AL44" i="72"/>
  <c r="AL64" i="72" s="1"/>
  <c r="AL33" i="72"/>
  <c r="AL39" i="72"/>
  <c r="AL27" i="72"/>
  <c r="AL45" i="72"/>
  <c r="AL63" i="72" s="1"/>
  <c r="AL43" i="72"/>
  <c r="AL61" i="72" s="1"/>
  <c r="AL35" i="72"/>
  <c r="AL40" i="72"/>
  <c r="AL37" i="72"/>
  <c r="AL42" i="72"/>
  <c r="AL60" i="72" s="1"/>
  <c r="AL23" i="72"/>
  <c r="AL38" i="72"/>
  <c r="V36" i="72"/>
  <c r="V34" i="72"/>
  <c r="V38" i="72"/>
  <c r="V33" i="72"/>
  <c r="V27" i="72"/>
  <c r="V45" i="72"/>
  <c r="V63" i="72" s="1"/>
  <c r="V39" i="72"/>
  <c r="V44" i="72"/>
  <c r="V64" i="72" s="1"/>
  <c r="V37" i="72"/>
  <c r="V43" i="72"/>
  <c r="V61" i="72" s="1"/>
  <c r="V35" i="72"/>
  <c r="V23" i="72"/>
  <c r="V40" i="72"/>
  <c r="V42" i="72"/>
  <c r="V60" i="72" s="1"/>
  <c r="BP50" i="72"/>
  <c r="BP52" i="72" s="1"/>
  <c r="BP51" i="72"/>
  <c r="BP53" i="72" s="1"/>
  <c r="AS51" i="72"/>
  <c r="AS53" i="72" s="1"/>
  <c r="AS50" i="72"/>
  <c r="AS52" i="72" s="1"/>
  <c r="R45" i="50"/>
  <c r="R63" i="50" s="1"/>
  <c r="R44" i="50"/>
  <c r="R64" i="50" s="1"/>
  <c r="R42" i="50"/>
  <c r="R60" i="50" s="1"/>
  <c r="R43" i="50"/>
  <c r="R61" i="50" s="1"/>
  <c r="R38" i="50"/>
  <c r="R39" i="50"/>
  <c r="R37" i="50"/>
  <c r="R35" i="50"/>
  <c r="R40" i="50"/>
  <c r="R36" i="50"/>
  <c r="R34" i="50"/>
  <c r="R54" i="50"/>
  <c r="AJ23" i="50"/>
  <c r="AJ43" i="50"/>
  <c r="AJ61" i="50" s="1"/>
  <c r="AJ45" i="50"/>
  <c r="AJ63" i="50" s="1"/>
  <c r="AJ35" i="50"/>
  <c r="AJ27" i="50"/>
  <c r="AJ44" i="50"/>
  <c r="AJ64" i="50" s="1"/>
  <c r="AJ40" i="50"/>
  <c r="AJ42" i="50"/>
  <c r="AJ60" i="50" s="1"/>
  <c r="AJ37" i="50"/>
  <c r="AJ39" i="50"/>
  <c r="AJ34" i="50"/>
  <c r="AJ36" i="50"/>
  <c r="AJ38" i="50"/>
  <c r="AJ33" i="50"/>
  <c r="AJ28" i="50" s="1"/>
  <c r="AJ66" i="50"/>
  <c r="BO51" i="72"/>
  <c r="BO53" i="72" s="1"/>
  <c r="BO50" i="72"/>
  <c r="BO52" i="72" s="1"/>
  <c r="BQ50" i="72"/>
  <c r="BQ52" i="72" s="1"/>
  <c r="BQ51" i="72"/>
  <c r="BQ53" i="72" s="1"/>
  <c r="AD50" i="72"/>
  <c r="AD52" i="72" s="1"/>
  <c r="AD51" i="72"/>
  <c r="AD53" i="72" s="1"/>
  <c r="K66" i="50"/>
  <c r="W27" i="50"/>
  <c r="W43" i="50"/>
  <c r="W61" i="50" s="1"/>
  <c r="W36" i="50"/>
  <c r="W39" i="50"/>
  <c r="W23" i="50"/>
  <c r="W42" i="50"/>
  <c r="W60" i="50" s="1"/>
  <c r="W40" i="50"/>
  <c r="W44" i="50"/>
  <c r="W64" i="50" s="1"/>
  <c r="W38" i="50"/>
  <c r="W45" i="50"/>
  <c r="W63" i="50" s="1"/>
  <c r="W35" i="50"/>
  <c r="W34" i="50"/>
  <c r="W37" i="50"/>
  <c r="W33" i="50"/>
  <c r="W28" i="50" s="1"/>
  <c r="W54" i="50"/>
  <c r="AM27" i="50"/>
  <c r="AM42" i="50"/>
  <c r="AM60" i="50" s="1"/>
  <c r="AM40" i="50"/>
  <c r="AM34" i="50"/>
  <c r="AM45" i="50"/>
  <c r="AM63" i="50" s="1"/>
  <c r="AM35" i="50"/>
  <c r="AM36" i="50"/>
  <c r="AM44" i="50"/>
  <c r="AM64" i="50" s="1"/>
  <c r="AM23" i="50"/>
  <c r="AM55" i="50" s="1"/>
  <c r="AM37" i="50"/>
  <c r="AM38" i="50"/>
  <c r="AM43" i="50"/>
  <c r="AM61" i="50" s="1"/>
  <c r="AM39" i="50"/>
  <c r="AM33" i="50"/>
  <c r="AM28" i="50" s="1"/>
  <c r="AC51" i="50"/>
  <c r="AC53" i="50" s="1"/>
  <c r="AC50" i="50"/>
  <c r="AC52" i="50" s="1"/>
  <c r="AC43" i="50"/>
  <c r="AC61" i="50" s="1"/>
  <c r="AC38" i="50"/>
  <c r="AC42" i="50"/>
  <c r="AC60" i="50" s="1"/>
  <c r="AC23" i="50"/>
  <c r="AC27" i="50"/>
  <c r="AC34" i="50"/>
  <c r="AC35" i="50"/>
  <c r="AC37" i="50"/>
  <c r="AC44" i="50"/>
  <c r="AC64" i="50" s="1"/>
  <c r="AC45" i="50"/>
  <c r="AC63" i="50" s="1"/>
  <c r="AC39" i="50"/>
  <c r="AC36" i="50"/>
  <c r="AC40" i="50"/>
  <c r="AC33" i="50"/>
  <c r="AC28" i="50" s="1"/>
  <c r="V44" i="50"/>
  <c r="V64" i="50" s="1"/>
  <c r="V35" i="50"/>
  <c r="V37" i="50"/>
  <c r="V39" i="50"/>
  <c r="V40" i="50"/>
  <c r="V43" i="50"/>
  <c r="V61" i="50" s="1"/>
  <c r="V38" i="50"/>
  <c r="V42" i="50"/>
  <c r="V60" i="50" s="1"/>
  <c r="V36" i="50"/>
  <c r="V34" i="50"/>
  <c r="V23" i="50"/>
  <c r="V45" i="50"/>
  <c r="V63" i="50" s="1"/>
  <c r="V27" i="50"/>
  <c r="V33" i="50"/>
  <c r="V28" i="50" s="1"/>
  <c r="AR27" i="50"/>
  <c r="AR43" i="50"/>
  <c r="AR61" i="50" s="1"/>
  <c r="AR37" i="50"/>
  <c r="AR35" i="50"/>
  <c r="AR39" i="50"/>
  <c r="AR40" i="50"/>
  <c r="AR23" i="50"/>
  <c r="AR55" i="50" s="1"/>
  <c r="AR42" i="50"/>
  <c r="AR60" i="50" s="1"/>
  <c r="AR36" i="50"/>
  <c r="AR44" i="50"/>
  <c r="AR64" i="50" s="1"/>
  <c r="AR34" i="50"/>
  <c r="AR41" i="50" s="1"/>
  <c r="AR62" i="50" s="1"/>
  <c r="AR65" i="50" s="1"/>
  <c r="AR67" i="50" s="1"/>
  <c r="AR68" i="50" s="1"/>
  <c r="AR69" i="50" s="1"/>
  <c r="AR45" i="50"/>
  <c r="AR63" i="50" s="1"/>
  <c r="AR38" i="50"/>
  <c r="AR33" i="50"/>
  <c r="AR28" i="50" s="1"/>
  <c r="CH51" i="72"/>
  <c r="CH53" i="72" s="1"/>
  <c r="CH50" i="72"/>
  <c r="CH52" i="72" s="1"/>
  <c r="M54" i="50"/>
  <c r="AE43" i="50"/>
  <c r="AE61" i="50" s="1"/>
  <c r="AE42" i="50"/>
  <c r="AE60" i="50" s="1"/>
  <c r="AE27" i="50"/>
  <c r="AE39" i="50"/>
  <c r="AE45" i="50"/>
  <c r="AE63" i="50" s="1"/>
  <c r="AE36" i="50"/>
  <c r="AE37" i="50"/>
  <c r="AE23" i="50"/>
  <c r="AE55" i="50" s="1"/>
  <c r="AE38" i="50"/>
  <c r="AE44" i="50"/>
  <c r="AE64" i="50" s="1"/>
  <c r="AE35" i="50"/>
  <c r="AE40" i="50"/>
  <c r="AE34" i="50"/>
  <c r="AE33" i="50"/>
  <c r="AE28" i="50" s="1"/>
  <c r="W51" i="72"/>
  <c r="W53" i="72" s="1"/>
  <c r="W50" i="72"/>
  <c r="W52" i="72" s="1"/>
  <c r="AF50" i="72"/>
  <c r="AF52" i="72" s="1"/>
  <c r="AF51" i="72"/>
  <c r="AF53" i="72" s="1"/>
  <c r="I51" i="72"/>
  <c r="I53" i="72" s="1"/>
  <c r="I50" i="72"/>
  <c r="I52" i="72" s="1"/>
  <c r="BU50" i="72"/>
  <c r="BU52" i="72" s="1"/>
  <c r="BU51" i="72"/>
  <c r="BU53" i="72" s="1"/>
  <c r="BR51" i="72"/>
  <c r="BR53" i="72" s="1"/>
  <c r="BR50" i="72"/>
  <c r="BR52" i="72" s="1"/>
  <c r="AH50" i="72"/>
  <c r="AH52" i="72" s="1"/>
  <c r="AH51" i="72"/>
  <c r="AH53" i="72" s="1"/>
  <c r="CM21" i="50"/>
  <c r="G50" i="50"/>
  <c r="G51" i="50"/>
  <c r="AA54" i="50"/>
  <c r="AQ66" i="50"/>
  <c r="AK50" i="50"/>
  <c r="AK52" i="50" s="1"/>
  <c r="AK51" i="50"/>
  <c r="AK53" i="50" s="1"/>
  <c r="AK54" i="50"/>
  <c r="Z45" i="50"/>
  <c r="Z63" i="50" s="1"/>
  <c r="Z43" i="50"/>
  <c r="Z61" i="50" s="1"/>
  <c r="Z38" i="50"/>
  <c r="Z42" i="50"/>
  <c r="Z60" i="50" s="1"/>
  <c r="Z40" i="50"/>
  <c r="Z27" i="50"/>
  <c r="Z44" i="50"/>
  <c r="Z64" i="50" s="1"/>
  <c r="Z35" i="50"/>
  <c r="Z37" i="50"/>
  <c r="Z36" i="50"/>
  <c r="Z39" i="50"/>
  <c r="Z23" i="50"/>
  <c r="Z55" i="50" s="1"/>
  <c r="Z34" i="50"/>
  <c r="Z33" i="50"/>
  <c r="Z28" i="50" s="1"/>
  <c r="Z66" i="50"/>
  <c r="AP42" i="50"/>
  <c r="AP60" i="50" s="1"/>
  <c r="AP40" i="50"/>
  <c r="AP34" i="50"/>
  <c r="AP39" i="50"/>
  <c r="AP27" i="50"/>
  <c r="AP45" i="50"/>
  <c r="AP63" i="50" s="1"/>
  <c r="AP43" i="50"/>
  <c r="AP61" i="50" s="1"/>
  <c r="AP38" i="50"/>
  <c r="AP44" i="50"/>
  <c r="AP64" i="50" s="1"/>
  <c r="AP35" i="50"/>
  <c r="AP37" i="50"/>
  <c r="AP23" i="50"/>
  <c r="AP36" i="50"/>
  <c r="AP33" i="50"/>
  <c r="AP28" i="50" s="1"/>
  <c r="AG66" i="50"/>
  <c r="AJ51" i="72"/>
  <c r="AJ53" i="72" s="1"/>
  <c r="AJ50" i="72"/>
  <c r="AJ52" i="72" s="1"/>
  <c r="BI51" i="72"/>
  <c r="BI53" i="72" s="1"/>
  <c r="BI50" i="72"/>
  <c r="BI52" i="72" s="1"/>
  <c r="H54" i="50"/>
  <c r="AO43" i="50"/>
  <c r="AO61" i="50" s="1"/>
  <c r="AO38" i="50"/>
  <c r="AO40" i="50"/>
  <c r="AO23" i="50"/>
  <c r="AO27" i="50"/>
  <c r="AO36" i="50"/>
  <c r="AO35" i="50"/>
  <c r="AO42" i="50"/>
  <c r="AO60" i="50" s="1"/>
  <c r="AO44" i="50"/>
  <c r="AO64" i="50" s="1"/>
  <c r="AO45" i="50"/>
  <c r="AO63" i="50" s="1"/>
  <c r="AO39" i="50"/>
  <c r="AO37" i="50"/>
  <c r="AO34" i="50"/>
  <c r="AO33" i="50"/>
  <c r="AO28" i="50" s="1"/>
  <c r="CI42" i="50"/>
  <c r="CI40" i="50"/>
  <c r="CI43" i="50"/>
  <c r="CI27" i="50"/>
  <c r="CI34" i="50"/>
  <c r="CI38" i="50"/>
  <c r="CI23" i="50"/>
  <c r="CI35" i="50"/>
  <c r="BV36" i="50"/>
  <c r="CI36" i="50"/>
  <c r="CI37" i="50"/>
  <c r="BX43" i="50"/>
  <c r="BX38" i="50"/>
  <c r="BX35" i="50"/>
  <c r="BX40" i="50"/>
  <c r="BX27" i="50"/>
  <c r="BX23" i="50"/>
  <c r="BX42" i="50"/>
  <c r="BX37" i="50"/>
  <c r="CD36" i="50"/>
  <c r="BV42" i="50"/>
  <c r="BV43" i="50"/>
  <c r="BV37" i="50"/>
  <c r="BV23" i="50"/>
  <c r="BV35" i="50"/>
  <c r="BK42" i="50"/>
  <c r="BV40" i="50"/>
  <c r="BK40" i="50"/>
  <c r="BV27" i="50"/>
  <c r="BV34" i="50"/>
  <c r="BV38" i="50"/>
  <c r="CL43" i="50"/>
  <c r="BP38" i="50"/>
  <c r="BP34" i="50"/>
  <c r="CL40" i="50"/>
  <c r="CD23" i="50"/>
  <c r="AV43" i="50"/>
  <c r="BP43" i="50"/>
  <c r="CD43" i="50"/>
  <c r="BP36" i="50"/>
  <c r="CL28" i="50"/>
  <c r="CL37" i="50"/>
  <c r="CL35" i="50"/>
  <c r="CD37" i="50"/>
  <c r="CD35" i="50"/>
  <c r="CD27" i="50"/>
  <c r="CL23" i="50"/>
  <c r="CD34" i="50"/>
  <c r="CD38" i="50"/>
  <c r="CL27" i="50"/>
  <c r="CL34" i="50"/>
  <c r="CL38" i="50"/>
  <c r="CL42" i="50"/>
  <c r="CL36" i="50"/>
  <c r="CD42" i="50"/>
  <c r="CD40" i="50"/>
  <c r="BF34" i="50"/>
  <c r="BF23" i="50"/>
  <c r="BF38" i="50"/>
  <c r="BF40" i="50"/>
  <c r="BK35" i="50"/>
  <c r="BF43" i="50"/>
  <c r="BF42" i="50"/>
  <c r="BF27" i="50"/>
  <c r="BA43" i="50"/>
  <c r="AX42" i="50"/>
  <c r="BF36" i="50"/>
  <c r="BK37" i="50"/>
  <c r="BF37" i="50"/>
  <c r="BF35" i="50"/>
  <c r="BK34" i="50"/>
  <c r="BK38" i="50"/>
  <c r="BK43" i="50"/>
  <c r="BK36" i="50"/>
  <c r="BJ37" i="50"/>
  <c r="BK27" i="50"/>
  <c r="BT35" i="50"/>
  <c r="BK23" i="50"/>
  <c r="BP35" i="50"/>
  <c r="BP40" i="50"/>
  <c r="BP27" i="50"/>
  <c r="BP23" i="50"/>
  <c r="BP42" i="50"/>
  <c r="BP37" i="50"/>
  <c r="CA27" i="50"/>
  <c r="CA36" i="50"/>
  <c r="CF37" i="50"/>
  <c r="CA42" i="50"/>
  <c r="CF43" i="50"/>
  <c r="CF42" i="50"/>
  <c r="CF38" i="50"/>
  <c r="CA43" i="50"/>
  <c r="CA35" i="50"/>
  <c r="CA23" i="50"/>
  <c r="CF36" i="50"/>
  <c r="CF34" i="50"/>
  <c r="CA34" i="50"/>
  <c r="CA38" i="50"/>
  <c r="CF27" i="50"/>
  <c r="CF35" i="50"/>
  <c r="CF40" i="50"/>
  <c r="CA40" i="50"/>
  <c r="CA37" i="50"/>
  <c r="CF23" i="50"/>
  <c r="BT34" i="50"/>
  <c r="AT33" i="50"/>
  <c r="AT45" i="50"/>
  <c r="AT44" i="50"/>
  <c r="AT42" i="50"/>
  <c r="AT43" i="50"/>
  <c r="BS35" i="50"/>
  <c r="BS33" i="50"/>
  <c r="BS28" i="50" s="1"/>
  <c r="BA36" i="50"/>
  <c r="BA33" i="50"/>
  <c r="BA28" i="50" s="1"/>
  <c r="AV40" i="50"/>
  <c r="AV33" i="50"/>
  <c r="AV28" i="50" s="1"/>
  <c r="AX38" i="50"/>
  <c r="AX33" i="50"/>
  <c r="AX28" i="50" s="1"/>
  <c r="BJ35" i="50"/>
  <c r="BH43" i="50"/>
  <c r="CJ35" i="50"/>
  <c r="BZ37" i="50"/>
  <c r="BD40" i="50"/>
  <c r="BD33" i="50"/>
  <c r="BD28" i="50" s="1"/>
  <c r="CE38" i="50"/>
  <c r="CE33" i="50"/>
  <c r="CE28" i="50" s="1"/>
  <c r="BL40" i="50"/>
  <c r="BL33" i="50"/>
  <c r="BL28" i="50" s="1"/>
  <c r="BN40" i="50"/>
  <c r="BN33" i="50"/>
  <c r="BN28" i="50" s="1"/>
  <c r="BW38" i="50"/>
  <c r="BW33" i="50"/>
  <c r="BW28" i="50" s="1"/>
  <c r="BH38" i="50"/>
  <c r="CJ34" i="50"/>
  <c r="BZ35" i="50"/>
  <c r="BO40" i="50"/>
  <c r="BO33" i="50"/>
  <c r="BO28" i="50" s="1"/>
  <c r="AZ40" i="50"/>
  <c r="AZ33" i="50"/>
  <c r="AZ28" i="50" s="1"/>
  <c r="AU36" i="50"/>
  <c r="AU33" i="50"/>
  <c r="AU28" i="50" s="1"/>
  <c r="BG37" i="50"/>
  <c r="BG33" i="50"/>
  <c r="BG28" i="50" s="1"/>
  <c r="CB37" i="50"/>
  <c r="CB33" i="50"/>
  <c r="CB28" i="50" s="1"/>
  <c r="BR36" i="50"/>
  <c r="BR33" i="50"/>
  <c r="BR28" i="50" s="1"/>
  <c r="CH36" i="50"/>
  <c r="CH33" i="50"/>
  <c r="CH28" i="50" s="1"/>
  <c r="BN43" i="50"/>
  <c r="CB34" i="50"/>
  <c r="CE37" i="50"/>
  <c r="CH35" i="50"/>
  <c r="BO36" i="50"/>
  <c r="BR34" i="50"/>
  <c r="BN36" i="50"/>
  <c r="BW34" i="50"/>
  <c r="AZ38" i="50"/>
  <c r="BD43" i="50"/>
  <c r="BW37" i="50"/>
  <c r="CE36" i="50"/>
  <c r="BD37" i="50"/>
  <c r="BN37" i="50"/>
  <c r="BD38" i="50"/>
  <c r="BD35" i="50"/>
  <c r="BD34" i="50"/>
  <c r="BW43" i="50"/>
  <c r="BW40" i="50"/>
  <c r="BL36" i="50"/>
  <c r="BN35" i="50"/>
  <c r="CE42" i="50"/>
  <c r="CE34" i="50"/>
  <c r="BD42" i="50"/>
  <c r="BW42" i="50"/>
  <c r="BW35" i="50"/>
  <c r="BG34" i="50"/>
  <c r="BR35" i="50"/>
  <c r="BN34" i="50"/>
  <c r="BN38" i="50"/>
  <c r="CE43" i="50"/>
  <c r="CE35" i="50"/>
  <c r="AU42" i="50"/>
  <c r="BW36" i="50"/>
  <c r="CB35" i="50"/>
  <c r="CH37" i="50"/>
  <c r="BN42" i="50"/>
  <c r="AZ43" i="50"/>
  <c r="CE40" i="50"/>
  <c r="AU35" i="50"/>
  <c r="BD36" i="50"/>
  <c r="BA42" i="50"/>
  <c r="BA34" i="50"/>
  <c r="AV42" i="50"/>
  <c r="AV37" i="50"/>
  <c r="AX43" i="50"/>
  <c r="AX40" i="50"/>
  <c r="BS36" i="50"/>
  <c r="BS37" i="50"/>
  <c r="BA37" i="50"/>
  <c r="BA40" i="50"/>
  <c r="AV35" i="50"/>
  <c r="AV34" i="50"/>
  <c r="AX37" i="50"/>
  <c r="AX35" i="50"/>
  <c r="BS42" i="50"/>
  <c r="BS40" i="50"/>
  <c r="BA38" i="50"/>
  <c r="AV36" i="50"/>
  <c r="AX34" i="50"/>
  <c r="BS43" i="50"/>
  <c r="BG43" i="50"/>
  <c r="BG35" i="50"/>
  <c r="BR37" i="50"/>
  <c r="BR38" i="50"/>
  <c r="CB36" i="50"/>
  <c r="CB40" i="50"/>
  <c r="CH34" i="50"/>
  <c r="CH38" i="50"/>
  <c r="AZ42" i="50"/>
  <c r="AZ37" i="50"/>
  <c r="BO35" i="50"/>
  <c r="AU40" i="50"/>
  <c r="AU38" i="50"/>
  <c r="BG38" i="50"/>
  <c r="BR42" i="50"/>
  <c r="CB43" i="50"/>
  <c r="CH42" i="50"/>
  <c r="CH40" i="50"/>
  <c r="AZ36" i="50"/>
  <c r="AZ34" i="50"/>
  <c r="BO37" i="50"/>
  <c r="AU34" i="50"/>
  <c r="AU37" i="50"/>
  <c r="BG40" i="50"/>
  <c r="BR40" i="50"/>
  <c r="CB38" i="50"/>
  <c r="BG36" i="50"/>
  <c r="BR43" i="50"/>
  <c r="CB42" i="50"/>
  <c r="CH43" i="50"/>
  <c r="AZ35" i="50"/>
  <c r="AU43" i="50"/>
  <c r="BO43" i="50"/>
  <c r="BO38" i="50"/>
  <c r="BD23" i="50"/>
  <c r="BD27" i="50"/>
  <c r="CE23" i="50"/>
  <c r="CE27" i="50"/>
  <c r="AY23" i="50"/>
  <c r="AY27" i="50"/>
  <c r="BL23" i="50"/>
  <c r="BL27" i="50"/>
  <c r="BN27" i="50"/>
  <c r="BN23" i="50"/>
  <c r="CK23" i="50"/>
  <c r="CK27" i="50"/>
  <c r="BR27" i="50"/>
  <c r="BR23" i="50"/>
  <c r="BW23" i="50"/>
  <c r="BW27" i="50"/>
  <c r="BI23" i="50"/>
  <c r="BI27" i="50"/>
  <c r="BB27" i="50"/>
  <c r="BB23" i="50"/>
  <c r="BO34" i="50"/>
  <c r="BO23" i="50"/>
  <c r="BO27" i="50"/>
  <c r="CC23" i="50"/>
  <c r="CC27" i="50"/>
  <c r="AZ23" i="50"/>
  <c r="AZ27" i="50"/>
  <c r="BQ23" i="50"/>
  <c r="BQ27" i="50"/>
  <c r="AU23" i="50"/>
  <c r="AU27" i="50"/>
  <c r="BG23" i="50"/>
  <c r="BG27" i="50"/>
  <c r="BU23" i="50"/>
  <c r="BU27" i="50"/>
  <c r="BY23" i="50"/>
  <c r="BY27" i="50"/>
  <c r="CJ37" i="50"/>
  <c r="CJ23" i="50"/>
  <c r="CJ27" i="50"/>
  <c r="BT38" i="50"/>
  <c r="BT23" i="50"/>
  <c r="BT27" i="50"/>
  <c r="BH40" i="50"/>
  <c r="BH23" i="50"/>
  <c r="BH27" i="50"/>
  <c r="BZ40" i="50"/>
  <c r="BZ27" i="50"/>
  <c r="BZ23" i="50"/>
  <c r="BJ36" i="50"/>
  <c r="BJ27" i="50"/>
  <c r="BJ23" i="50"/>
  <c r="CB23" i="50"/>
  <c r="CB27" i="50"/>
  <c r="AT27" i="50"/>
  <c r="AT23" i="50"/>
  <c r="BS23" i="50"/>
  <c r="BS27" i="50"/>
  <c r="CG23" i="50"/>
  <c r="CG27" i="50"/>
  <c r="BA23" i="50"/>
  <c r="BA27" i="50"/>
  <c r="AV23" i="50"/>
  <c r="AV27" i="50"/>
  <c r="AX27" i="50"/>
  <c r="AX23" i="50"/>
  <c r="BE23" i="50"/>
  <c r="BE27" i="50"/>
  <c r="BM23" i="50"/>
  <c r="BM27" i="50"/>
  <c r="CH27" i="50"/>
  <c r="CH23" i="50"/>
  <c r="BH37" i="50"/>
  <c r="CJ36" i="50"/>
  <c r="BJ34" i="50"/>
  <c r="BZ38" i="50"/>
  <c r="BT40" i="50"/>
  <c r="BH42" i="50"/>
  <c r="CJ40" i="50"/>
  <c r="BJ38" i="50"/>
  <c r="BZ34" i="50"/>
  <c r="BT36" i="50"/>
  <c r="BH36" i="50"/>
  <c r="BH34" i="50"/>
  <c r="CJ43" i="50"/>
  <c r="CJ38" i="50"/>
  <c r="BJ42" i="50"/>
  <c r="BJ40" i="50"/>
  <c r="BO42" i="50"/>
  <c r="BZ42" i="50"/>
  <c r="BZ36" i="50"/>
  <c r="BT43" i="50"/>
  <c r="BT37" i="50"/>
  <c r="BH35" i="50"/>
  <c r="CJ42" i="50"/>
  <c r="BJ43" i="50"/>
  <c r="BZ43" i="50"/>
  <c r="BT42" i="50"/>
  <c r="BL42" i="50"/>
  <c r="BL37" i="50"/>
  <c r="BL43" i="50"/>
  <c r="BL38" i="50"/>
  <c r="BL35" i="50"/>
  <c r="BU36" i="50"/>
  <c r="BU40" i="50"/>
  <c r="BU34" i="50"/>
  <c r="BU38" i="50"/>
  <c r="BU37" i="50"/>
  <c r="BU35" i="50"/>
  <c r="BU42" i="50"/>
  <c r="BU43" i="50"/>
  <c r="BM36" i="50"/>
  <c r="BM40" i="50"/>
  <c r="BM34" i="50"/>
  <c r="BM37" i="50"/>
  <c r="BM38" i="50"/>
  <c r="BM35" i="50"/>
  <c r="BM42" i="50"/>
  <c r="BM43" i="50"/>
  <c r="BI36" i="50"/>
  <c r="BI40" i="50"/>
  <c r="BI34" i="50"/>
  <c r="BI38" i="50"/>
  <c r="BI35" i="50"/>
  <c r="BI37" i="50"/>
  <c r="BI42" i="50"/>
  <c r="BI43" i="50"/>
  <c r="AY37" i="50"/>
  <c r="AY38" i="50"/>
  <c r="AY35" i="50"/>
  <c r="AY34" i="50"/>
  <c r="AY36" i="50"/>
  <c r="AY40" i="50"/>
  <c r="AY43" i="50"/>
  <c r="AY42" i="50"/>
  <c r="CG36" i="50"/>
  <c r="CG40" i="50"/>
  <c r="CG34" i="50"/>
  <c r="CG35" i="50"/>
  <c r="CG38" i="50"/>
  <c r="CG37" i="50"/>
  <c r="CG43" i="50"/>
  <c r="CG42" i="50"/>
  <c r="AT35" i="50"/>
  <c r="AT40" i="50"/>
  <c r="AT34" i="50"/>
  <c r="AT37" i="50"/>
  <c r="AT38" i="50"/>
  <c r="AT36" i="50"/>
  <c r="BB38" i="50"/>
  <c r="BB35" i="50"/>
  <c r="BB36" i="50"/>
  <c r="BB40" i="50"/>
  <c r="BB34" i="50"/>
  <c r="BB37" i="50"/>
  <c r="BB43" i="50"/>
  <c r="BB42" i="50"/>
  <c r="BY36" i="50"/>
  <c r="BY40" i="50"/>
  <c r="BY34" i="50"/>
  <c r="BY38" i="50"/>
  <c r="BY35" i="50"/>
  <c r="BY37" i="50"/>
  <c r="BY43" i="50"/>
  <c r="BY42" i="50"/>
  <c r="BQ36" i="50"/>
  <c r="BQ40" i="50"/>
  <c r="BQ34" i="50"/>
  <c r="BQ38" i="50"/>
  <c r="BQ35" i="50"/>
  <c r="BQ37" i="50"/>
  <c r="BQ42" i="50"/>
  <c r="BQ43" i="50"/>
  <c r="CK36" i="50"/>
  <c r="CK40" i="50"/>
  <c r="CK34" i="50"/>
  <c r="CK37" i="50"/>
  <c r="CK38" i="50"/>
  <c r="CK35" i="50"/>
  <c r="CK42" i="50"/>
  <c r="CK43" i="50"/>
  <c r="CC36" i="50"/>
  <c r="CC40" i="50"/>
  <c r="CC34" i="50"/>
  <c r="CC37" i="50"/>
  <c r="CC38" i="50"/>
  <c r="CC35" i="50"/>
  <c r="CC42" i="50"/>
  <c r="CC43" i="50"/>
  <c r="BE36" i="50"/>
  <c r="BE40" i="50"/>
  <c r="BE34" i="50"/>
  <c r="BE38" i="50"/>
  <c r="BE37" i="50"/>
  <c r="BE35" i="50"/>
  <c r="BE42" i="50"/>
  <c r="BE43" i="50"/>
  <c r="AJ55" i="50" l="1"/>
  <c r="O55" i="72"/>
  <c r="BV55" i="72"/>
  <c r="AW55" i="72"/>
  <c r="H55" i="72"/>
  <c r="V41" i="72"/>
  <c r="V62" i="72" s="1"/>
  <c r="P41" i="50"/>
  <c r="P62" i="50" s="1"/>
  <c r="P65" i="50" s="1"/>
  <c r="AG55" i="50"/>
  <c r="W55" i="50"/>
  <c r="AD41" i="50"/>
  <c r="AD62" i="50" s="1"/>
  <c r="AD65" i="50" s="1"/>
  <c r="AD67" i="50" s="1"/>
  <c r="AB41" i="72"/>
  <c r="AB62" i="72" s="1"/>
  <c r="BI41" i="72"/>
  <c r="BI62" i="72" s="1"/>
  <c r="X55" i="72"/>
  <c r="I41" i="50"/>
  <c r="I62" i="50" s="1"/>
  <c r="AK41" i="50"/>
  <c r="AK62" i="50" s="1"/>
  <c r="AK65" i="50" s="1"/>
  <c r="AK67" i="50" s="1"/>
  <c r="T41" i="50"/>
  <c r="T62" i="50" s="1"/>
  <c r="T65" i="50" s="1"/>
  <c r="W41" i="50"/>
  <c r="W62" i="50" s="1"/>
  <c r="AQ55" i="72"/>
  <c r="CK55" i="72"/>
  <c r="BY55" i="72"/>
  <c r="AK55" i="50"/>
  <c r="CF41" i="72"/>
  <c r="CF62" i="72" s="1"/>
  <c r="CF65" i="72" s="1"/>
  <c r="BE41" i="72"/>
  <c r="BE62" i="72" s="1"/>
  <c r="BE65" i="72" s="1"/>
  <c r="Z55" i="72"/>
  <c r="Y55" i="50"/>
  <c r="AS55" i="72"/>
  <c r="AQ55" i="50"/>
  <c r="E79" i="75"/>
  <c r="AP55" i="50"/>
  <c r="AV41" i="72"/>
  <c r="AV62" i="72" s="1"/>
  <c r="AV65" i="72" s="1"/>
  <c r="AJ55" i="72"/>
  <c r="CA55" i="72"/>
  <c r="V55" i="72"/>
  <c r="BO55" i="72"/>
  <c r="AD68" i="50"/>
  <c r="AD69" i="50" s="1"/>
  <c r="AK68" i="50"/>
  <c r="AK69" i="50" s="1"/>
  <c r="G53" i="50"/>
  <c r="CH41" i="72"/>
  <c r="CH62" i="72" s="1"/>
  <c r="CH65" i="72" s="1"/>
  <c r="AQ41" i="72"/>
  <c r="AQ62" i="72" s="1"/>
  <c r="AQ65" i="72" s="1"/>
  <c r="CG55" i="72"/>
  <c r="AI41" i="72"/>
  <c r="AI62" i="72" s="1"/>
  <c r="AI65" i="72" s="1"/>
  <c r="CM37" i="50"/>
  <c r="AB65" i="72"/>
  <c r="G61" i="72"/>
  <c r="CM61" i="72" s="1"/>
  <c r="CM43" i="72"/>
  <c r="AC41" i="72"/>
  <c r="AC62" i="72" s="1"/>
  <c r="P67" i="50"/>
  <c r="P68" i="50" s="1"/>
  <c r="P69" i="50" s="1"/>
  <c r="AP41" i="50"/>
  <c r="AP62" i="50" s="1"/>
  <c r="AP65" i="50" s="1"/>
  <c r="AP67" i="50" s="1"/>
  <c r="AP68" i="50" s="1"/>
  <c r="AP69" i="50" s="1"/>
  <c r="AE41" i="50"/>
  <c r="AE62" i="50" s="1"/>
  <c r="AE65" i="50" s="1"/>
  <c r="AE67" i="50" s="1"/>
  <c r="AE68" i="50" s="1"/>
  <c r="AE69" i="50" s="1"/>
  <c r="AC41" i="50"/>
  <c r="AC62" i="50" s="1"/>
  <c r="AC65" i="50" s="1"/>
  <c r="AC67" i="50" s="1"/>
  <c r="AJ41" i="50"/>
  <c r="AJ62" i="50" s="1"/>
  <c r="AJ65" i="50" s="1"/>
  <c r="AJ67" i="50" s="1"/>
  <c r="AJ68" i="50" s="1"/>
  <c r="AJ69" i="50" s="1"/>
  <c r="R41" i="50"/>
  <c r="R62" i="50" s="1"/>
  <c r="R65" i="50" s="1"/>
  <c r="R67" i="50" s="1"/>
  <c r="R68" i="50" s="1"/>
  <c r="R69" i="50" s="1"/>
  <c r="AL41" i="72"/>
  <c r="AL62" i="72" s="1"/>
  <c r="T41" i="72"/>
  <c r="T62" i="72" s="1"/>
  <c r="T65" i="72" s="1"/>
  <c r="AO41" i="72"/>
  <c r="AO62" i="72" s="1"/>
  <c r="AO65" i="72" s="1"/>
  <c r="BK41" i="72"/>
  <c r="BK62" i="72" s="1"/>
  <c r="BK65" i="72" s="1"/>
  <c r="BL41" i="72"/>
  <c r="BL62" i="72" s="1"/>
  <c r="BL65" i="72" s="1"/>
  <c r="W41" i="72"/>
  <c r="W62" i="72" s="1"/>
  <c r="W65" i="72" s="1"/>
  <c r="CI55" i="72"/>
  <c r="CI41" i="72"/>
  <c r="CI62" i="72" s="1"/>
  <c r="CI65" i="72" s="1"/>
  <c r="BD41" i="72"/>
  <c r="BD62" i="72" s="1"/>
  <c r="M41" i="50"/>
  <c r="M62" i="50" s="1"/>
  <c r="M65" i="50" s="1"/>
  <c r="M67" i="50" s="1"/>
  <c r="M68" i="50" s="1"/>
  <c r="M70" i="50" s="1"/>
  <c r="AX41" i="72"/>
  <c r="AX62" i="72" s="1"/>
  <c r="AX65" i="72" s="1"/>
  <c r="Q41" i="50"/>
  <c r="Q62" i="50" s="1"/>
  <c r="Q65" i="50" s="1"/>
  <c r="Q67" i="50" s="1"/>
  <c r="Q68" i="50" s="1"/>
  <c r="Q69" i="50" s="1"/>
  <c r="CM34" i="50"/>
  <c r="G41" i="50"/>
  <c r="G62" i="50" s="1"/>
  <c r="CM36" i="50"/>
  <c r="G63" i="50"/>
  <c r="Z41" i="72"/>
  <c r="Z62" i="72" s="1"/>
  <c r="Z65" i="72" s="1"/>
  <c r="AP55" i="72"/>
  <c r="BF55" i="72"/>
  <c r="BF41" i="72"/>
  <c r="BF62" i="72" s="1"/>
  <c r="BF65" i="72" s="1"/>
  <c r="CL55" i="72"/>
  <c r="BS41" i="72"/>
  <c r="BS62" i="72" s="1"/>
  <c r="BS65" i="72" s="1"/>
  <c r="G60" i="72"/>
  <c r="CM42" i="72"/>
  <c r="G55" i="72"/>
  <c r="I65" i="50"/>
  <c r="I67" i="50" s="1"/>
  <c r="I68" i="50" s="1"/>
  <c r="I69" i="50" s="1"/>
  <c r="K41" i="50"/>
  <c r="K62" i="50" s="1"/>
  <c r="K65" i="50" s="1"/>
  <c r="K67" i="50" s="1"/>
  <c r="K68" i="50" s="1"/>
  <c r="K70" i="50" s="1"/>
  <c r="BN41" i="72"/>
  <c r="BN62" i="72" s="1"/>
  <c r="BN65" i="72" s="1"/>
  <c r="BN55" i="72"/>
  <c r="AJ41" i="72"/>
  <c r="AJ62" i="72" s="1"/>
  <c r="AK55" i="72"/>
  <c r="AK41" i="72"/>
  <c r="AK62" i="72" s="1"/>
  <c r="AK65" i="72" s="1"/>
  <c r="Q55" i="72"/>
  <c r="S55" i="72"/>
  <c r="H41" i="72"/>
  <c r="H62" i="72" s="1"/>
  <c r="H65" i="72" s="1"/>
  <c r="X41" i="50"/>
  <c r="X62" i="50" s="1"/>
  <c r="X65" i="50" s="1"/>
  <c r="X67" i="50" s="1"/>
  <c r="X68" i="50" s="1"/>
  <c r="X69" i="50" s="1"/>
  <c r="Y41" i="50"/>
  <c r="Y62" i="50" s="1"/>
  <c r="Y65" i="50" s="1"/>
  <c r="Y67" i="50" s="1"/>
  <c r="Y68" i="50" s="1"/>
  <c r="Y69" i="50" s="1"/>
  <c r="AA41" i="50"/>
  <c r="AA62" i="50" s="1"/>
  <c r="AA65" i="50" s="1"/>
  <c r="AA67" i="50" s="1"/>
  <c r="AA68" i="50" s="1"/>
  <c r="AA69" i="50" s="1"/>
  <c r="AB41" i="50"/>
  <c r="AB62" i="50" s="1"/>
  <c r="AB65" i="50" s="1"/>
  <c r="AB67" i="50" s="1"/>
  <c r="AB68" i="50" s="1"/>
  <c r="AB69" i="50" s="1"/>
  <c r="AL41" i="50"/>
  <c r="AL62" i="50" s="1"/>
  <c r="AL65" i="50" s="1"/>
  <c r="AL67" i="50" s="1"/>
  <c r="AL55" i="50"/>
  <c r="AD70" i="50"/>
  <c r="AT41" i="72"/>
  <c r="AT62" i="72" s="1"/>
  <c r="BJ55" i="72"/>
  <c r="AE41" i="72"/>
  <c r="AE62" i="72" s="1"/>
  <c r="AE65" i="72" s="1"/>
  <c r="BU41" i="72"/>
  <c r="BU62" i="72" s="1"/>
  <c r="BU65" i="72" s="1"/>
  <c r="K41" i="72"/>
  <c r="K62" i="72" s="1"/>
  <c r="K65" i="72" s="1"/>
  <c r="BX55" i="72"/>
  <c r="BX41" i="72"/>
  <c r="BX62" i="72" s="1"/>
  <c r="AI41" i="50"/>
  <c r="AI62" i="50" s="1"/>
  <c r="AI65" i="50" s="1"/>
  <c r="AI67" i="50" s="1"/>
  <c r="N41" i="50"/>
  <c r="N62" i="50" s="1"/>
  <c r="N65" i="50" s="1"/>
  <c r="N67" i="50" s="1"/>
  <c r="N68" i="50" s="1"/>
  <c r="N70" i="50" s="1"/>
  <c r="AG41" i="50"/>
  <c r="AG62" i="50" s="1"/>
  <c r="AG65" i="50" s="1"/>
  <c r="AG67" i="50" s="1"/>
  <c r="AG68" i="50" s="1"/>
  <c r="J41" i="50"/>
  <c r="J62" i="50" s="1"/>
  <c r="J65" i="50" s="1"/>
  <c r="J67" i="50" s="1"/>
  <c r="J68" i="50" s="1"/>
  <c r="J69" i="50" s="1"/>
  <c r="G53" i="72"/>
  <c r="CM51" i="72"/>
  <c r="BG41" i="72"/>
  <c r="BG62" i="72" s="1"/>
  <c r="CC41" i="72"/>
  <c r="CC62" i="72" s="1"/>
  <c r="CC65" i="72" s="1"/>
  <c r="AS55" i="50"/>
  <c r="O41" i="50"/>
  <c r="O62" i="50" s="1"/>
  <c r="O65" i="50" s="1"/>
  <c r="O67" i="50" s="1"/>
  <c r="O68" i="50" s="1"/>
  <c r="V65" i="72"/>
  <c r="AL65" i="72"/>
  <c r="BB41" i="72"/>
  <c r="BB62" i="72" s="1"/>
  <c r="BB65" i="72" s="1"/>
  <c r="CJ41" i="72"/>
  <c r="CJ62" i="72" s="1"/>
  <c r="CJ65" i="72" s="1"/>
  <c r="CM38" i="50"/>
  <c r="G64" i="50"/>
  <c r="K69" i="50"/>
  <c r="CL41" i="72"/>
  <c r="CL62" i="72" s="1"/>
  <c r="CL65" i="72" s="1"/>
  <c r="CM38" i="72"/>
  <c r="CM63" i="72"/>
  <c r="AJ65" i="72"/>
  <c r="R70" i="50"/>
  <c r="AD65" i="72"/>
  <c r="AD41" i="72"/>
  <c r="AD62" i="72" s="1"/>
  <c r="BJ41" i="72"/>
  <c r="BJ62" i="72" s="1"/>
  <c r="AO41" i="50"/>
  <c r="AO62" i="50" s="1"/>
  <c r="AO65" i="50" s="1"/>
  <c r="AO67" i="50" s="1"/>
  <c r="Z41" i="50"/>
  <c r="Z62" i="50" s="1"/>
  <c r="Z65" i="50" s="1"/>
  <c r="Z67" i="50" s="1"/>
  <c r="Z68" i="50" s="1"/>
  <c r="Z69" i="50" s="1"/>
  <c r="G52" i="50"/>
  <c r="V55" i="50"/>
  <c r="W65" i="50"/>
  <c r="W67" i="50" s="1"/>
  <c r="W68" i="50" s="1"/>
  <c r="W69" i="50" s="1"/>
  <c r="BR41" i="72"/>
  <c r="BR62" i="72" s="1"/>
  <c r="BR65" i="72" s="1"/>
  <c r="CM33" i="72"/>
  <c r="U55" i="72"/>
  <c r="U41" i="72"/>
  <c r="U62" i="72" s="1"/>
  <c r="U65" i="72" s="1"/>
  <c r="CG41" i="72"/>
  <c r="CG62" i="72" s="1"/>
  <c r="CG65" i="72" s="1"/>
  <c r="AR41" i="72"/>
  <c r="AR62" i="72" s="1"/>
  <c r="AR65" i="72" s="1"/>
  <c r="BM41" i="72"/>
  <c r="BM62" i="72" s="1"/>
  <c r="BM65" i="72" s="1"/>
  <c r="AN55" i="72"/>
  <c r="AX55" i="72"/>
  <c r="O41" i="72"/>
  <c r="O62" i="72" s="1"/>
  <c r="O65" i="72" s="1"/>
  <c r="P55" i="72"/>
  <c r="CB41" i="72"/>
  <c r="CB62" i="72" s="1"/>
  <c r="CB65" i="72" s="1"/>
  <c r="BO41" i="72"/>
  <c r="BO62" i="72" s="1"/>
  <c r="BO65" i="72" s="1"/>
  <c r="H41" i="50"/>
  <c r="H62" i="50" s="1"/>
  <c r="H65" i="50" s="1"/>
  <c r="H67" i="50" s="1"/>
  <c r="H68" i="50" s="1"/>
  <c r="H69" i="50" s="1"/>
  <c r="CM23" i="50"/>
  <c r="G55" i="50"/>
  <c r="CM35" i="50"/>
  <c r="CM43" i="50"/>
  <c r="G61" i="50"/>
  <c r="J70" i="50"/>
  <c r="BP41" i="72"/>
  <c r="BP62" i="72" s="1"/>
  <c r="BP65" i="72" s="1"/>
  <c r="CK41" i="72"/>
  <c r="CK62" i="72" s="1"/>
  <c r="CK65" i="72" s="1"/>
  <c r="AA41" i="72"/>
  <c r="AA62" i="72" s="1"/>
  <c r="AA65" i="72" s="1"/>
  <c r="AW41" i="72"/>
  <c r="AW62" i="72" s="1"/>
  <c r="AW65" i="72" s="1"/>
  <c r="CM40" i="72"/>
  <c r="CM34" i="72"/>
  <c r="G41" i="72"/>
  <c r="CM36" i="72"/>
  <c r="AH55" i="72"/>
  <c r="CA41" i="72"/>
  <c r="CA62" i="72" s="1"/>
  <c r="CA65" i="72" s="1"/>
  <c r="S41" i="72"/>
  <c r="S62" i="72" s="1"/>
  <c r="S65" i="72" s="1"/>
  <c r="T28" i="50"/>
  <c r="CM33" i="50"/>
  <c r="N41" i="72"/>
  <c r="N62" i="72" s="1"/>
  <c r="N65" i="72" s="1"/>
  <c r="AT65" i="72"/>
  <c r="BJ65" i="72"/>
  <c r="BZ55" i="72"/>
  <c r="BZ41" i="72"/>
  <c r="BZ62" i="72" s="1"/>
  <c r="BZ65" i="72" s="1"/>
  <c r="I41" i="72"/>
  <c r="I62" i="72" s="1"/>
  <c r="I65" i="72" s="1"/>
  <c r="AZ41" i="72"/>
  <c r="AZ62" i="72" s="1"/>
  <c r="AZ65" i="72" s="1"/>
  <c r="L65" i="72"/>
  <c r="AG41" i="72"/>
  <c r="AG62" i="72" s="1"/>
  <c r="AG65" i="72" s="1"/>
  <c r="AY41" i="72"/>
  <c r="AY62" i="72" s="1"/>
  <c r="AY65" i="72" s="1"/>
  <c r="S41" i="50"/>
  <c r="S62" i="50" s="1"/>
  <c r="S65" i="50" s="1"/>
  <c r="S67" i="50" s="1"/>
  <c r="S68" i="50" s="1"/>
  <c r="Z70" i="50"/>
  <c r="CD41" i="72"/>
  <c r="CD62" i="72" s="1"/>
  <c r="I70" i="50"/>
  <c r="AO55" i="50"/>
  <c r="V41" i="50"/>
  <c r="V62" i="50" s="1"/>
  <c r="V65" i="50" s="1"/>
  <c r="V67" i="50" s="1"/>
  <c r="V68" i="50" s="1"/>
  <c r="V69" i="50" s="1"/>
  <c r="AC55" i="50"/>
  <c r="AM41" i="50"/>
  <c r="AM62" i="50" s="1"/>
  <c r="AM65" i="50" s="1"/>
  <c r="AM67" i="50" s="1"/>
  <c r="AM68" i="50" s="1"/>
  <c r="AM69" i="50" s="1"/>
  <c r="AL55" i="72"/>
  <c r="T55" i="72"/>
  <c r="AO55" i="72"/>
  <c r="BD65" i="72"/>
  <c r="AN41" i="72"/>
  <c r="AN62" i="72" s="1"/>
  <c r="AN65" i="72" s="1"/>
  <c r="CJ55" i="72"/>
  <c r="R55" i="72"/>
  <c r="R41" i="72"/>
  <c r="R62" i="72" s="1"/>
  <c r="R65" i="72" s="1"/>
  <c r="BE55" i="72"/>
  <c r="P41" i="72"/>
  <c r="P62" i="72" s="1"/>
  <c r="P65" i="72" s="1"/>
  <c r="CB55" i="72"/>
  <c r="AM41" i="72"/>
  <c r="AM62" i="72" s="1"/>
  <c r="AM65" i="72" s="1"/>
  <c r="AI55" i="72"/>
  <c r="AF41" i="50"/>
  <c r="AF62" i="50" s="1"/>
  <c r="AF65" i="50" s="1"/>
  <c r="AF67" i="50" s="1"/>
  <c r="AF55" i="50"/>
  <c r="CM40" i="50"/>
  <c r="CM42" i="50"/>
  <c r="G60" i="50"/>
  <c r="P70" i="50"/>
  <c r="J41" i="72"/>
  <c r="J62" i="72" s="1"/>
  <c r="J65" i="72" s="1"/>
  <c r="AP41" i="72"/>
  <c r="AP62" i="72" s="1"/>
  <c r="AP65" i="72" s="1"/>
  <c r="BV41" i="72"/>
  <c r="BV62" i="72" s="1"/>
  <c r="BV65" i="72" s="1"/>
  <c r="Y41" i="72"/>
  <c r="Y62" i="72" s="1"/>
  <c r="Y65" i="72" s="1"/>
  <c r="AU55" i="72"/>
  <c r="AU41" i="72"/>
  <c r="AU62" i="72" s="1"/>
  <c r="AU65" i="72" s="1"/>
  <c r="BP55" i="72"/>
  <c r="BQ55" i="72"/>
  <c r="BQ41" i="72"/>
  <c r="BQ62" i="72" s="1"/>
  <c r="BQ65" i="72" s="1"/>
  <c r="AB55" i="72"/>
  <c r="CM64" i="72"/>
  <c r="CM35" i="72"/>
  <c r="CM37" i="72"/>
  <c r="BY41" i="72"/>
  <c r="BY62" i="72" s="1"/>
  <c r="BY65" i="72" s="1"/>
  <c r="BI65" i="72"/>
  <c r="X41" i="72"/>
  <c r="X62" i="72" s="1"/>
  <c r="X65" i="72" s="1"/>
  <c r="AC65" i="72"/>
  <c r="X70" i="50"/>
  <c r="AH41" i="50"/>
  <c r="AH62" i="50" s="1"/>
  <c r="AH65" i="50" s="1"/>
  <c r="AH67" i="50" s="1"/>
  <c r="AH68" i="50" s="1"/>
  <c r="AH55" i="50"/>
  <c r="AJ70" i="50"/>
  <c r="AH41" i="72"/>
  <c r="AH62" i="72" s="1"/>
  <c r="AH65" i="72" s="1"/>
  <c r="Q41" i="72"/>
  <c r="Q62" i="72" s="1"/>
  <c r="Q65" i="72" s="1"/>
  <c r="BH55" i="72"/>
  <c r="BH41" i="72"/>
  <c r="BH62" i="72" s="1"/>
  <c r="BH65" i="72" s="1"/>
  <c r="L41" i="50"/>
  <c r="L62" i="50" s="1"/>
  <c r="L65" i="50" s="1"/>
  <c r="L67" i="50" s="1"/>
  <c r="L68" i="50" s="1"/>
  <c r="L69" i="50" s="1"/>
  <c r="T55" i="50"/>
  <c r="CM27" i="50"/>
  <c r="AR70" i="50"/>
  <c r="U41" i="50"/>
  <c r="U62" i="50" s="1"/>
  <c r="U65" i="50" s="1"/>
  <c r="U67" i="50" s="1"/>
  <c r="U68" i="50" s="1"/>
  <c r="U69" i="50" s="1"/>
  <c r="AT55" i="72"/>
  <c r="I55" i="72"/>
  <c r="AZ55" i="72"/>
  <c r="K55" i="72"/>
  <c r="AF41" i="72"/>
  <c r="AF62" i="72" s="1"/>
  <c r="AF65" i="72" s="1"/>
  <c r="BA65" i="72"/>
  <c r="BW41" i="72"/>
  <c r="BW62" i="72" s="1"/>
  <c r="BW65" i="72" s="1"/>
  <c r="L55" i="72"/>
  <c r="BC41" i="72"/>
  <c r="BC62" i="72" s="1"/>
  <c r="BC65" i="72" s="1"/>
  <c r="BX65" i="72"/>
  <c r="M65" i="72"/>
  <c r="CE41" i="72"/>
  <c r="CE62" i="72" s="1"/>
  <c r="CE65" i="72" s="1"/>
  <c r="AS41" i="72"/>
  <c r="AS62" i="72" s="1"/>
  <c r="AS65" i="72" s="1"/>
  <c r="AI55" i="50"/>
  <c r="AQ41" i="50"/>
  <c r="AQ62" i="50" s="1"/>
  <c r="AQ65" i="50" s="1"/>
  <c r="AQ67" i="50" s="1"/>
  <c r="AQ68" i="50" s="1"/>
  <c r="AQ69" i="50" s="1"/>
  <c r="CM50" i="72"/>
  <c r="G52" i="72"/>
  <c r="CM52" i="72" s="1"/>
  <c r="CD65" i="72"/>
  <c r="BG65" i="72"/>
  <c r="AN41" i="50"/>
  <c r="AN62" i="50" s="1"/>
  <c r="AN65" i="50" s="1"/>
  <c r="AN67" i="50" s="1"/>
  <c r="AN68" i="50" s="1"/>
  <c r="AN69" i="50" s="1"/>
  <c r="AS41" i="50"/>
  <c r="AS62" i="50" s="1"/>
  <c r="AS65" i="50" s="1"/>
  <c r="AS67" i="50" s="1"/>
  <c r="N69" i="50"/>
  <c r="AT28" i="50"/>
  <c r="B6" i="55"/>
  <c r="E4" i="51"/>
  <c r="H12" i="87" s="1"/>
  <c r="S70" i="50" l="1"/>
  <c r="S69" i="50"/>
  <c r="AF68" i="50"/>
  <c r="AF69" i="50" s="1"/>
  <c r="W70" i="50"/>
  <c r="AA70" i="50"/>
  <c r="AL68" i="50"/>
  <c r="AL69" i="50" s="1"/>
  <c r="AB70" i="50"/>
  <c r="AO68" i="50"/>
  <c r="AO69" i="50" s="1"/>
  <c r="AK70" i="50"/>
  <c r="O69" i="50"/>
  <c r="O70" i="50"/>
  <c r="L70" i="50"/>
  <c r="CM53" i="72"/>
  <c r="CM55" i="72"/>
  <c r="AP70" i="50"/>
  <c r="Y70" i="50"/>
  <c r="H13" i="68"/>
  <c r="H13" i="69"/>
  <c r="H13" i="39"/>
  <c r="F4" i="51"/>
  <c r="G62" i="72"/>
  <c r="CM62" i="72" s="1"/>
  <c r="CM41" i="72"/>
  <c r="AH70" i="50"/>
  <c r="AH69" i="50"/>
  <c r="M69" i="50"/>
  <c r="CM28" i="50"/>
  <c r="AM70" i="50"/>
  <c r="AI68" i="50"/>
  <c r="H70" i="50"/>
  <c r="U70" i="50"/>
  <c r="G65" i="50"/>
  <c r="G67" i="50" s="1"/>
  <c r="G68" i="50" s="1"/>
  <c r="G69" i="50" s="1"/>
  <c r="AC68" i="50"/>
  <c r="AQ70" i="50"/>
  <c r="V70" i="50"/>
  <c r="AS68" i="50"/>
  <c r="AL70" i="50"/>
  <c r="AO70" i="50"/>
  <c r="AN70" i="50"/>
  <c r="Q70" i="50"/>
  <c r="AG70" i="50"/>
  <c r="AG69" i="50"/>
  <c r="CM60" i="72"/>
  <c r="G65" i="72"/>
  <c r="AF70" i="50"/>
  <c r="AE70" i="50"/>
  <c r="B6" i="67"/>
  <c r="C6" i="67" s="1"/>
  <c r="D6" i="67" s="1"/>
  <c r="E6" i="67" s="1"/>
  <c r="F6" i="67" s="1"/>
  <c r="CL66" i="50"/>
  <c r="CK66" i="50"/>
  <c r="CJ66" i="50"/>
  <c r="CI66" i="50"/>
  <c r="CH66" i="50"/>
  <c r="CG66" i="50"/>
  <c r="CF66" i="50"/>
  <c r="CE66" i="50"/>
  <c r="CD66" i="50"/>
  <c r="CC66" i="50"/>
  <c r="CB66" i="50"/>
  <c r="CA66" i="50"/>
  <c r="BZ66" i="50"/>
  <c r="BY66" i="50"/>
  <c r="BX66" i="50"/>
  <c r="BW66" i="50"/>
  <c r="BV66" i="50"/>
  <c r="BU66" i="50"/>
  <c r="BT66" i="50"/>
  <c r="BS66" i="50"/>
  <c r="BR66" i="50"/>
  <c r="BQ66" i="50"/>
  <c r="BP66" i="50"/>
  <c r="BO66" i="50"/>
  <c r="BN66" i="50"/>
  <c r="BM66" i="50"/>
  <c r="BL66" i="50"/>
  <c r="BK66" i="50"/>
  <c r="BJ66" i="50"/>
  <c r="BI66" i="50"/>
  <c r="BH66" i="50"/>
  <c r="BG66" i="50"/>
  <c r="BF66" i="50"/>
  <c r="BE66" i="50"/>
  <c r="BD66" i="50"/>
  <c r="BC66" i="50"/>
  <c r="BB66" i="50"/>
  <c r="BA66" i="50"/>
  <c r="AZ66" i="50"/>
  <c r="AY66" i="50"/>
  <c r="AX66" i="50"/>
  <c r="AW66" i="50"/>
  <c r="AV66" i="50"/>
  <c r="AU66" i="50"/>
  <c r="AT66" i="50"/>
  <c r="CL54" i="50"/>
  <c r="CK54" i="50"/>
  <c r="CJ54" i="50"/>
  <c r="CI54" i="50"/>
  <c r="CH54" i="50"/>
  <c r="CG54" i="50"/>
  <c r="CF54" i="50"/>
  <c r="CE54" i="50"/>
  <c r="CD54" i="50"/>
  <c r="CC54" i="50"/>
  <c r="CB54" i="50"/>
  <c r="CA54" i="50"/>
  <c r="BZ54" i="50"/>
  <c r="BY54" i="50"/>
  <c r="BX54" i="50"/>
  <c r="BW54" i="50"/>
  <c r="BV54" i="50"/>
  <c r="BU54" i="50"/>
  <c r="BT54" i="50"/>
  <c r="BS54" i="50"/>
  <c r="BR54" i="50"/>
  <c r="BQ54" i="50"/>
  <c r="BP54" i="50"/>
  <c r="BO54" i="50"/>
  <c r="BN54" i="50"/>
  <c r="BM54" i="50"/>
  <c r="BL54" i="50"/>
  <c r="BK54" i="50"/>
  <c r="BJ54" i="50"/>
  <c r="BI54" i="50"/>
  <c r="BH54" i="50"/>
  <c r="BG54" i="50"/>
  <c r="BF54" i="50"/>
  <c r="BE54" i="50"/>
  <c r="BD54" i="50"/>
  <c r="BC54" i="50"/>
  <c r="BB54" i="50"/>
  <c r="BA54" i="50"/>
  <c r="AZ54" i="50"/>
  <c r="AY54" i="50"/>
  <c r="AX54" i="50"/>
  <c r="AW54" i="50"/>
  <c r="AV54" i="50"/>
  <c r="AU54" i="50"/>
  <c r="AT54" i="50"/>
  <c r="CL49" i="50"/>
  <c r="CK49" i="50"/>
  <c r="CJ49" i="50"/>
  <c r="CI49" i="50"/>
  <c r="CH49" i="50"/>
  <c r="CG49" i="50"/>
  <c r="CF49" i="50"/>
  <c r="CE49" i="50"/>
  <c r="CD49" i="50"/>
  <c r="CC49" i="50"/>
  <c r="CB49" i="50"/>
  <c r="CA49" i="50"/>
  <c r="BZ49" i="50"/>
  <c r="BY49" i="50"/>
  <c r="BX49" i="50"/>
  <c r="BW49" i="50"/>
  <c r="BV49" i="50"/>
  <c r="BU49" i="50"/>
  <c r="BT49" i="50"/>
  <c r="BS49" i="50"/>
  <c r="BR49" i="50"/>
  <c r="BQ49" i="50"/>
  <c r="BP49" i="50"/>
  <c r="BO49" i="50"/>
  <c r="BN49" i="50"/>
  <c r="BM49" i="50"/>
  <c r="BL49" i="50"/>
  <c r="BK49" i="50"/>
  <c r="BJ49" i="50"/>
  <c r="BI49" i="50"/>
  <c r="BH49" i="50"/>
  <c r="BG49" i="50"/>
  <c r="BF49" i="50"/>
  <c r="BE49" i="50"/>
  <c r="BD49" i="50"/>
  <c r="BC49" i="50"/>
  <c r="BB49" i="50"/>
  <c r="BA49" i="50"/>
  <c r="AZ49" i="50"/>
  <c r="AY49" i="50"/>
  <c r="AX49" i="50"/>
  <c r="AW49" i="50"/>
  <c r="AV49" i="50"/>
  <c r="AU49" i="50"/>
  <c r="AT49" i="50"/>
  <c r="CL48" i="50"/>
  <c r="CK48" i="50"/>
  <c r="CJ48" i="50"/>
  <c r="CI48" i="50"/>
  <c r="CH48" i="50"/>
  <c r="CG48" i="50"/>
  <c r="CF48" i="50"/>
  <c r="CE48" i="50"/>
  <c r="CD48" i="50"/>
  <c r="CC48" i="50"/>
  <c r="CB48" i="50"/>
  <c r="CA48" i="50"/>
  <c r="BZ48" i="50"/>
  <c r="BY48" i="50"/>
  <c r="BX48" i="50"/>
  <c r="BW48" i="50"/>
  <c r="BV48" i="50"/>
  <c r="BU48" i="50"/>
  <c r="BT48" i="50"/>
  <c r="BS48" i="50"/>
  <c r="BR48" i="50"/>
  <c r="BQ48" i="50"/>
  <c r="BP48" i="50"/>
  <c r="BO48" i="50"/>
  <c r="BN48" i="50"/>
  <c r="BM48" i="50"/>
  <c r="BL48" i="50"/>
  <c r="BK48" i="50"/>
  <c r="BJ48" i="50"/>
  <c r="BI48" i="50"/>
  <c r="BH48" i="50"/>
  <c r="BG48" i="50"/>
  <c r="BF48" i="50"/>
  <c r="BE48" i="50"/>
  <c r="BD48" i="50"/>
  <c r="BC48" i="50"/>
  <c r="BB48" i="50"/>
  <c r="BA48" i="50"/>
  <c r="AZ48" i="50"/>
  <c r="AY48" i="50"/>
  <c r="AX48" i="50"/>
  <c r="AW48" i="50"/>
  <c r="AV48" i="50"/>
  <c r="AU48" i="50"/>
  <c r="AT48" i="50"/>
  <c r="CL47" i="50"/>
  <c r="CK47" i="50"/>
  <c r="CJ47" i="50"/>
  <c r="CI47" i="50"/>
  <c r="CH47" i="50"/>
  <c r="CG47" i="50"/>
  <c r="CF47" i="50"/>
  <c r="CE47" i="50"/>
  <c r="CD47" i="50"/>
  <c r="CC47" i="50"/>
  <c r="CB47" i="50"/>
  <c r="CA47" i="50"/>
  <c r="BZ47" i="50"/>
  <c r="BY47" i="50"/>
  <c r="BX47" i="50"/>
  <c r="BW47" i="50"/>
  <c r="BV47" i="50"/>
  <c r="BU47" i="50"/>
  <c r="BT47" i="50"/>
  <c r="BS47" i="50"/>
  <c r="BR47" i="50"/>
  <c r="BQ47" i="50"/>
  <c r="BP47" i="50"/>
  <c r="BO47" i="50"/>
  <c r="BN47" i="50"/>
  <c r="BM47" i="50"/>
  <c r="BL47" i="50"/>
  <c r="BK47" i="50"/>
  <c r="BJ47" i="50"/>
  <c r="BI47" i="50"/>
  <c r="BH47" i="50"/>
  <c r="BG47" i="50"/>
  <c r="BF47" i="50"/>
  <c r="BE47" i="50"/>
  <c r="BD47" i="50"/>
  <c r="BC47" i="50"/>
  <c r="BB47" i="50"/>
  <c r="BA47" i="50"/>
  <c r="AZ47" i="50"/>
  <c r="AY47" i="50"/>
  <c r="AX47" i="50"/>
  <c r="AW47" i="50"/>
  <c r="AV47" i="50"/>
  <c r="AU47" i="50"/>
  <c r="AT47" i="50"/>
  <c r="CL46" i="50"/>
  <c r="CK46" i="50"/>
  <c r="CJ46" i="50"/>
  <c r="CI46" i="50"/>
  <c r="CH46" i="50"/>
  <c r="CG46" i="50"/>
  <c r="CF46" i="50"/>
  <c r="CE46" i="50"/>
  <c r="CD46" i="50"/>
  <c r="CC46" i="50"/>
  <c r="CB46" i="50"/>
  <c r="CA46" i="50"/>
  <c r="BZ46" i="50"/>
  <c r="BY46" i="50"/>
  <c r="BX46" i="50"/>
  <c r="BW46" i="50"/>
  <c r="BV46" i="50"/>
  <c r="BU46" i="50"/>
  <c r="BT46" i="50"/>
  <c r="BS46" i="50"/>
  <c r="BR46" i="50"/>
  <c r="BQ46" i="50"/>
  <c r="BP46" i="50"/>
  <c r="BO46" i="50"/>
  <c r="BN46" i="50"/>
  <c r="BM46" i="50"/>
  <c r="BL46" i="50"/>
  <c r="BK46" i="50"/>
  <c r="BJ46" i="50"/>
  <c r="BI46" i="50"/>
  <c r="BH46" i="50"/>
  <c r="BG46" i="50"/>
  <c r="BF46" i="50"/>
  <c r="BE46" i="50"/>
  <c r="BD46" i="50"/>
  <c r="BC46" i="50"/>
  <c r="BB46" i="50"/>
  <c r="BA46" i="50"/>
  <c r="AZ46" i="50"/>
  <c r="AY46" i="50"/>
  <c r="AX46" i="50"/>
  <c r="AW46" i="50"/>
  <c r="AV46" i="50"/>
  <c r="AU46" i="50"/>
  <c r="FU41" i="50"/>
  <c r="FT41" i="50"/>
  <c r="FS41" i="50"/>
  <c r="FR41" i="50"/>
  <c r="FQ41" i="50"/>
  <c r="FP41" i="50"/>
  <c r="FO41" i="50"/>
  <c r="FN41" i="50"/>
  <c r="FM41" i="50"/>
  <c r="FL41" i="50"/>
  <c r="FK41" i="50"/>
  <c r="FJ41" i="50"/>
  <c r="FI41" i="50"/>
  <c r="FH41" i="50"/>
  <c r="FG41" i="50"/>
  <c r="FF41" i="50"/>
  <c r="FE41" i="50"/>
  <c r="FD41" i="50"/>
  <c r="FC41" i="50"/>
  <c r="FB41" i="50"/>
  <c r="FA41" i="50"/>
  <c r="EZ41" i="50"/>
  <c r="EY41" i="50"/>
  <c r="EX41" i="50"/>
  <c r="EW41" i="50"/>
  <c r="EV41" i="50"/>
  <c r="EU41" i="50"/>
  <c r="ET41" i="50"/>
  <c r="ES41" i="50"/>
  <c r="ER41" i="50"/>
  <c r="EQ41" i="50"/>
  <c r="EP41" i="50"/>
  <c r="EO41" i="50"/>
  <c r="EN41" i="50"/>
  <c r="EM41" i="50"/>
  <c r="EL41" i="50"/>
  <c r="EK41" i="50"/>
  <c r="EJ41" i="50"/>
  <c r="EI41" i="50"/>
  <c r="EH41" i="50"/>
  <c r="EG41" i="50"/>
  <c r="EF41" i="50"/>
  <c r="EE41" i="50"/>
  <c r="ED41" i="50"/>
  <c r="EC41" i="50"/>
  <c r="FV40" i="50"/>
  <c r="FV39" i="50"/>
  <c r="FV38" i="50"/>
  <c r="FV37" i="50"/>
  <c r="FV36" i="50"/>
  <c r="FV35" i="50"/>
  <c r="FV34" i="50"/>
  <c r="CL45" i="50"/>
  <c r="CL63" i="50" s="1"/>
  <c r="CK45" i="50"/>
  <c r="CK63" i="50" s="1"/>
  <c r="CJ45" i="50"/>
  <c r="CJ63" i="50" s="1"/>
  <c r="CI45" i="50"/>
  <c r="CI63" i="50" s="1"/>
  <c r="CH45" i="50"/>
  <c r="CH63" i="50" s="1"/>
  <c r="CG45" i="50"/>
  <c r="CG63" i="50" s="1"/>
  <c r="CF45" i="50"/>
  <c r="CF63" i="50" s="1"/>
  <c r="CE45" i="50"/>
  <c r="CE63" i="50" s="1"/>
  <c r="CD45" i="50"/>
  <c r="CD63" i="50" s="1"/>
  <c r="CC45" i="50"/>
  <c r="CC63" i="50" s="1"/>
  <c r="CB45" i="50"/>
  <c r="CB63" i="50" s="1"/>
  <c r="CA45" i="50"/>
  <c r="CA63" i="50" s="1"/>
  <c r="BZ45" i="50"/>
  <c r="BZ63" i="50" s="1"/>
  <c r="BY45" i="50"/>
  <c r="BY63" i="50" s="1"/>
  <c r="BX45" i="50"/>
  <c r="BX63" i="50" s="1"/>
  <c r="BW45" i="50"/>
  <c r="BW63" i="50" s="1"/>
  <c r="BV45" i="50"/>
  <c r="BV63" i="50" s="1"/>
  <c r="BU45" i="50"/>
  <c r="BU63" i="50" s="1"/>
  <c r="BT45" i="50"/>
  <c r="BT63" i="50" s="1"/>
  <c r="BS45" i="50"/>
  <c r="BS63" i="50" s="1"/>
  <c r="BR45" i="50"/>
  <c r="BR63" i="50" s="1"/>
  <c r="BQ45" i="50"/>
  <c r="BQ63" i="50" s="1"/>
  <c r="BP45" i="50"/>
  <c r="BP63" i="50" s="1"/>
  <c r="BO45" i="50"/>
  <c r="BO63" i="50" s="1"/>
  <c r="BN45" i="50"/>
  <c r="BN63" i="50" s="1"/>
  <c r="BM45" i="50"/>
  <c r="BM63" i="50" s="1"/>
  <c r="BL45" i="50"/>
  <c r="BL63" i="50" s="1"/>
  <c r="BK45" i="50"/>
  <c r="BK63" i="50" s="1"/>
  <c r="BJ45" i="50"/>
  <c r="BJ63" i="50" s="1"/>
  <c r="BI45" i="50"/>
  <c r="BI63" i="50" s="1"/>
  <c r="BH45" i="50"/>
  <c r="BH63" i="50" s="1"/>
  <c r="BG45" i="50"/>
  <c r="BG63" i="50" s="1"/>
  <c r="BF45" i="50"/>
  <c r="BF63" i="50" s="1"/>
  <c r="BE45" i="50"/>
  <c r="BE63" i="50" s="1"/>
  <c r="BD45" i="50"/>
  <c r="BD63" i="50" s="1"/>
  <c r="BC45" i="50"/>
  <c r="BC63" i="50" s="1"/>
  <c r="BB45" i="50"/>
  <c r="BB63" i="50" s="1"/>
  <c r="BA45" i="50"/>
  <c r="BA63" i="50" s="1"/>
  <c r="AZ45" i="50"/>
  <c r="AZ63" i="50" s="1"/>
  <c r="AY45" i="50"/>
  <c r="AY63" i="50" s="1"/>
  <c r="AX45" i="50"/>
  <c r="AX63" i="50" s="1"/>
  <c r="AW45" i="50"/>
  <c r="AW63" i="50" s="1"/>
  <c r="AV45" i="50"/>
  <c r="AV63" i="50" s="1"/>
  <c r="AU45" i="50"/>
  <c r="CL44" i="50"/>
  <c r="CL64" i="50" s="1"/>
  <c r="CK44" i="50"/>
  <c r="CK64" i="50" s="1"/>
  <c r="CJ44" i="50"/>
  <c r="CJ64" i="50" s="1"/>
  <c r="CI44" i="50"/>
  <c r="CI64" i="50" s="1"/>
  <c r="CH44" i="50"/>
  <c r="CH64" i="50" s="1"/>
  <c r="CG44" i="50"/>
  <c r="CG64" i="50" s="1"/>
  <c r="CF44" i="50"/>
  <c r="CF64" i="50" s="1"/>
  <c r="CE44" i="50"/>
  <c r="CE64" i="50" s="1"/>
  <c r="CD44" i="50"/>
  <c r="CD64" i="50" s="1"/>
  <c r="CC44" i="50"/>
  <c r="CC64" i="50" s="1"/>
  <c r="CB44" i="50"/>
  <c r="CB64" i="50" s="1"/>
  <c r="CA44" i="50"/>
  <c r="CA64" i="50" s="1"/>
  <c r="BZ44" i="50"/>
  <c r="BZ64" i="50" s="1"/>
  <c r="BY44" i="50"/>
  <c r="BY64" i="50" s="1"/>
  <c r="BX44" i="50"/>
  <c r="BX64" i="50" s="1"/>
  <c r="BW44" i="50"/>
  <c r="BW64" i="50" s="1"/>
  <c r="BV44" i="50"/>
  <c r="BV64" i="50" s="1"/>
  <c r="BU44" i="50"/>
  <c r="BU64" i="50" s="1"/>
  <c r="BT44" i="50"/>
  <c r="BT64" i="50" s="1"/>
  <c r="BS44" i="50"/>
  <c r="BS64" i="50" s="1"/>
  <c r="BR44" i="50"/>
  <c r="BR64" i="50" s="1"/>
  <c r="BQ44" i="50"/>
  <c r="BQ64" i="50" s="1"/>
  <c r="BP44" i="50"/>
  <c r="BP64" i="50" s="1"/>
  <c r="BO44" i="50"/>
  <c r="BO64" i="50" s="1"/>
  <c r="BN44" i="50"/>
  <c r="BN64" i="50" s="1"/>
  <c r="BM44" i="50"/>
  <c r="BM64" i="50" s="1"/>
  <c r="BL44" i="50"/>
  <c r="BL64" i="50" s="1"/>
  <c r="BK44" i="50"/>
  <c r="BK64" i="50" s="1"/>
  <c r="BJ44" i="50"/>
  <c r="BJ64" i="50" s="1"/>
  <c r="BI44" i="50"/>
  <c r="BI64" i="50" s="1"/>
  <c r="BH44" i="50"/>
  <c r="BH64" i="50" s="1"/>
  <c r="BG44" i="50"/>
  <c r="BG64" i="50" s="1"/>
  <c r="BF44" i="50"/>
  <c r="BF64" i="50" s="1"/>
  <c r="BE44" i="50"/>
  <c r="BE64" i="50" s="1"/>
  <c r="BD44" i="50"/>
  <c r="BD64" i="50" s="1"/>
  <c r="BC44" i="50"/>
  <c r="BC64" i="50" s="1"/>
  <c r="BB44" i="50"/>
  <c r="BB64" i="50" s="1"/>
  <c r="BA44" i="50"/>
  <c r="BA64" i="50" s="1"/>
  <c r="AZ44" i="50"/>
  <c r="AZ64" i="50" s="1"/>
  <c r="AY44" i="50"/>
  <c r="AY64" i="50" s="1"/>
  <c r="AX44" i="50"/>
  <c r="AX64" i="50" s="1"/>
  <c r="AW44" i="50"/>
  <c r="AW64" i="50" s="1"/>
  <c r="AV44" i="50"/>
  <c r="AV64" i="50" s="1"/>
  <c r="AU44" i="50"/>
  <c r="AT64" i="50"/>
  <c r="CL61" i="50"/>
  <c r="CK61" i="50"/>
  <c r="CJ61" i="50"/>
  <c r="CI61" i="50"/>
  <c r="CH61" i="50"/>
  <c r="CG61" i="50"/>
  <c r="CF61" i="50"/>
  <c r="CE61" i="50"/>
  <c r="CD61" i="50"/>
  <c r="CC61" i="50"/>
  <c r="CB61" i="50"/>
  <c r="CA61" i="50"/>
  <c r="BZ61" i="50"/>
  <c r="BY61" i="50"/>
  <c r="BX61" i="50"/>
  <c r="BW61" i="50"/>
  <c r="BV61" i="50"/>
  <c r="BU61" i="50"/>
  <c r="BT61" i="50"/>
  <c r="BS61" i="50"/>
  <c r="BR61" i="50"/>
  <c r="BQ61" i="50"/>
  <c r="BP61" i="50"/>
  <c r="BO61" i="50"/>
  <c r="BN61" i="50"/>
  <c r="BM61" i="50"/>
  <c r="BL61" i="50"/>
  <c r="BK61" i="50"/>
  <c r="BJ61" i="50"/>
  <c r="BI61" i="50"/>
  <c r="BH61" i="50"/>
  <c r="BG61" i="50"/>
  <c r="BF61" i="50"/>
  <c r="BE61" i="50"/>
  <c r="BD61" i="50"/>
  <c r="BC61" i="50"/>
  <c r="BB61" i="50"/>
  <c r="BA61" i="50"/>
  <c r="AZ61" i="50"/>
  <c r="AY61" i="50"/>
  <c r="AX61" i="50"/>
  <c r="AW61" i="50"/>
  <c r="AV61" i="50"/>
  <c r="AU61" i="50"/>
  <c r="AT61" i="50"/>
  <c r="CL60" i="50"/>
  <c r="CK60" i="50"/>
  <c r="CJ60" i="50"/>
  <c r="CI60" i="50"/>
  <c r="CH60" i="50"/>
  <c r="CG60" i="50"/>
  <c r="CF60" i="50"/>
  <c r="CE60" i="50"/>
  <c r="CD60" i="50"/>
  <c r="CC60" i="50"/>
  <c r="CB60" i="50"/>
  <c r="CA60" i="50"/>
  <c r="BZ60" i="50"/>
  <c r="BY60" i="50"/>
  <c r="BX60" i="50"/>
  <c r="BW60" i="50"/>
  <c r="BV60" i="50"/>
  <c r="BU60" i="50"/>
  <c r="BT60" i="50"/>
  <c r="BS60" i="50"/>
  <c r="BR60" i="50"/>
  <c r="BQ60" i="50"/>
  <c r="BP60" i="50"/>
  <c r="BO60" i="50"/>
  <c r="BN60" i="50"/>
  <c r="BM60" i="50"/>
  <c r="BL60" i="50"/>
  <c r="BK60" i="50"/>
  <c r="BJ60" i="50"/>
  <c r="BI60" i="50"/>
  <c r="BH60" i="50"/>
  <c r="BG60" i="50"/>
  <c r="BF60" i="50"/>
  <c r="BE60" i="50"/>
  <c r="BD60" i="50"/>
  <c r="BC60" i="50"/>
  <c r="BB60" i="50"/>
  <c r="BA60" i="50"/>
  <c r="AZ60" i="50"/>
  <c r="AY60" i="50"/>
  <c r="AX60" i="50"/>
  <c r="AW60" i="50"/>
  <c r="AV60" i="50"/>
  <c r="AU60" i="50"/>
  <c r="AT60" i="50"/>
  <c r="CM60" i="50" s="1"/>
  <c r="CL39" i="50"/>
  <c r="CK39" i="50"/>
  <c r="CJ39" i="50"/>
  <c r="CI39" i="50"/>
  <c r="CH39" i="50"/>
  <c r="CG39" i="50"/>
  <c r="CF39" i="50"/>
  <c r="CE39" i="50"/>
  <c r="CD39" i="50"/>
  <c r="CC39" i="50"/>
  <c r="CB39" i="50"/>
  <c r="CA39" i="50"/>
  <c r="BZ39" i="50"/>
  <c r="BY39" i="50"/>
  <c r="BX39" i="50"/>
  <c r="BW39" i="50"/>
  <c r="BV39" i="50"/>
  <c r="BU39" i="50"/>
  <c r="BT39" i="50"/>
  <c r="BS39" i="50"/>
  <c r="BR39" i="50"/>
  <c r="BQ39" i="50"/>
  <c r="BP39" i="50"/>
  <c r="BO39" i="50"/>
  <c r="BN39" i="50"/>
  <c r="BM39" i="50"/>
  <c r="BL39" i="50"/>
  <c r="BK39" i="50"/>
  <c r="BJ39" i="50"/>
  <c r="BI39" i="50"/>
  <c r="BH39" i="50"/>
  <c r="BG39" i="50"/>
  <c r="BF39" i="50"/>
  <c r="BE39" i="50"/>
  <c r="BD39" i="50"/>
  <c r="BC39" i="50"/>
  <c r="BB39" i="50"/>
  <c r="BA39" i="50"/>
  <c r="AZ39" i="50"/>
  <c r="AY39" i="50"/>
  <c r="AX39" i="50"/>
  <c r="AW39" i="50"/>
  <c r="AV39" i="50"/>
  <c r="AU39" i="50"/>
  <c r="AT39" i="50"/>
  <c r="F22" i="50"/>
  <c r="F21" i="50"/>
  <c r="F20" i="50"/>
  <c r="F19" i="50"/>
  <c r="F18" i="50"/>
  <c r="T66" i="50"/>
  <c r="CM61" i="50" l="1"/>
  <c r="I12" i="87"/>
  <c r="I13" i="76"/>
  <c r="CM48" i="50"/>
  <c r="CM66" i="50"/>
  <c r="CM49" i="50"/>
  <c r="AI69" i="50"/>
  <c r="AI70" i="50"/>
  <c r="I13" i="68"/>
  <c r="I13" i="69"/>
  <c r="G4" i="51"/>
  <c r="I13" i="39"/>
  <c r="AS69" i="50"/>
  <c r="AS70" i="50"/>
  <c r="CM46" i="50"/>
  <c r="CM54" i="50"/>
  <c r="CM65" i="72"/>
  <c r="G70" i="50"/>
  <c r="AC69" i="50"/>
  <c r="AC70" i="50"/>
  <c r="CM39" i="50"/>
  <c r="CM44" i="50"/>
  <c r="CM45" i="50"/>
  <c r="CM47" i="50"/>
  <c r="T67" i="50"/>
  <c r="T68" i="50" s="1"/>
  <c r="AU64" i="50"/>
  <c r="CM64" i="50" s="1"/>
  <c r="AU63" i="50"/>
  <c r="AT51" i="50"/>
  <c r="AX55" i="50"/>
  <c r="BB55" i="50"/>
  <c r="BF55" i="50"/>
  <c r="BJ55" i="50"/>
  <c r="BN55" i="50"/>
  <c r="BR55" i="50"/>
  <c r="BV55" i="50"/>
  <c r="BZ55" i="50"/>
  <c r="CD55" i="50"/>
  <c r="CH55" i="50"/>
  <c r="CL55" i="50"/>
  <c r="AT55" i="50"/>
  <c r="AU55" i="50"/>
  <c r="AY55" i="50"/>
  <c r="BC55" i="50"/>
  <c r="BG55" i="50"/>
  <c r="BK55" i="50"/>
  <c r="BO55" i="50"/>
  <c r="BS55" i="50"/>
  <c r="BW55" i="50"/>
  <c r="CA55" i="50"/>
  <c r="CE55" i="50"/>
  <c r="CI55" i="50"/>
  <c r="AV55" i="50"/>
  <c r="AZ55" i="50"/>
  <c r="BD55" i="50"/>
  <c r="BH55" i="50"/>
  <c r="BL55" i="50"/>
  <c r="BP55" i="50"/>
  <c r="BT55" i="50"/>
  <c r="BX55" i="50"/>
  <c r="CB55" i="50"/>
  <c r="CF55" i="50"/>
  <c r="CJ55" i="50"/>
  <c r="AW55" i="50"/>
  <c r="BA55" i="50"/>
  <c r="BE55" i="50"/>
  <c r="BI55" i="50"/>
  <c r="BM55" i="50"/>
  <c r="BQ55" i="50"/>
  <c r="BU55" i="50"/>
  <c r="BY55" i="50"/>
  <c r="CC55" i="50"/>
  <c r="CG55" i="50"/>
  <c r="CK55" i="50"/>
  <c r="AT50" i="50"/>
  <c r="AT41" i="50"/>
  <c r="AX41" i="50"/>
  <c r="AX62" i="50" s="1"/>
  <c r="AX65" i="50" s="1"/>
  <c r="AX67" i="50" s="1"/>
  <c r="BB41" i="50"/>
  <c r="BB62" i="50" s="1"/>
  <c r="BB65" i="50" s="1"/>
  <c r="BB67" i="50" s="1"/>
  <c r="BF41" i="50"/>
  <c r="BF62" i="50" s="1"/>
  <c r="BF65" i="50" s="1"/>
  <c r="BF67" i="50" s="1"/>
  <c r="BJ41" i="50"/>
  <c r="BJ62" i="50" s="1"/>
  <c r="BJ65" i="50" s="1"/>
  <c r="BJ67" i="50" s="1"/>
  <c r="BN41" i="50"/>
  <c r="BN62" i="50" s="1"/>
  <c r="BN65" i="50" s="1"/>
  <c r="BN67" i="50" s="1"/>
  <c r="BR41" i="50"/>
  <c r="BV41" i="50"/>
  <c r="BZ41" i="50"/>
  <c r="CD41" i="50"/>
  <c r="CH41" i="50"/>
  <c r="CL41" i="50"/>
  <c r="AW50" i="50"/>
  <c r="AW52" i="50" s="1"/>
  <c r="BM50" i="50"/>
  <c r="BM52" i="50" s="1"/>
  <c r="BU50" i="50"/>
  <c r="BU52" i="50" s="1"/>
  <c r="CK50" i="50"/>
  <c r="CK52" i="50" s="1"/>
  <c r="BH51" i="50"/>
  <c r="BH53" i="50" s="1"/>
  <c r="BX51" i="50"/>
  <c r="BX53" i="50" s="1"/>
  <c r="BE50" i="50"/>
  <c r="BE52" i="50" s="1"/>
  <c r="BQ50" i="50"/>
  <c r="BQ52" i="50" s="1"/>
  <c r="CC50" i="50"/>
  <c r="CC52" i="50" s="1"/>
  <c r="AZ51" i="50"/>
  <c r="AZ53" i="50" s="1"/>
  <c r="CF51" i="50"/>
  <c r="CF53" i="50" s="1"/>
  <c r="BA50" i="50"/>
  <c r="BA52" i="50" s="1"/>
  <c r="BI50" i="50"/>
  <c r="BI52" i="50" s="1"/>
  <c r="BY50" i="50"/>
  <c r="BY52" i="50" s="1"/>
  <c r="CG50" i="50"/>
  <c r="CG52" i="50" s="1"/>
  <c r="BP51" i="50"/>
  <c r="BP53" i="50" s="1"/>
  <c r="AU41" i="50"/>
  <c r="AU62" i="50" s="1"/>
  <c r="AY41" i="50"/>
  <c r="AY62" i="50" s="1"/>
  <c r="AY65" i="50" s="1"/>
  <c r="AY67" i="50" s="1"/>
  <c r="BC41" i="50"/>
  <c r="BC62" i="50" s="1"/>
  <c r="BC65" i="50" s="1"/>
  <c r="BC67" i="50" s="1"/>
  <c r="BG41" i="50"/>
  <c r="BG62" i="50" s="1"/>
  <c r="BG65" i="50" s="1"/>
  <c r="BG67" i="50" s="1"/>
  <c r="BK41" i="50"/>
  <c r="BK62" i="50" s="1"/>
  <c r="BK65" i="50" s="1"/>
  <c r="BK67" i="50" s="1"/>
  <c r="BO41" i="50"/>
  <c r="BS41" i="50"/>
  <c r="BW41" i="50"/>
  <c r="CA41" i="50"/>
  <c r="CE41" i="50"/>
  <c r="CI41" i="50"/>
  <c r="AX50" i="50"/>
  <c r="AX52" i="50" s="1"/>
  <c r="BF50" i="50"/>
  <c r="BF52" i="50" s="1"/>
  <c r="BN50" i="50"/>
  <c r="BN52" i="50" s="1"/>
  <c r="BV50" i="50"/>
  <c r="BV52" i="50" s="1"/>
  <c r="CD50" i="50"/>
  <c r="CD52" i="50" s="1"/>
  <c r="CL50" i="50"/>
  <c r="CL52" i="50" s="1"/>
  <c r="CH50" i="50"/>
  <c r="CH52" i="50" s="1"/>
  <c r="AW41" i="50"/>
  <c r="AW62" i="50" s="1"/>
  <c r="AW65" i="50" s="1"/>
  <c r="AW67" i="50" s="1"/>
  <c r="BA41" i="50"/>
  <c r="BA62" i="50" s="1"/>
  <c r="BA65" i="50" s="1"/>
  <c r="BA67" i="50" s="1"/>
  <c r="BE41" i="50"/>
  <c r="BE62" i="50" s="1"/>
  <c r="BE65" i="50" s="1"/>
  <c r="BE67" i="50" s="1"/>
  <c r="BI41" i="50"/>
  <c r="BI62" i="50" s="1"/>
  <c r="BI65" i="50" s="1"/>
  <c r="BI67" i="50" s="1"/>
  <c r="BM41" i="50"/>
  <c r="BM62" i="50" s="1"/>
  <c r="BM65" i="50" s="1"/>
  <c r="BM67" i="50" s="1"/>
  <c r="BQ41" i="50"/>
  <c r="BU41" i="50"/>
  <c r="BY41" i="50"/>
  <c r="CC41" i="50"/>
  <c r="CG41" i="50"/>
  <c r="CK41" i="50"/>
  <c r="AY51" i="50"/>
  <c r="AY53" i="50" s="1"/>
  <c r="BG51" i="50"/>
  <c r="BG53" i="50" s="1"/>
  <c r="BO51" i="50"/>
  <c r="BO53" i="50" s="1"/>
  <c r="BW51" i="50"/>
  <c r="BW53" i="50" s="1"/>
  <c r="CE51" i="50"/>
  <c r="CE53" i="50" s="1"/>
  <c r="AV50" i="50"/>
  <c r="AV52" i="50" s="1"/>
  <c r="BD50" i="50"/>
  <c r="BD52" i="50" s="1"/>
  <c r="BL50" i="50"/>
  <c r="BL52" i="50" s="1"/>
  <c r="BX50" i="50"/>
  <c r="BX52" i="50" s="1"/>
  <c r="CF50" i="50"/>
  <c r="CF52" i="50" s="1"/>
  <c r="BB50" i="50"/>
  <c r="BB52" i="50" s="1"/>
  <c r="AU51" i="50"/>
  <c r="AU53" i="50" s="1"/>
  <c r="BC51" i="50"/>
  <c r="BC53" i="50" s="1"/>
  <c r="BK51" i="50"/>
  <c r="BK53" i="50" s="1"/>
  <c r="BS51" i="50"/>
  <c r="BS53" i="50" s="1"/>
  <c r="CA51" i="50"/>
  <c r="CA53" i="50" s="1"/>
  <c r="CI51" i="50"/>
  <c r="CI53" i="50" s="1"/>
  <c r="AZ50" i="50"/>
  <c r="AZ52" i="50" s="1"/>
  <c r="BH50" i="50"/>
  <c r="BH52" i="50" s="1"/>
  <c r="BP50" i="50"/>
  <c r="BP52" i="50" s="1"/>
  <c r="BT50" i="50"/>
  <c r="BT52" i="50" s="1"/>
  <c r="CB50" i="50"/>
  <c r="CB52" i="50" s="1"/>
  <c r="CJ50" i="50"/>
  <c r="CJ52" i="50" s="1"/>
  <c r="BJ50" i="50"/>
  <c r="BJ52" i="50" s="1"/>
  <c r="BR50" i="50"/>
  <c r="BR52" i="50" s="1"/>
  <c r="BZ50" i="50"/>
  <c r="BZ52" i="50" s="1"/>
  <c r="AT63" i="50"/>
  <c r="CL51" i="50"/>
  <c r="CL53" i="50" s="1"/>
  <c r="CH51" i="50"/>
  <c r="CH53" i="50" s="1"/>
  <c r="CD51" i="50"/>
  <c r="CD53" i="50" s="1"/>
  <c r="BZ51" i="50"/>
  <c r="BZ53" i="50" s="1"/>
  <c r="BV51" i="50"/>
  <c r="BV53" i="50" s="1"/>
  <c r="BR51" i="50"/>
  <c r="BR53" i="50" s="1"/>
  <c r="BN51" i="50"/>
  <c r="BN53" i="50" s="1"/>
  <c r="BJ51" i="50"/>
  <c r="BJ53" i="50" s="1"/>
  <c r="BF51" i="50"/>
  <c r="BF53" i="50" s="1"/>
  <c r="BB51" i="50"/>
  <c r="BB53" i="50" s="1"/>
  <c r="AX51" i="50"/>
  <c r="AX53" i="50" s="1"/>
  <c r="CK51" i="50"/>
  <c r="CK53" i="50" s="1"/>
  <c r="CG51" i="50"/>
  <c r="CG53" i="50" s="1"/>
  <c r="CC51" i="50"/>
  <c r="CC53" i="50" s="1"/>
  <c r="BY51" i="50"/>
  <c r="BY53" i="50" s="1"/>
  <c r="BU51" i="50"/>
  <c r="BU53" i="50" s="1"/>
  <c r="BQ51" i="50"/>
  <c r="BQ53" i="50" s="1"/>
  <c r="BM51" i="50"/>
  <c r="BM53" i="50" s="1"/>
  <c r="BI51" i="50"/>
  <c r="BI53" i="50" s="1"/>
  <c r="BE51" i="50"/>
  <c r="BE53" i="50" s="1"/>
  <c r="BA51" i="50"/>
  <c r="BA53" i="50" s="1"/>
  <c r="AW51" i="50"/>
  <c r="AW53" i="50" s="1"/>
  <c r="AV41" i="50"/>
  <c r="AV62" i="50" s="1"/>
  <c r="AV65" i="50" s="1"/>
  <c r="AV67" i="50" s="1"/>
  <c r="AZ41" i="50"/>
  <c r="AZ62" i="50" s="1"/>
  <c r="AZ65" i="50" s="1"/>
  <c r="AZ67" i="50" s="1"/>
  <c r="BD41" i="50"/>
  <c r="BD62" i="50" s="1"/>
  <c r="BD65" i="50" s="1"/>
  <c r="BD67" i="50" s="1"/>
  <c r="BH41" i="50"/>
  <c r="BH62" i="50" s="1"/>
  <c r="BH65" i="50" s="1"/>
  <c r="BH67" i="50" s="1"/>
  <c r="BL41" i="50"/>
  <c r="BL62" i="50" s="1"/>
  <c r="BL65" i="50" s="1"/>
  <c r="BL67" i="50" s="1"/>
  <c r="BP41" i="50"/>
  <c r="BT41" i="50"/>
  <c r="BX41" i="50"/>
  <c r="CB41" i="50"/>
  <c r="CF41" i="50"/>
  <c r="CJ41" i="50"/>
  <c r="FV41" i="50"/>
  <c r="AU50" i="50"/>
  <c r="AU52" i="50" s="1"/>
  <c r="AY50" i="50"/>
  <c r="AY52" i="50" s="1"/>
  <c r="BC50" i="50"/>
  <c r="BC52" i="50" s="1"/>
  <c r="BG50" i="50"/>
  <c r="BG52" i="50" s="1"/>
  <c r="BK50" i="50"/>
  <c r="BK52" i="50" s="1"/>
  <c r="BO50" i="50"/>
  <c r="BO52" i="50" s="1"/>
  <c r="BS50" i="50"/>
  <c r="BS52" i="50" s="1"/>
  <c r="BW50" i="50"/>
  <c r="BW52" i="50" s="1"/>
  <c r="CA50" i="50"/>
  <c r="CA52" i="50" s="1"/>
  <c r="CE50" i="50"/>
  <c r="CE52" i="50" s="1"/>
  <c r="CI50" i="50"/>
  <c r="CI52" i="50" s="1"/>
  <c r="AV51" i="50"/>
  <c r="AV53" i="50" s="1"/>
  <c r="BD51" i="50"/>
  <c r="BD53" i="50" s="1"/>
  <c r="BL51" i="50"/>
  <c r="BL53" i="50" s="1"/>
  <c r="BT51" i="50"/>
  <c r="BT53" i="50" s="1"/>
  <c r="CB51" i="50"/>
  <c r="CB53" i="50" s="1"/>
  <c r="CJ51" i="50"/>
  <c r="CJ53" i="50" s="1"/>
  <c r="J12" i="87" l="1"/>
  <c r="J13" i="76"/>
  <c r="CM63" i="50"/>
  <c r="CM50" i="50"/>
  <c r="H4" i="51"/>
  <c r="J13" i="68"/>
  <c r="J13" i="69"/>
  <c r="J13" i="39"/>
  <c r="CM55" i="50"/>
  <c r="CM51" i="50"/>
  <c r="AT62" i="50"/>
  <c r="CM41" i="50"/>
  <c r="T69" i="50"/>
  <c r="AT53" i="50"/>
  <c r="CM53" i="50" s="1"/>
  <c r="T70" i="50"/>
  <c r="AU65" i="50"/>
  <c r="AU67" i="50" s="1"/>
  <c r="AT52" i="50"/>
  <c r="CM52" i="50" s="1"/>
  <c r="CF62" i="50"/>
  <c r="CF65" i="50" s="1"/>
  <c r="CF67" i="50" s="1"/>
  <c r="CF68" i="50" s="1"/>
  <c r="CF69" i="50" s="1"/>
  <c r="BP62" i="50"/>
  <c r="BP65" i="50" s="1"/>
  <c r="BP67" i="50" s="1"/>
  <c r="BP68" i="50" s="1"/>
  <c r="BP69" i="50" s="1"/>
  <c r="CC62" i="50"/>
  <c r="CC65" i="50" s="1"/>
  <c r="CC67" i="50" s="1"/>
  <c r="CC68" i="50" s="1"/>
  <c r="CC69" i="50" s="1"/>
  <c r="CA62" i="50"/>
  <c r="CA65" i="50" s="1"/>
  <c r="CA67" i="50" s="1"/>
  <c r="CA68" i="50" s="1"/>
  <c r="CA69" i="50" s="1"/>
  <c r="CD62" i="50"/>
  <c r="CD65" i="50" s="1"/>
  <c r="CD67" i="50" s="1"/>
  <c r="CD68" i="50" s="1"/>
  <c r="CD69" i="50" s="1"/>
  <c r="CB62" i="50"/>
  <c r="CB65" i="50" s="1"/>
  <c r="CB67" i="50" s="1"/>
  <c r="CB68" i="50" s="1"/>
  <c r="CB69" i="50" s="1"/>
  <c r="BW62" i="50"/>
  <c r="BW65" i="50" s="1"/>
  <c r="BW67" i="50" s="1"/>
  <c r="BW68" i="50" s="1"/>
  <c r="BW69" i="50" s="1"/>
  <c r="BZ62" i="50"/>
  <c r="BZ65" i="50" s="1"/>
  <c r="BZ67" i="50" s="1"/>
  <c r="BZ68" i="50" s="1"/>
  <c r="BZ69" i="50" s="1"/>
  <c r="BY62" i="50"/>
  <c r="BY65" i="50" s="1"/>
  <c r="BY67" i="50" s="1"/>
  <c r="BY68" i="50" s="1"/>
  <c r="BY69" i="50" s="1"/>
  <c r="BX62" i="50"/>
  <c r="BX65" i="50" s="1"/>
  <c r="BX67" i="50" s="1"/>
  <c r="BX68" i="50" s="1"/>
  <c r="BX69" i="50" s="1"/>
  <c r="CK62" i="50"/>
  <c r="CK65" i="50" s="1"/>
  <c r="CK67" i="50" s="1"/>
  <c r="CK68" i="50" s="1"/>
  <c r="CK69" i="50" s="1"/>
  <c r="BU62" i="50"/>
  <c r="BU65" i="50" s="1"/>
  <c r="BU67" i="50" s="1"/>
  <c r="BU68" i="50" s="1"/>
  <c r="BU69" i="50" s="1"/>
  <c r="CI62" i="50"/>
  <c r="CI65" i="50" s="1"/>
  <c r="CI67" i="50" s="1"/>
  <c r="CI68" i="50" s="1"/>
  <c r="CI69" i="50" s="1"/>
  <c r="BS62" i="50"/>
  <c r="BS65" i="50" s="1"/>
  <c r="BS67" i="50" s="1"/>
  <c r="BS68" i="50" s="1"/>
  <c r="BS69" i="50" s="1"/>
  <c r="CL62" i="50"/>
  <c r="CL65" i="50" s="1"/>
  <c r="CL67" i="50" s="1"/>
  <c r="CL68" i="50" s="1"/>
  <c r="CL69" i="50" s="1"/>
  <c r="BV62" i="50"/>
  <c r="BV65" i="50" s="1"/>
  <c r="BV67" i="50" s="1"/>
  <c r="BV68" i="50" s="1"/>
  <c r="BV69" i="50" s="1"/>
  <c r="CJ62" i="50"/>
  <c r="CJ65" i="50" s="1"/>
  <c r="CJ67" i="50" s="1"/>
  <c r="CJ68" i="50" s="1"/>
  <c r="CJ69" i="50" s="1"/>
  <c r="BT62" i="50"/>
  <c r="BT65" i="50" s="1"/>
  <c r="BT67" i="50" s="1"/>
  <c r="BT68" i="50" s="1"/>
  <c r="BT69" i="50" s="1"/>
  <c r="CG62" i="50"/>
  <c r="CG65" i="50" s="1"/>
  <c r="CG67" i="50" s="1"/>
  <c r="CG68" i="50" s="1"/>
  <c r="CG69" i="50" s="1"/>
  <c r="BQ62" i="50"/>
  <c r="BQ65" i="50" s="1"/>
  <c r="BQ67" i="50" s="1"/>
  <c r="BQ68" i="50" s="1"/>
  <c r="BQ69" i="50" s="1"/>
  <c r="CE62" i="50"/>
  <c r="CE65" i="50" s="1"/>
  <c r="CE67" i="50" s="1"/>
  <c r="CE68" i="50" s="1"/>
  <c r="CE69" i="50" s="1"/>
  <c r="BO62" i="50"/>
  <c r="BO65" i="50" s="1"/>
  <c r="BO67" i="50" s="1"/>
  <c r="BO68" i="50" s="1"/>
  <c r="BO69" i="50" s="1"/>
  <c r="CH62" i="50"/>
  <c r="CH65" i="50" s="1"/>
  <c r="CH67" i="50" s="1"/>
  <c r="CH68" i="50" s="1"/>
  <c r="CH69" i="50" s="1"/>
  <c r="BR62" i="50"/>
  <c r="BR65" i="50" s="1"/>
  <c r="BR67" i="50" s="1"/>
  <c r="BR68" i="50" s="1"/>
  <c r="BR69" i="50" s="1"/>
  <c r="D20" i="19"/>
  <c r="H20" i="19" s="1"/>
  <c r="F20" i="19" s="1"/>
  <c r="J20" i="19" s="1"/>
  <c r="BE68" i="50"/>
  <c r="BE69" i="50" s="1"/>
  <c r="AZ68" i="50"/>
  <c r="AZ69" i="50" s="1"/>
  <c r="BN68" i="50"/>
  <c r="BN69" i="50" s="1"/>
  <c r="BJ68" i="50"/>
  <c r="BJ69" i="50" s="1"/>
  <c r="AV68" i="50"/>
  <c r="AV69" i="50" s="1"/>
  <c r="BL68" i="50"/>
  <c r="BL69" i="50" s="1"/>
  <c r="AU68" i="50"/>
  <c r="AU69" i="50" s="1"/>
  <c r="BF68" i="50"/>
  <c r="BF69" i="50" s="1"/>
  <c r="BI68" i="50"/>
  <c r="BI69" i="50" s="1"/>
  <c r="BB68" i="50"/>
  <c r="BB69" i="50" s="1"/>
  <c r="AY68" i="50"/>
  <c r="AY69" i="50" s="1"/>
  <c r="BC68" i="50"/>
  <c r="BC69" i="50" s="1"/>
  <c r="AX68" i="50"/>
  <c r="AX69" i="50" s="1"/>
  <c r="BH68" i="50"/>
  <c r="BH69" i="50" s="1"/>
  <c r="BK68" i="50"/>
  <c r="BK69" i="50" s="1"/>
  <c r="BG68" i="50"/>
  <c r="BG69" i="50" s="1"/>
  <c r="BD68" i="50"/>
  <c r="BD69" i="50" s="1"/>
  <c r="BM68" i="50"/>
  <c r="BM69" i="50" s="1"/>
  <c r="AW68" i="50"/>
  <c r="AW69" i="50" s="1"/>
  <c r="BA68" i="50"/>
  <c r="BA69" i="50" s="1"/>
  <c r="AT65" i="50"/>
  <c r="K12" i="87" l="1"/>
  <c r="K13" i="76"/>
  <c r="I4" i="51"/>
  <c r="K13" i="68"/>
  <c r="K13" i="69"/>
  <c r="K13" i="39"/>
  <c r="CM65" i="50"/>
  <c r="CM62" i="50"/>
  <c r="AT67" i="50"/>
  <c r="AX70" i="50"/>
  <c r="BL70" i="50"/>
  <c r="AV70" i="50"/>
  <c r="AW70" i="50"/>
  <c r="BK70" i="50"/>
  <c r="BW70" i="50"/>
  <c r="CG70" i="50"/>
  <c r="BO70" i="50"/>
  <c r="CL70" i="50"/>
  <c r="CJ70" i="50"/>
  <c r="BN70" i="50"/>
  <c r="BU70" i="50"/>
  <c r="CF70" i="50"/>
  <c r="BJ70" i="50"/>
  <c r="BT70" i="50"/>
  <c r="CB70" i="50"/>
  <c r="BC70" i="50"/>
  <c r="BH70" i="50"/>
  <c r="CH70" i="50"/>
  <c r="BQ70" i="50"/>
  <c r="CD70" i="50"/>
  <c r="BX70" i="50"/>
  <c r="CC70" i="50"/>
  <c r="AU70" i="50"/>
  <c r="AY70" i="50"/>
  <c r="BF70" i="50"/>
  <c r="BV70" i="50"/>
  <c r="BP70" i="50"/>
  <c r="BR70" i="50"/>
  <c r="BA70" i="50"/>
  <c r="CA70" i="50"/>
  <c r="BY70" i="50"/>
  <c r="CE70" i="50"/>
  <c r="CK70" i="50"/>
  <c r="BG70" i="50"/>
  <c r="BB70" i="50"/>
  <c r="BD70" i="50"/>
  <c r="BM70" i="50"/>
  <c r="BS70" i="50"/>
  <c r="AZ70" i="50"/>
  <c r="BZ70" i="50"/>
  <c r="BI70" i="50"/>
  <c r="CI70" i="50"/>
  <c r="BE70" i="50"/>
  <c r="CM67" i="50"/>
  <c r="L12" i="87" l="1"/>
  <c r="L13" i="76"/>
  <c r="J4" i="51"/>
  <c r="L13" i="68"/>
  <c r="L13" i="69"/>
  <c r="L13" i="39"/>
  <c r="AT68" i="50"/>
  <c r="M12" i="87" l="1"/>
  <c r="M13" i="76"/>
  <c r="K4" i="51"/>
  <c r="M13" i="68"/>
  <c r="M13" i="69"/>
  <c r="M13" i="39"/>
  <c r="AT69" i="50"/>
  <c r="CM69" i="50" s="1"/>
  <c r="CM68" i="50"/>
  <c r="AT70" i="50"/>
  <c r="N12" i="87" l="1"/>
  <c r="N13" i="76"/>
  <c r="L4" i="51"/>
  <c r="N13" i="68"/>
  <c r="N13" i="69"/>
  <c r="N13" i="39"/>
  <c r="CM70" i="50"/>
  <c r="D8" i="17"/>
  <c r="E8" i="17" s="1"/>
  <c r="O12" i="87" l="1"/>
  <c r="O13" i="76"/>
  <c r="M4" i="51"/>
  <c r="O13" i="68"/>
  <c r="O13" i="69"/>
  <c r="O13" i="39"/>
  <c r="P12" i="87" l="1"/>
  <c r="P13" i="76"/>
  <c r="N4" i="51"/>
  <c r="P13" i="68"/>
  <c r="P13" i="69"/>
  <c r="P13" i="39"/>
  <c r="D24" i="13"/>
  <c r="Q12" i="87" l="1"/>
  <c r="Q13" i="76"/>
  <c r="O4" i="51"/>
  <c r="Q13" i="68"/>
  <c r="Q13" i="69"/>
  <c r="Q13" i="39"/>
  <c r="E24" i="13"/>
  <c r="I15" i="68" s="1"/>
  <c r="H15" i="68"/>
  <c r="R12" i="87" l="1"/>
  <c r="R13" i="76"/>
  <c r="P4" i="51"/>
  <c r="R13" i="68"/>
  <c r="R13" i="69"/>
  <c r="R13" i="39"/>
  <c r="F24" i="13"/>
  <c r="J15" i="68" s="1"/>
  <c r="S12" i="87" l="1"/>
  <c r="S13" i="76"/>
  <c r="Q4" i="51"/>
  <c r="S13" i="68"/>
  <c r="S13" i="69"/>
  <c r="S13" i="39"/>
  <c r="G24" i="13"/>
  <c r="K15" i="68" s="1"/>
  <c r="B7" i="48"/>
  <c r="C7" i="48"/>
  <c r="D7" i="48"/>
  <c r="E7" i="48"/>
  <c r="F7" i="48"/>
  <c r="G7" i="48"/>
  <c r="H7" i="48"/>
  <c r="I7" i="48"/>
  <c r="J7" i="48"/>
  <c r="K7" i="48"/>
  <c r="G15" i="47"/>
  <c r="B8" i="47"/>
  <c r="E8" i="48" l="1"/>
  <c r="D8" i="47"/>
  <c r="T12" i="87"/>
  <c r="T13" i="76"/>
  <c r="I19" i="72"/>
  <c r="M19" i="72"/>
  <c r="Q19" i="72"/>
  <c r="U19" i="72"/>
  <c r="Y19" i="72"/>
  <c r="AC19" i="72"/>
  <c r="AG19" i="72"/>
  <c r="AK19" i="72"/>
  <c r="AO19" i="72"/>
  <c r="AS19" i="72"/>
  <c r="AW19" i="72"/>
  <c r="BA19" i="72"/>
  <c r="BE19" i="72"/>
  <c r="BI19" i="72"/>
  <c r="BM19" i="72"/>
  <c r="BQ19" i="72"/>
  <c r="BU19" i="72"/>
  <c r="BY19" i="72"/>
  <c r="CC19" i="72"/>
  <c r="CG19" i="72"/>
  <c r="CK19" i="72"/>
  <c r="L19" i="72"/>
  <c r="R19" i="72"/>
  <c r="W19" i="72"/>
  <c r="AB19" i="72"/>
  <c r="AH19" i="72"/>
  <c r="AM19" i="72"/>
  <c r="AR19" i="72"/>
  <c r="AX19" i="72"/>
  <c r="BC19" i="72"/>
  <c r="BH19" i="72"/>
  <c r="BN19" i="72"/>
  <c r="BS19" i="72"/>
  <c r="BX19" i="72"/>
  <c r="CD19" i="72"/>
  <c r="CI19" i="72"/>
  <c r="J19" i="72"/>
  <c r="P19" i="72"/>
  <c r="X19" i="72"/>
  <c r="AE19" i="72"/>
  <c r="AL19" i="72"/>
  <c r="AT19" i="72"/>
  <c r="AZ19" i="72"/>
  <c r="BG19" i="72"/>
  <c r="BO19" i="72"/>
  <c r="BV19" i="72"/>
  <c r="CB19" i="72"/>
  <c r="CJ19" i="72"/>
  <c r="K19" i="72"/>
  <c r="S19" i="72"/>
  <c r="Z19" i="72"/>
  <c r="AF19" i="72"/>
  <c r="AN19" i="72"/>
  <c r="AU19" i="72"/>
  <c r="BB19" i="72"/>
  <c r="BJ19" i="72"/>
  <c r="BP19" i="72"/>
  <c r="BW19" i="72"/>
  <c r="CE19" i="72"/>
  <c r="CL19" i="72"/>
  <c r="N19" i="72"/>
  <c r="T19" i="72"/>
  <c r="AA19" i="72"/>
  <c r="AI19" i="72"/>
  <c r="AP19" i="72"/>
  <c r="AV19" i="72"/>
  <c r="BD19" i="72"/>
  <c r="BK19" i="72"/>
  <c r="BR19" i="72"/>
  <c r="BZ19" i="72"/>
  <c r="CF19" i="72"/>
  <c r="CM19" i="72"/>
  <c r="O19" i="72"/>
  <c r="AQ19" i="72"/>
  <c r="BT19" i="72"/>
  <c r="H19" i="72"/>
  <c r="V19" i="72"/>
  <c r="AY19" i="72"/>
  <c r="CA19" i="72"/>
  <c r="BL19" i="72"/>
  <c r="AD19" i="72"/>
  <c r="BF19" i="72"/>
  <c r="CH19" i="72"/>
  <c r="AJ19" i="72"/>
  <c r="R4" i="51"/>
  <c r="T13" i="68"/>
  <c r="T13" i="69"/>
  <c r="T13" i="39"/>
  <c r="H24" i="13"/>
  <c r="L15" i="68" s="1"/>
  <c r="C17" i="47"/>
  <c r="G8" i="48"/>
  <c r="C8" i="48"/>
  <c r="H8" i="48"/>
  <c r="D8" i="48"/>
  <c r="C14" i="47"/>
  <c r="C11" i="47"/>
  <c r="I8" i="48"/>
  <c r="J8" i="48"/>
  <c r="C20" i="47"/>
  <c r="C7" i="47"/>
  <c r="G18" i="47"/>
  <c r="G14" i="47"/>
  <c r="I12" i="48"/>
  <c r="E12" i="48"/>
  <c r="E13" i="48" s="1"/>
  <c r="E14" i="48" s="1"/>
  <c r="C21" i="47"/>
  <c r="D21" i="47" s="1"/>
  <c r="C16" i="47"/>
  <c r="C4" i="47"/>
  <c r="G21" i="47"/>
  <c r="G17" i="47"/>
  <c r="G13" i="47"/>
  <c r="H12" i="48"/>
  <c r="D12" i="48"/>
  <c r="K8" i="48"/>
  <c r="F8" i="48"/>
  <c r="B8" i="48"/>
  <c r="E9" i="48" s="1"/>
  <c r="G20" i="47"/>
  <c r="G16" i="47"/>
  <c r="G12" i="47"/>
  <c r="K12" i="48"/>
  <c r="G12" i="48"/>
  <c r="C12" i="48"/>
  <c r="C18" i="47"/>
  <c r="C13" i="47"/>
  <c r="G19" i="47"/>
  <c r="J12" i="48"/>
  <c r="F12" i="48"/>
  <c r="B12" i="48"/>
  <c r="C12" i="47"/>
  <c r="C6" i="47"/>
  <c r="C19" i="47"/>
  <c r="C15" i="47"/>
  <c r="C5" i="47"/>
  <c r="U12" i="87" l="1"/>
  <c r="U13" i="76"/>
  <c r="I20" i="48"/>
  <c r="B20" i="48"/>
  <c r="H20" i="48"/>
  <c r="K20" i="48"/>
  <c r="C20" i="48"/>
  <c r="C23" i="48" s="1"/>
  <c r="D20" i="48"/>
  <c r="E20" i="48"/>
  <c r="F20" i="48"/>
  <c r="J20" i="48"/>
  <c r="G20" i="48"/>
  <c r="B2" i="48"/>
  <c r="B23" i="48" s="1"/>
  <c r="D11" i="47"/>
  <c r="F2" i="48"/>
  <c r="D15" i="47"/>
  <c r="K2" i="48"/>
  <c r="D20" i="47"/>
  <c r="E2" i="48"/>
  <c r="D14" i="47"/>
  <c r="S4" i="51"/>
  <c r="U13" i="68"/>
  <c r="U13" i="69"/>
  <c r="U13" i="39"/>
  <c r="C2" i="48"/>
  <c r="D12" i="47"/>
  <c r="D2" i="48"/>
  <c r="D13" i="47"/>
  <c r="J2" i="48"/>
  <c r="D19" i="47"/>
  <c r="I2" i="48"/>
  <c r="D18" i="47"/>
  <c r="BS17" i="72"/>
  <c r="BS66" i="72" s="1"/>
  <c r="BS67" i="72" s="1"/>
  <c r="BW17" i="72"/>
  <c r="BW66" i="72" s="1"/>
  <c r="BW67" i="72" s="1"/>
  <c r="CA17" i="72"/>
  <c r="CA66" i="72" s="1"/>
  <c r="CA67" i="72" s="1"/>
  <c r="CE17" i="72"/>
  <c r="CE66" i="72" s="1"/>
  <c r="CE67" i="72" s="1"/>
  <c r="CI17" i="72"/>
  <c r="CI66" i="72" s="1"/>
  <c r="CI67" i="72" s="1"/>
  <c r="CM17" i="72"/>
  <c r="K17" i="72"/>
  <c r="K66" i="72" s="1"/>
  <c r="K67" i="72" s="1"/>
  <c r="O17" i="72"/>
  <c r="O66" i="72" s="1"/>
  <c r="O67" i="72" s="1"/>
  <c r="S17" i="72"/>
  <c r="S66" i="72" s="1"/>
  <c r="S67" i="72" s="1"/>
  <c r="W17" i="72"/>
  <c r="W66" i="72" s="1"/>
  <c r="W67" i="72" s="1"/>
  <c r="AA17" i="72"/>
  <c r="AA66" i="72" s="1"/>
  <c r="AA67" i="72" s="1"/>
  <c r="AE17" i="72"/>
  <c r="AE66" i="72" s="1"/>
  <c r="AE67" i="72" s="1"/>
  <c r="AI17" i="72"/>
  <c r="AI66" i="72" s="1"/>
  <c r="AI67" i="72" s="1"/>
  <c r="AM17" i="72"/>
  <c r="AM66" i="72" s="1"/>
  <c r="AM67" i="72" s="1"/>
  <c r="AQ17" i="72"/>
  <c r="AQ66" i="72" s="1"/>
  <c r="AQ67" i="72" s="1"/>
  <c r="AU17" i="72"/>
  <c r="AU66" i="72" s="1"/>
  <c r="AU67" i="72" s="1"/>
  <c r="AY17" i="72"/>
  <c r="AY66" i="72" s="1"/>
  <c r="AY67" i="72" s="1"/>
  <c r="BC17" i="72"/>
  <c r="BC66" i="72" s="1"/>
  <c r="BC67" i="72" s="1"/>
  <c r="BG17" i="72"/>
  <c r="BG66" i="72" s="1"/>
  <c r="BG67" i="72" s="1"/>
  <c r="BK17" i="72"/>
  <c r="BK66" i="72" s="1"/>
  <c r="BK67" i="72" s="1"/>
  <c r="BO17" i="72"/>
  <c r="BO66" i="72" s="1"/>
  <c r="BO67" i="72" s="1"/>
  <c r="BQ17" i="72"/>
  <c r="BQ66" i="72" s="1"/>
  <c r="BQ67" i="72" s="1"/>
  <c r="BV17" i="72"/>
  <c r="BV66" i="72" s="1"/>
  <c r="BV67" i="72" s="1"/>
  <c r="CB17" i="72"/>
  <c r="CB66" i="72" s="1"/>
  <c r="CB67" i="72" s="1"/>
  <c r="CG17" i="72"/>
  <c r="CG66" i="72" s="1"/>
  <c r="CG67" i="72" s="1"/>
  <c r="CL17" i="72"/>
  <c r="CL66" i="72" s="1"/>
  <c r="CL67" i="72" s="1"/>
  <c r="L17" i="72"/>
  <c r="L66" i="72" s="1"/>
  <c r="L67" i="72" s="1"/>
  <c r="Q17" i="72"/>
  <c r="Q66" i="72" s="1"/>
  <c r="Q67" i="72" s="1"/>
  <c r="V17" i="72"/>
  <c r="V66" i="72" s="1"/>
  <c r="V67" i="72" s="1"/>
  <c r="AB17" i="72"/>
  <c r="AB66" i="72" s="1"/>
  <c r="AB67" i="72" s="1"/>
  <c r="AG17" i="72"/>
  <c r="AG66" i="72" s="1"/>
  <c r="AG67" i="72" s="1"/>
  <c r="AL17" i="72"/>
  <c r="AL66" i="72" s="1"/>
  <c r="AL67" i="72" s="1"/>
  <c r="AR17" i="72"/>
  <c r="AR66" i="72" s="1"/>
  <c r="AR67" i="72" s="1"/>
  <c r="AW17" i="72"/>
  <c r="AW66" i="72" s="1"/>
  <c r="AW67" i="72" s="1"/>
  <c r="BB17" i="72"/>
  <c r="BB66" i="72" s="1"/>
  <c r="BB67" i="72" s="1"/>
  <c r="BH17" i="72"/>
  <c r="BH66" i="72" s="1"/>
  <c r="BH67" i="72" s="1"/>
  <c r="BM17" i="72"/>
  <c r="BM66" i="72" s="1"/>
  <c r="BM67" i="72" s="1"/>
  <c r="BR17" i="72"/>
  <c r="BR66" i="72" s="1"/>
  <c r="BR67" i="72" s="1"/>
  <c r="BX17" i="72"/>
  <c r="BX66" i="72" s="1"/>
  <c r="BX67" i="72" s="1"/>
  <c r="CC17" i="72"/>
  <c r="CC66" i="72" s="1"/>
  <c r="CC67" i="72" s="1"/>
  <c r="CH17" i="72"/>
  <c r="CH66" i="72" s="1"/>
  <c r="CH67" i="72" s="1"/>
  <c r="H17" i="72"/>
  <c r="H66" i="72" s="1"/>
  <c r="H67" i="72" s="1"/>
  <c r="M17" i="72"/>
  <c r="M66" i="72" s="1"/>
  <c r="M67" i="72" s="1"/>
  <c r="R17" i="72"/>
  <c r="R66" i="72" s="1"/>
  <c r="R67" i="72" s="1"/>
  <c r="X17" i="72"/>
  <c r="X66" i="72" s="1"/>
  <c r="X67" i="72" s="1"/>
  <c r="AC17" i="72"/>
  <c r="AC66" i="72" s="1"/>
  <c r="AC67" i="72" s="1"/>
  <c r="AH17" i="72"/>
  <c r="AH66" i="72" s="1"/>
  <c r="AH67" i="72" s="1"/>
  <c r="AN17" i="72"/>
  <c r="AN66" i="72" s="1"/>
  <c r="AN67" i="72" s="1"/>
  <c r="AS17" i="72"/>
  <c r="AS66" i="72" s="1"/>
  <c r="AS67" i="72" s="1"/>
  <c r="AX17" i="72"/>
  <c r="AX66" i="72" s="1"/>
  <c r="AX67" i="72" s="1"/>
  <c r="BD17" i="72"/>
  <c r="BD66" i="72" s="1"/>
  <c r="BD67" i="72" s="1"/>
  <c r="BI17" i="72"/>
  <c r="BI66" i="72" s="1"/>
  <c r="BI67" i="72" s="1"/>
  <c r="BN17" i="72"/>
  <c r="BN66" i="72" s="1"/>
  <c r="BN67" i="72" s="1"/>
  <c r="BT17" i="72"/>
  <c r="BT66" i="72" s="1"/>
  <c r="BT67" i="72" s="1"/>
  <c r="BY17" i="72"/>
  <c r="BY66" i="72" s="1"/>
  <c r="BY67" i="72" s="1"/>
  <c r="CD17" i="72"/>
  <c r="CD66" i="72" s="1"/>
  <c r="CD67" i="72" s="1"/>
  <c r="CJ17" i="72"/>
  <c r="CJ66" i="72" s="1"/>
  <c r="CJ67" i="72" s="1"/>
  <c r="I17" i="72"/>
  <c r="I66" i="72" s="1"/>
  <c r="I67" i="72" s="1"/>
  <c r="N17" i="72"/>
  <c r="N66" i="72" s="1"/>
  <c r="N67" i="72" s="1"/>
  <c r="T17" i="72"/>
  <c r="T66" i="72" s="1"/>
  <c r="T67" i="72" s="1"/>
  <c r="Y17" i="72"/>
  <c r="Y66" i="72" s="1"/>
  <c r="Y67" i="72" s="1"/>
  <c r="AD17" i="72"/>
  <c r="AD66" i="72" s="1"/>
  <c r="AD67" i="72" s="1"/>
  <c r="AJ17" i="72"/>
  <c r="AJ66" i="72" s="1"/>
  <c r="AJ67" i="72" s="1"/>
  <c r="AO17" i="72"/>
  <c r="AO66" i="72" s="1"/>
  <c r="AO67" i="72" s="1"/>
  <c r="AT17" i="72"/>
  <c r="AT66" i="72" s="1"/>
  <c r="AT67" i="72" s="1"/>
  <c r="AZ17" i="72"/>
  <c r="AZ66" i="72" s="1"/>
  <c r="AZ67" i="72" s="1"/>
  <c r="BE17" i="72"/>
  <c r="BE66" i="72" s="1"/>
  <c r="BE67" i="72" s="1"/>
  <c r="BJ17" i="72"/>
  <c r="BJ66" i="72" s="1"/>
  <c r="BJ67" i="72" s="1"/>
  <c r="G17" i="72"/>
  <c r="G66" i="72" s="1"/>
  <c r="BU17" i="72"/>
  <c r="BU66" i="72" s="1"/>
  <c r="BU67" i="72" s="1"/>
  <c r="J17" i="72"/>
  <c r="J66" i="72" s="1"/>
  <c r="J67" i="72" s="1"/>
  <c r="AF17" i="72"/>
  <c r="AF66" i="72" s="1"/>
  <c r="AF67" i="72" s="1"/>
  <c r="BA17" i="72"/>
  <c r="BA66" i="72" s="1"/>
  <c r="BA67" i="72" s="1"/>
  <c r="Z17" i="72"/>
  <c r="Z66" i="72" s="1"/>
  <c r="Z67" i="72" s="1"/>
  <c r="BZ17" i="72"/>
  <c r="BZ66" i="72" s="1"/>
  <c r="BZ67" i="72" s="1"/>
  <c r="P17" i="72"/>
  <c r="P66" i="72" s="1"/>
  <c r="P67" i="72" s="1"/>
  <c r="AK17" i="72"/>
  <c r="AK66" i="72" s="1"/>
  <c r="AK67" i="72" s="1"/>
  <c r="BF17" i="72"/>
  <c r="BF66" i="72" s="1"/>
  <c r="BF67" i="72" s="1"/>
  <c r="CK17" i="72"/>
  <c r="CK66" i="72" s="1"/>
  <c r="CK67" i="72" s="1"/>
  <c r="CF17" i="72"/>
  <c r="CF66" i="72" s="1"/>
  <c r="CF67" i="72" s="1"/>
  <c r="U17" i="72"/>
  <c r="U66" i="72" s="1"/>
  <c r="U67" i="72" s="1"/>
  <c r="AP17" i="72"/>
  <c r="AP66" i="72" s="1"/>
  <c r="AP67" i="72" s="1"/>
  <c r="BL17" i="72"/>
  <c r="BL66" i="72" s="1"/>
  <c r="BL67" i="72" s="1"/>
  <c r="BP17" i="72"/>
  <c r="BP66" i="72" s="1"/>
  <c r="BP67" i="72" s="1"/>
  <c r="AV17" i="72"/>
  <c r="AV66" i="72" s="1"/>
  <c r="AV67" i="72" s="1"/>
  <c r="G2" i="48"/>
  <c r="D16" i="47"/>
  <c r="H18" i="72"/>
  <c r="H54" i="72" s="1"/>
  <c r="L18" i="72"/>
  <c r="L54" i="72" s="1"/>
  <c r="P18" i="72"/>
  <c r="P54" i="72" s="1"/>
  <c r="T18" i="72"/>
  <c r="T54" i="72" s="1"/>
  <c r="X18" i="72"/>
  <c r="X54" i="72" s="1"/>
  <c r="AB18" i="72"/>
  <c r="AB54" i="72" s="1"/>
  <c r="AF18" i="72"/>
  <c r="AF54" i="72" s="1"/>
  <c r="AJ18" i="72"/>
  <c r="AJ54" i="72" s="1"/>
  <c r="AN18" i="72"/>
  <c r="AN54" i="72" s="1"/>
  <c r="AR18" i="72"/>
  <c r="AR54" i="72" s="1"/>
  <c r="AV18" i="72"/>
  <c r="AV54" i="72" s="1"/>
  <c r="AZ18" i="72"/>
  <c r="AZ54" i="72" s="1"/>
  <c r="BD18" i="72"/>
  <c r="BD54" i="72" s="1"/>
  <c r="BH18" i="72"/>
  <c r="BH54" i="72" s="1"/>
  <c r="BL18" i="72"/>
  <c r="BL54" i="72" s="1"/>
  <c r="BP18" i="72"/>
  <c r="BP54" i="72" s="1"/>
  <c r="BT18" i="72"/>
  <c r="BT54" i="72" s="1"/>
  <c r="BX18" i="72"/>
  <c r="BX54" i="72" s="1"/>
  <c r="CB18" i="72"/>
  <c r="CB54" i="72" s="1"/>
  <c r="CF18" i="72"/>
  <c r="CF54" i="72" s="1"/>
  <c r="CJ18" i="72"/>
  <c r="CJ54" i="72" s="1"/>
  <c r="M18" i="72"/>
  <c r="M54" i="72" s="1"/>
  <c r="R18" i="72"/>
  <c r="R54" i="72" s="1"/>
  <c r="W18" i="72"/>
  <c r="W54" i="72" s="1"/>
  <c r="AC18" i="72"/>
  <c r="AC54" i="72" s="1"/>
  <c r="AH18" i="72"/>
  <c r="AH54" i="72" s="1"/>
  <c r="AM18" i="72"/>
  <c r="AM54" i="72" s="1"/>
  <c r="AS18" i="72"/>
  <c r="AS54" i="72" s="1"/>
  <c r="AX18" i="72"/>
  <c r="AX54" i="72" s="1"/>
  <c r="BC18" i="72"/>
  <c r="BC54" i="72" s="1"/>
  <c r="BI18" i="72"/>
  <c r="BI54" i="72" s="1"/>
  <c r="BN18" i="72"/>
  <c r="BN54" i="72" s="1"/>
  <c r="BS18" i="72"/>
  <c r="BS54" i="72" s="1"/>
  <c r="BY18" i="72"/>
  <c r="BY54" i="72" s="1"/>
  <c r="CD18" i="72"/>
  <c r="CD54" i="72" s="1"/>
  <c r="CI18" i="72"/>
  <c r="CI54" i="72" s="1"/>
  <c r="G54" i="72"/>
  <c r="J18" i="72"/>
  <c r="J54" i="72" s="1"/>
  <c r="Q18" i="72"/>
  <c r="Q54" i="72" s="1"/>
  <c r="Y18" i="72"/>
  <c r="Y54" i="72" s="1"/>
  <c r="AE18" i="72"/>
  <c r="AE54" i="72" s="1"/>
  <c r="AL18" i="72"/>
  <c r="AL54" i="72" s="1"/>
  <c r="AT18" i="72"/>
  <c r="AT54" i="72" s="1"/>
  <c r="BA18" i="72"/>
  <c r="BA54" i="72" s="1"/>
  <c r="BG18" i="72"/>
  <c r="BG54" i="72" s="1"/>
  <c r="BO18" i="72"/>
  <c r="BO54" i="72" s="1"/>
  <c r="BV18" i="72"/>
  <c r="BV54" i="72" s="1"/>
  <c r="CC18" i="72"/>
  <c r="CC54" i="72" s="1"/>
  <c r="CK18" i="72"/>
  <c r="CK54" i="72" s="1"/>
  <c r="K18" i="72"/>
  <c r="K54" i="72" s="1"/>
  <c r="S18" i="72"/>
  <c r="S54" i="72" s="1"/>
  <c r="Z18" i="72"/>
  <c r="Z54" i="72" s="1"/>
  <c r="AG18" i="72"/>
  <c r="AG54" i="72" s="1"/>
  <c r="AO18" i="72"/>
  <c r="AO54" i="72" s="1"/>
  <c r="AU18" i="72"/>
  <c r="AU54" i="72" s="1"/>
  <c r="BB18" i="72"/>
  <c r="BB54" i="72" s="1"/>
  <c r="BJ18" i="72"/>
  <c r="BJ54" i="72" s="1"/>
  <c r="BQ18" i="72"/>
  <c r="BQ54" i="72" s="1"/>
  <c r="BW18" i="72"/>
  <c r="BW54" i="72" s="1"/>
  <c r="CE18" i="72"/>
  <c r="CE54" i="72" s="1"/>
  <c r="CL18" i="72"/>
  <c r="CL54" i="72" s="1"/>
  <c r="N18" i="72"/>
  <c r="N54" i="72" s="1"/>
  <c r="U18" i="72"/>
  <c r="U54" i="72" s="1"/>
  <c r="AA18" i="72"/>
  <c r="AA54" i="72" s="1"/>
  <c r="AI18" i="72"/>
  <c r="AI54" i="72" s="1"/>
  <c r="AP18" i="72"/>
  <c r="AP54" i="72" s="1"/>
  <c r="AW18" i="72"/>
  <c r="AW54" i="72" s="1"/>
  <c r="BE18" i="72"/>
  <c r="BE54" i="72" s="1"/>
  <c r="BK18" i="72"/>
  <c r="BK54" i="72" s="1"/>
  <c r="BR18" i="72"/>
  <c r="BR54" i="72" s="1"/>
  <c r="BZ18" i="72"/>
  <c r="BZ54" i="72" s="1"/>
  <c r="CG18" i="72"/>
  <c r="CG54" i="72" s="1"/>
  <c r="CM18" i="72"/>
  <c r="O18" i="72"/>
  <c r="O54" i="72" s="1"/>
  <c r="AQ18" i="72"/>
  <c r="AQ54" i="72" s="1"/>
  <c r="BU18" i="72"/>
  <c r="BU54" i="72" s="1"/>
  <c r="I18" i="72"/>
  <c r="I54" i="72" s="1"/>
  <c r="V18" i="72"/>
  <c r="V54" i="72" s="1"/>
  <c r="AY18" i="72"/>
  <c r="AY54" i="72" s="1"/>
  <c r="CA18" i="72"/>
  <c r="CA54" i="72" s="1"/>
  <c r="BM18" i="72"/>
  <c r="BM54" i="72" s="1"/>
  <c r="AD18" i="72"/>
  <c r="AD54" i="72" s="1"/>
  <c r="BF18" i="72"/>
  <c r="BF54" i="72" s="1"/>
  <c r="CH18" i="72"/>
  <c r="CH54" i="72" s="1"/>
  <c r="AK18" i="72"/>
  <c r="AK54" i="72" s="1"/>
  <c r="H2" i="48"/>
  <c r="D17" i="47"/>
  <c r="I24" i="13"/>
  <c r="M15" i="68" s="1"/>
  <c r="G13" i="48"/>
  <c r="G14" i="48" s="1"/>
  <c r="D13" i="48"/>
  <c r="D14" i="48" s="1"/>
  <c r="C13" i="48"/>
  <c r="C14" i="48" s="1"/>
  <c r="C9" i="48"/>
  <c r="H13" i="48"/>
  <c r="H14" i="48" s="1"/>
  <c r="J13" i="48"/>
  <c r="J14" i="48" s="1"/>
  <c r="J9" i="48"/>
  <c r="I13" i="48"/>
  <c r="I14" i="48" s="1"/>
  <c r="D9" i="48"/>
  <c r="H9" i="48"/>
  <c r="I9" i="48"/>
  <c r="G9" i="48"/>
  <c r="K9" i="48"/>
  <c r="K13" i="48"/>
  <c r="K14" i="48" s="1"/>
  <c r="F13" i="48"/>
  <c r="F14" i="48" s="1"/>
  <c r="F9" i="48"/>
  <c r="B13" i="48"/>
  <c r="B14" i="48" s="1"/>
  <c r="AF68" i="72" l="1"/>
  <c r="CF68" i="72"/>
  <c r="AO68" i="72"/>
  <c r="CD68" i="72"/>
  <c r="CC68" i="72"/>
  <c r="AL68" i="72"/>
  <c r="CB68" i="72"/>
  <c r="CB70" i="72" s="1"/>
  <c r="AU68" i="72"/>
  <c r="O68" i="72"/>
  <c r="O70" i="72" s="1"/>
  <c r="B69" i="75"/>
  <c r="B71" i="75" s="1"/>
  <c r="B72" i="75" s="1"/>
  <c r="D28" i="80" s="1"/>
  <c r="B81" i="75"/>
  <c r="B42" i="75"/>
  <c r="B57" i="75"/>
  <c r="B59" i="75" s="1"/>
  <c r="B60" i="75" s="1"/>
  <c r="D25" i="80" s="1"/>
  <c r="V12" i="87"/>
  <c r="V13" i="76"/>
  <c r="BP68" i="72"/>
  <c r="BP69" i="72" s="1"/>
  <c r="P68" i="72"/>
  <c r="P69" i="72" s="1"/>
  <c r="T68" i="72"/>
  <c r="BI68" i="72"/>
  <c r="R68" i="72"/>
  <c r="BH68" i="72"/>
  <c r="BH69" i="72" s="1"/>
  <c r="Q68" i="72"/>
  <c r="CE68" i="72"/>
  <c r="I5" i="48"/>
  <c r="I21" i="48"/>
  <c r="I22" i="48" s="1"/>
  <c r="D5" i="48"/>
  <c r="D21" i="48"/>
  <c r="D22" i="48" s="1"/>
  <c r="E5" i="48"/>
  <c r="E23" i="48" s="1"/>
  <c r="E21" i="48"/>
  <c r="E22" i="48" s="1"/>
  <c r="F5" i="48"/>
  <c r="F21" i="48"/>
  <c r="F22" i="48" s="1"/>
  <c r="G5" i="48"/>
  <c r="G21" i="48"/>
  <c r="G22" i="48" s="1"/>
  <c r="H5" i="48"/>
  <c r="H21" i="48"/>
  <c r="H22" i="48" s="1"/>
  <c r="J5" i="48"/>
  <c r="J21" i="48"/>
  <c r="J22" i="48" s="1"/>
  <c r="C5" i="48"/>
  <c r="C15" i="48" s="1"/>
  <c r="C21" i="48"/>
  <c r="C22" i="48" s="1"/>
  <c r="K5" i="48"/>
  <c r="K21" i="48"/>
  <c r="K22" i="48" s="1"/>
  <c r="B5" i="48"/>
  <c r="B21" i="48"/>
  <c r="B22" i="48" s="1"/>
  <c r="AF69" i="72"/>
  <c r="AF70" i="72"/>
  <c r="T70" i="72"/>
  <c r="T69" i="72"/>
  <c r="AN68" i="72"/>
  <c r="AE68" i="72"/>
  <c r="BL68" i="72"/>
  <c r="CK68" i="72"/>
  <c r="BZ68" i="72"/>
  <c r="J68" i="72"/>
  <c r="BE68" i="72"/>
  <c r="AJ68" i="72"/>
  <c r="N68" i="72"/>
  <c r="BY68" i="72"/>
  <c r="BD68" i="72"/>
  <c r="AH68" i="72"/>
  <c r="M68" i="72"/>
  <c r="BX68" i="72"/>
  <c r="BB68" i="72"/>
  <c r="AG68" i="72"/>
  <c r="L68" i="72"/>
  <c r="BV68" i="72"/>
  <c r="BG68" i="72"/>
  <c r="AQ68" i="72"/>
  <c r="AA68" i="72"/>
  <c r="K68" i="72"/>
  <c r="CA68" i="72"/>
  <c r="CM54" i="72"/>
  <c r="CF69" i="72"/>
  <c r="CF70" i="72"/>
  <c r="AO69" i="72"/>
  <c r="AO70" i="72"/>
  <c r="CD69" i="72"/>
  <c r="CD70" i="72"/>
  <c r="CC69" i="72"/>
  <c r="CC70" i="72"/>
  <c r="AL69" i="72"/>
  <c r="AL70" i="72"/>
  <c r="AU69" i="72"/>
  <c r="AU70" i="72"/>
  <c r="CE69" i="72"/>
  <c r="CE70" i="72"/>
  <c r="AP68" i="72"/>
  <c r="BF68" i="72"/>
  <c r="Z68" i="72"/>
  <c r="BU68" i="72"/>
  <c r="AZ68" i="72"/>
  <c r="AD68" i="72"/>
  <c r="I68" i="72"/>
  <c r="BT68" i="72"/>
  <c r="AX68" i="72"/>
  <c r="AC68" i="72"/>
  <c r="H68" i="72"/>
  <c r="BR68" i="72"/>
  <c r="AW68" i="72"/>
  <c r="AB68" i="72"/>
  <c r="CL68" i="72"/>
  <c r="BQ68" i="72"/>
  <c r="BC68" i="72"/>
  <c r="AM68" i="72"/>
  <c r="W68" i="72"/>
  <c r="BW68" i="72"/>
  <c r="BJ68" i="72"/>
  <c r="BI69" i="72"/>
  <c r="BI70" i="72"/>
  <c r="R69" i="72"/>
  <c r="R70" i="72"/>
  <c r="Q69" i="72"/>
  <c r="Q70" i="72"/>
  <c r="BK68" i="72"/>
  <c r="AV68" i="72"/>
  <c r="U68" i="72"/>
  <c r="AK68" i="72"/>
  <c r="BA68" i="72"/>
  <c r="CM66" i="72"/>
  <c r="CM67" i="72" s="1"/>
  <c r="G67" i="72"/>
  <c r="G68" i="72" s="1"/>
  <c r="AT68" i="72"/>
  <c r="Y68" i="72"/>
  <c r="CJ68" i="72"/>
  <c r="BN68" i="72"/>
  <c r="AS68" i="72"/>
  <c r="X68" i="72"/>
  <c r="CH68" i="72"/>
  <c r="BM68" i="72"/>
  <c r="AR68" i="72"/>
  <c r="V68" i="72"/>
  <c r="CG68" i="72"/>
  <c r="BO68" i="72"/>
  <c r="AY68" i="72"/>
  <c r="AI68" i="72"/>
  <c r="S68" i="72"/>
  <c r="CI68" i="72"/>
  <c r="BS68" i="72"/>
  <c r="T4" i="51"/>
  <c r="V13" i="68"/>
  <c r="V13" i="69"/>
  <c r="V13" i="39"/>
  <c r="J24" i="13"/>
  <c r="N15" i="68" s="1"/>
  <c r="CB69" i="72" l="1"/>
  <c r="BH70" i="72"/>
  <c r="O69" i="72"/>
  <c r="P70" i="72"/>
  <c r="BP70" i="72"/>
  <c r="W12" i="87"/>
  <c r="W13" i="76"/>
  <c r="B45" i="75"/>
  <c r="B46" i="75" s="1"/>
  <c r="B44" i="75"/>
  <c r="B47" i="75" s="1"/>
  <c r="D22" i="80" s="1"/>
  <c r="E81" i="75"/>
  <c r="B82" i="75"/>
  <c r="B83" i="75" s="1"/>
  <c r="B15" i="48"/>
  <c r="H23" i="48"/>
  <c r="H15" i="48"/>
  <c r="F23" i="48"/>
  <c r="F15" i="48"/>
  <c r="D23" i="48"/>
  <c r="D15" i="48"/>
  <c r="K23" i="48"/>
  <c r="K15" i="48"/>
  <c r="J23" i="48"/>
  <c r="J15" i="48"/>
  <c r="G23" i="48"/>
  <c r="G15" i="48"/>
  <c r="C9" i="17"/>
  <c r="E15" i="48"/>
  <c r="I23" i="48"/>
  <c r="I15" i="48"/>
  <c r="AI69" i="72"/>
  <c r="AI70" i="72"/>
  <c r="X69" i="72"/>
  <c r="X70" i="72"/>
  <c r="BA69" i="72"/>
  <c r="BA70" i="72"/>
  <c r="BQ69" i="72"/>
  <c r="BQ70" i="72"/>
  <c r="BR70" i="72"/>
  <c r="BR69" i="72"/>
  <c r="BT70" i="72"/>
  <c r="BT69" i="72"/>
  <c r="BU69" i="72"/>
  <c r="BU70" i="72"/>
  <c r="K69" i="72"/>
  <c r="K70" i="72"/>
  <c r="BV69" i="72"/>
  <c r="BV70" i="72"/>
  <c r="BX69" i="72"/>
  <c r="BX70" i="72"/>
  <c r="BY69" i="72"/>
  <c r="BY70" i="72"/>
  <c r="J69" i="72"/>
  <c r="J70" i="72"/>
  <c r="AE69" i="72"/>
  <c r="AE70" i="72"/>
  <c r="BS69" i="72"/>
  <c r="BS70" i="72"/>
  <c r="AY69" i="72"/>
  <c r="AY70" i="72"/>
  <c r="AR69" i="72"/>
  <c r="AR70" i="72"/>
  <c r="AS69" i="72"/>
  <c r="AS70" i="72"/>
  <c r="AT69" i="72"/>
  <c r="AT70" i="72"/>
  <c r="AK69" i="72"/>
  <c r="AK70" i="72"/>
  <c r="BJ69" i="72"/>
  <c r="BJ70" i="72"/>
  <c r="W69" i="72"/>
  <c r="W70" i="72"/>
  <c r="CL70" i="72"/>
  <c r="CL69" i="72"/>
  <c r="H69" i="72"/>
  <c r="H70" i="72"/>
  <c r="I69" i="72"/>
  <c r="I70" i="72"/>
  <c r="Z69" i="72"/>
  <c r="Z70" i="72"/>
  <c r="AA69" i="72"/>
  <c r="AA70" i="72"/>
  <c r="L69" i="72"/>
  <c r="L70" i="72"/>
  <c r="M69" i="72"/>
  <c r="M70" i="72"/>
  <c r="N69" i="72"/>
  <c r="N70" i="72"/>
  <c r="BZ69" i="72"/>
  <c r="BZ70" i="72"/>
  <c r="AN69" i="72"/>
  <c r="AN70" i="72"/>
  <c r="U4" i="51"/>
  <c r="W13" i="68"/>
  <c r="W13" i="69"/>
  <c r="W13" i="39"/>
  <c r="V69" i="72"/>
  <c r="V70" i="72"/>
  <c r="Y70" i="72"/>
  <c r="Y69" i="72"/>
  <c r="BW69" i="72"/>
  <c r="BW70" i="72"/>
  <c r="CI69" i="72"/>
  <c r="CI70" i="72"/>
  <c r="BO69" i="72"/>
  <c r="BO70" i="72"/>
  <c r="BM69" i="72"/>
  <c r="BM70" i="72"/>
  <c r="BN69" i="72"/>
  <c r="BN70" i="72"/>
  <c r="G69" i="72"/>
  <c r="CM68" i="72"/>
  <c r="G70" i="72"/>
  <c r="U69" i="72"/>
  <c r="U70" i="72"/>
  <c r="BK70" i="72"/>
  <c r="BK69" i="72"/>
  <c r="AM69" i="72"/>
  <c r="AM70" i="72"/>
  <c r="AB70" i="72"/>
  <c r="AB69" i="72"/>
  <c r="AC69" i="72"/>
  <c r="AC70" i="72"/>
  <c r="AD69" i="72"/>
  <c r="AD70" i="72"/>
  <c r="BF69" i="72"/>
  <c r="BF70" i="72"/>
  <c r="AQ69" i="72"/>
  <c r="AQ70" i="72"/>
  <c r="AG69" i="72"/>
  <c r="AG70" i="72"/>
  <c r="AH69" i="72"/>
  <c r="AH70" i="72"/>
  <c r="AJ69" i="72"/>
  <c r="AJ70" i="72"/>
  <c r="CK69" i="72"/>
  <c r="CK70" i="72"/>
  <c r="S69" i="72"/>
  <c r="S70" i="72"/>
  <c r="CG70" i="72"/>
  <c r="CG69" i="72"/>
  <c r="CH69" i="72"/>
  <c r="CH70" i="72"/>
  <c r="CJ69" i="72"/>
  <c r="CJ70" i="72"/>
  <c r="AV69" i="72"/>
  <c r="AV70" i="72"/>
  <c r="BC69" i="72"/>
  <c r="BC70" i="72"/>
  <c r="AW69" i="72"/>
  <c r="AW70" i="72"/>
  <c r="AX69" i="72"/>
  <c r="AX70" i="72"/>
  <c r="AZ69" i="72"/>
  <c r="AZ70" i="72"/>
  <c r="AP69" i="72"/>
  <c r="AP70" i="72"/>
  <c r="CA69" i="72"/>
  <c r="CA70" i="72"/>
  <c r="BG69" i="72"/>
  <c r="BG70" i="72"/>
  <c r="BB69" i="72"/>
  <c r="BB70" i="72"/>
  <c r="BD69" i="72"/>
  <c r="BD70" i="72"/>
  <c r="BE69" i="72"/>
  <c r="BE70" i="72"/>
  <c r="BL70" i="72"/>
  <c r="BL69" i="72"/>
  <c r="K24" i="13"/>
  <c r="O15" i="68" s="1"/>
  <c r="X12" i="87" l="1"/>
  <c r="X13" i="76"/>
  <c r="D31" i="80"/>
  <c r="F83" i="75"/>
  <c r="W17" i="82"/>
  <c r="W13" i="82" s="1"/>
  <c r="T17" i="82"/>
  <c r="T13" i="82" s="1"/>
  <c r="V17" i="82"/>
  <c r="V13" i="82" s="1"/>
  <c r="S17" i="82"/>
  <c r="S13" i="82" s="1"/>
  <c r="P17" i="82"/>
  <c r="P13" i="82" s="1"/>
  <c r="N17" i="82"/>
  <c r="N13" i="82" s="1"/>
  <c r="U17" i="82"/>
  <c r="U13" i="82" s="1"/>
  <c r="H17" i="82"/>
  <c r="H13" i="82" s="1"/>
  <c r="Q17" i="82"/>
  <c r="Q13" i="82" s="1"/>
  <c r="I17" i="82"/>
  <c r="I13" i="82" s="1"/>
  <c r="O17" i="82"/>
  <c r="O13" i="82" s="1"/>
  <c r="R17" i="82"/>
  <c r="R13" i="82" s="1"/>
  <c r="X17" i="82"/>
  <c r="X13" i="82" s="1"/>
  <c r="Y17" i="82"/>
  <c r="Y13" i="82" s="1"/>
  <c r="L17" i="82"/>
  <c r="L13" i="82" s="1"/>
  <c r="J17" i="82"/>
  <c r="J13" i="82" s="1"/>
  <c r="M17" i="82"/>
  <c r="M13" i="82" s="1"/>
  <c r="K17" i="82"/>
  <c r="K13" i="82" s="1"/>
  <c r="Z17" i="82"/>
  <c r="Z13" i="82" s="1"/>
  <c r="CM70" i="72"/>
  <c r="V4" i="51"/>
  <c r="X13" i="68"/>
  <c r="X13" i="69"/>
  <c r="X13" i="39"/>
  <c r="CM69" i="72"/>
  <c r="B2" i="75" s="1"/>
  <c r="L24" i="13"/>
  <c r="P15" i="68" s="1"/>
  <c r="D3" i="19" l="1"/>
  <c r="B3" i="75"/>
  <c r="B26" i="75" s="1"/>
  <c r="B25" i="75" s="1"/>
  <c r="B33" i="75" s="1"/>
  <c r="B16" i="75"/>
  <c r="B15" i="75" s="1"/>
  <c r="B23" i="75" s="1"/>
  <c r="B6" i="75"/>
  <c r="B5" i="75" s="1"/>
  <c r="B13" i="75" s="1"/>
  <c r="I8" i="17"/>
  <c r="D5" i="70" s="1"/>
  <c r="D4" i="70" s="1"/>
  <c r="E4" i="70" s="1"/>
  <c r="F4" i="70" s="1"/>
  <c r="G4" i="70" s="1"/>
  <c r="H4" i="70" s="1"/>
  <c r="I4" i="70" s="1"/>
  <c r="J4" i="70" s="1"/>
  <c r="K4" i="70" s="1"/>
  <c r="L4" i="70" s="1"/>
  <c r="M4" i="70" s="1"/>
  <c r="N4" i="70" s="1"/>
  <c r="O4" i="70" s="1"/>
  <c r="P4" i="70" s="1"/>
  <c r="Q4" i="70" s="1"/>
  <c r="R4" i="70" s="1"/>
  <c r="S4" i="70" s="1"/>
  <c r="T4" i="70" s="1"/>
  <c r="U4" i="70" s="1"/>
  <c r="V4" i="70" s="1"/>
  <c r="W4" i="70" s="1"/>
  <c r="U8" i="17"/>
  <c r="U12" i="17" s="1"/>
  <c r="Y12" i="87"/>
  <c r="Y13" i="76"/>
  <c r="E9" i="80" a="1"/>
  <c r="E9" i="80" s="1"/>
  <c r="W4" i="51"/>
  <c r="Y13" i="68"/>
  <c r="Y13" i="69"/>
  <c r="Y13" i="39"/>
  <c r="M24" i="13"/>
  <c r="Q15" i="68" s="1"/>
  <c r="E10" i="17"/>
  <c r="I12" i="17" l="1"/>
  <c r="D5" i="13"/>
  <c r="D4" i="13" s="1"/>
  <c r="H14" i="87" s="1"/>
  <c r="Z12" i="87"/>
  <c r="Z13" i="76"/>
  <c r="H15" i="39"/>
  <c r="X4" i="51"/>
  <c r="Z13" i="68"/>
  <c r="Z13" i="69"/>
  <c r="Z13" i="39"/>
  <c r="N24" i="13"/>
  <c r="R15" i="68" s="1"/>
  <c r="H27" i="39"/>
  <c r="I27" i="39" s="1"/>
  <c r="J27" i="39" s="1"/>
  <c r="K27" i="39" s="1"/>
  <c r="L27" i="39" s="1"/>
  <c r="M27" i="39" s="1"/>
  <c r="N27" i="39" s="1"/>
  <c r="O27" i="39" s="1"/>
  <c r="P27" i="39" s="1"/>
  <c r="Q27" i="39" s="1"/>
  <c r="R27" i="39" s="1"/>
  <c r="S27" i="39" s="1"/>
  <c r="T27" i="39" s="1"/>
  <c r="U27" i="39" s="1"/>
  <c r="V27" i="39" s="1"/>
  <c r="W27" i="39" s="1"/>
  <c r="X27" i="39" s="1"/>
  <c r="Y27" i="39" s="1"/>
  <c r="Z27" i="39" s="1"/>
  <c r="AA27" i="39" s="1"/>
  <c r="E4" i="13" l="1"/>
  <c r="F4" i="13" s="1"/>
  <c r="AA12" i="87"/>
  <c r="AA13" i="76"/>
  <c r="I15" i="76"/>
  <c r="I14" i="87"/>
  <c r="B7" i="56"/>
  <c r="AA13" i="68"/>
  <c r="AA13" i="69"/>
  <c r="AA13" i="39"/>
  <c r="I15" i="39"/>
  <c r="O24" i="13"/>
  <c r="S15" i="68" s="1"/>
  <c r="AU2" i="35"/>
  <c r="AU3" i="35"/>
  <c r="AU4" i="35"/>
  <c r="AU5" i="35"/>
  <c r="AU8" i="35"/>
  <c r="AU9" i="35"/>
  <c r="AU10" i="35"/>
  <c r="J15" i="76" l="1"/>
  <c r="J14" i="87"/>
  <c r="C7" i="56"/>
  <c r="C7" i="77"/>
  <c r="G4" i="13"/>
  <c r="J15" i="39"/>
  <c r="P24" i="13"/>
  <c r="T15" i="68" s="1"/>
  <c r="E9" i="17"/>
  <c r="AY2" i="35"/>
  <c r="K15" i="76" l="1"/>
  <c r="K14" i="87"/>
  <c r="D7" i="56"/>
  <c r="D7" i="77"/>
  <c r="K15" i="39"/>
  <c r="H4" i="13"/>
  <c r="Q24" i="13"/>
  <c r="U15" i="68" s="1"/>
  <c r="L15" i="76" l="1"/>
  <c r="L14" i="87"/>
  <c r="E7" i="77"/>
  <c r="L15" i="39"/>
  <c r="I4" i="13"/>
  <c r="G7" i="71"/>
  <c r="D7" i="71"/>
  <c r="B5" i="55"/>
  <c r="B5" i="67" s="1"/>
  <c r="C7" i="71"/>
  <c r="E7" i="56"/>
  <c r="R24" i="13"/>
  <c r="V15" i="68" s="1"/>
  <c r="D8" i="12"/>
  <c r="D7" i="12"/>
  <c r="D6" i="12"/>
  <c r="D5" i="12"/>
  <c r="D4" i="12"/>
  <c r="D3" i="12"/>
  <c r="M15" i="76" l="1"/>
  <c r="M14" i="87"/>
  <c r="F7" i="56"/>
  <c r="F7" i="77"/>
  <c r="F7" i="78"/>
  <c r="E7" i="78"/>
  <c r="E7" i="71"/>
  <c r="F7" i="71"/>
  <c r="M15" i="39"/>
  <c r="J4" i="13"/>
  <c r="F5" i="67"/>
  <c r="C5" i="67"/>
  <c r="D5" i="67" s="1"/>
  <c r="E5" i="67"/>
  <c r="S24" i="13"/>
  <c r="W15" i="68" s="1"/>
  <c r="D10" i="12"/>
  <c r="U16" i="17" l="1"/>
  <c r="U17" i="17" s="1"/>
  <c r="I16" i="17"/>
  <c r="D8" i="70" s="1"/>
  <c r="D7" i="70" s="1"/>
  <c r="N15" i="76"/>
  <c r="N14" i="87"/>
  <c r="G7" i="56"/>
  <c r="G7" i="77"/>
  <c r="K4" i="13"/>
  <c r="N15" i="39"/>
  <c r="T24" i="13"/>
  <c r="X15" i="68" s="1"/>
  <c r="O16" i="17"/>
  <c r="R16" i="17" s="1"/>
  <c r="D8" i="13"/>
  <c r="E19" i="17"/>
  <c r="I17" i="17" l="1"/>
  <c r="R17" i="17"/>
  <c r="D67" i="13"/>
  <c r="O15" i="76"/>
  <c r="O14" i="87"/>
  <c r="H7" i="56"/>
  <c r="H7" i="77"/>
  <c r="O15" i="39"/>
  <c r="L4" i="13"/>
  <c r="O17" i="17"/>
  <c r="U24" i="13"/>
  <c r="Y15" i="68" s="1"/>
  <c r="D27" i="13"/>
  <c r="D34" i="13"/>
  <c r="D32" i="13" s="1"/>
  <c r="D7" i="13"/>
  <c r="E20" i="17"/>
  <c r="D66" i="13" l="1"/>
  <c r="I15" i="87"/>
  <c r="M15" i="87"/>
  <c r="Q15" i="87"/>
  <c r="U15" i="87"/>
  <c r="Y15" i="87"/>
  <c r="J15" i="87"/>
  <c r="N15" i="87"/>
  <c r="R15" i="87"/>
  <c r="V15" i="87"/>
  <c r="Z15" i="87"/>
  <c r="K15" i="87"/>
  <c r="O15" i="87"/>
  <c r="S15" i="87"/>
  <c r="W15" i="87"/>
  <c r="AA15" i="87"/>
  <c r="L15" i="87"/>
  <c r="P15" i="87"/>
  <c r="T15" i="87"/>
  <c r="X15" i="87"/>
  <c r="H15" i="87"/>
  <c r="Z16" i="76"/>
  <c r="V16" i="76"/>
  <c r="R16" i="76"/>
  <c r="N16" i="76"/>
  <c r="J16" i="76"/>
  <c r="X16" i="76"/>
  <c r="P16" i="76"/>
  <c r="H16" i="76"/>
  <c r="W16" i="76"/>
  <c r="O16" i="76"/>
  <c r="Y16" i="76"/>
  <c r="U16" i="76"/>
  <c r="Q16" i="76"/>
  <c r="M16" i="76"/>
  <c r="I16" i="76"/>
  <c r="T16" i="76"/>
  <c r="L16" i="76"/>
  <c r="AA16" i="76"/>
  <c r="S16" i="76"/>
  <c r="K16" i="76"/>
  <c r="P15" i="76"/>
  <c r="P14" i="87"/>
  <c r="I7" i="56"/>
  <c r="I7" i="77"/>
  <c r="P15" i="39"/>
  <c r="M4" i="13"/>
  <c r="K16" i="68"/>
  <c r="O16" i="68"/>
  <c r="S16" i="68"/>
  <c r="W16" i="68"/>
  <c r="AA16" i="68"/>
  <c r="L16" i="68"/>
  <c r="P16" i="68"/>
  <c r="T16" i="68"/>
  <c r="X16" i="68"/>
  <c r="H16" i="68"/>
  <c r="I16" i="68"/>
  <c r="M16" i="68"/>
  <c r="Q16" i="68"/>
  <c r="U16" i="68"/>
  <c r="Y16" i="68"/>
  <c r="J16" i="68"/>
  <c r="N16" i="68"/>
  <c r="R16" i="68"/>
  <c r="V16" i="68"/>
  <c r="Z16" i="68"/>
  <c r="D23" i="13"/>
  <c r="D37" i="13" s="1"/>
  <c r="K18" i="68"/>
  <c r="O18" i="68"/>
  <c r="S18" i="68"/>
  <c r="W18" i="68"/>
  <c r="AA18" i="68"/>
  <c r="L18" i="68"/>
  <c r="P18" i="68"/>
  <c r="T18" i="68"/>
  <c r="X18" i="68"/>
  <c r="H18" i="68"/>
  <c r="I18" i="68"/>
  <c r="M18" i="68"/>
  <c r="Q18" i="68"/>
  <c r="U18" i="68"/>
  <c r="Y18" i="68"/>
  <c r="J18" i="68"/>
  <c r="N18" i="68"/>
  <c r="R18" i="68"/>
  <c r="V18" i="68"/>
  <c r="Z18" i="68"/>
  <c r="D48" i="13"/>
  <c r="L17" i="17"/>
  <c r="V24" i="13"/>
  <c r="Z15" i="68" s="1"/>
  <c r="K16" i="39"/>
  <c r="E8" i="77" s="1"/>
  <c r="L16" i="39"/>
  <c r="P16" i="39"/>
  <c r="T16" i="39"/>
  <c r="X16" i="39"/>
  <c r="H16" i="39"/>
  <c r="B8" i="56" s="1"/>
  <c r="N16" i="39"/>
  <c r="R16" i="39"/>
  <c r="S16" i="39"/>
  <c r="AA16" i="39"/>
  <c r="I16" i="39"/>
  <c r="M16" i="39"/>
  <c r="Q16" i="39"/>
  <c r="U16" i="39"/>
  <c r="Y16" i="39"/>
  <c r="J16" i="39"/>
  <c r="V16" i="39"/>
  <c r="Z16" i="39"/>
  <c r="O16" i="39"/>
  <c r="W16" i="39"/>
  <c r="B7" i="55" l="1"/>
  <c r="D8" i="56"/>
  <c r="D8" i="77"/>
  <c r="I8" i="56"/>
  <c r="I8" i="77"/>
  <c r="C8" i="56"/>
  <c r="C8" i="77"/>
  <c r="H8" i="56"/>
  <c r="H8" i="77"/>
  <c r="J8" i="56"/>
  <c r="J8" i="77"/>
  <c r="B8" i="77"/>
  <c r="B7" i="79"/>
  <c r="F8" i="56"/>
  <c r="F8" i="77"/>
  <c r="G8" i="56"/>
  <c r="G8" i="77"/>
  <c r="K8" i="56"/>
  <c r="K8" i="77"/>
  <c r="Q15" i="76"/>
  <c r="Q14" i="87"/>
  <c r="J7" i="56"/>
  <c r="J7" i="77"/>
  <c r="N4" i="13"/>
  <c r="Q15" i="39"/>
  <c r="G8" i="71"/>
  <c r="C8" i="71"/>
  <c r="F8" i="71"/>
  <c r="E8" i="56"/>
  <c r="E8" i="71"/>
  <c r="D8" i="71"/>
  <c r="D47" i="13"/>
  <c r="W24" i="13"/>
  <c r="AA15" i="68" s="1"/>
  <c r="B7" i="67"/>
  <c r="C7" i="67" s="1"/>
  <c r="D7" i="67" s="1"/>
  <c r="E7" i="67" s="1"/>
  <c r="F7" i="67" s="1"/>
  <c r="B14" i="81" l="1" a="1"/>
  <c r="B14" i="81" s="1"/>
  <c r="C8" i="78"/>
  <c r="D8" i="78" s="1"/>
  <c r="E8" i="78" s="1"/>
  <c r="F8" i="78" s="1"/>
  <c r="G8" i="78" s="1"/>
  <c r="R15" i="76"/>
  <c r="R14" i="87"/>
  <c r="K7" i="56"/>
  <c r="K7" i="77"/>
  <c r="O4" i="13"/>
  <c r="R15" i="39"/>
  <c r="L16" i="69"/>
  <c r="P16" i="69"/>
  <c r="T16" i="69"/>
  <c r="X16" i="69"/>
  <c r="H16" i="69"/>
  <c r="O16" i="69"/>
  <c r="AA16" i="69"/>
  <c r="I16" i="69"/>
  <c r="M16" i="69"/>
  <c r="Q16" i="69"/>
  <c r="U16" i="69"/>
  <c r="Y16" i="69"/>
  <c r="K16" i="69"/>
  <c r="W16" i="69"/>
  <c r="J16" i="69"/>
  <c r="N16" i="69"/>
  <c r="R16" i="69"/>
  <c r="V16" i="69"/>
  <c r="Z16" i="69"/>
  <c r="S16" i="69"/>
  <c r="S15" i="76" l="1"/>
  <c r="S14" i="87"/>
  <c r="S15" i="39"/>
  <c r="P4" i="13"/>
  <c r="T15" i="76" l="1"/>
  <c r="T14" i="87"/>
  <c r="T15" i="39"/>
  <c r="Q4" i="13"/>
  <c r="E11" i="17"/>
  <c r="U15" i="76" l="1"/>
  <c r="U14" i="87"/>
  <c r="R4" i="13"/>
  <c r="U15" i="39"/>
  <c r="E15" i="17"/>
  <c r="V15" i="76" l="1"/>
  <c r="V14" i="87"/>
  <c r="S4" i="13"/>
  <c r="V15" i="39"/>
  <c r="W15" i="76" l="1"/>
  <c r="W14" i="87"/>
  <c r="T4" i="13"/>
  <c r="W15" i="39"/>
  <c r="X15" i="76" l="1"/>
  <c r="X14" i="87"/>
  <c r="X15" i="39"/>
  <c r="U4" i="13"/>
  <c r="Y15" i="76" l="1"/>
  <c r="Y14" i="87"/>
  <c r="V4" i="13"/>
  <c r="Y15" i="39"/>
  <c r="Z15" i="76" l="1"/>
  <c r="Z14" i="87"/>
  <c r="W4" i="13"/>
  <c r="AA14" i="87" s="1"/>
  <c r="Z15" i="39"/>
  <c r="AA15" i="39" l="1"/>
  <c r="AA15" i="76"/>
  <c r="E3" i="51" l="1"/>
  <c r="H11" i="87" s="1"/>
  <c r="H10" i="87" s="1"/>
  <c r="H12" i="68" l="1"/>
  <c r="H11" i="68" s="1"/>
  <c r="H12" i="69"/>
  <c r="H11" i="69" s="1"/>
  <c r="F3" i="51"/>
  <c r="H12" i="39"/>
  <c r="H11" i="39" s="1"/>
  <c r="B5" i="56" s="1"/>
  <c r="E5" i="51"/>
  <c r="D56" i="13" s="1"/>
  <c r="I11" i="87" l="1"/>
  <c r="I10" i="87" s="1"/>
  <c r="I12" i="76"/>
  <c r="I11" i="76" s="1"/>
  <c r="D16" i="70"/>
  <c r="D36" i="13"/>
  <c r="D35" i="13" s="1"/>
  <c r="D16" i="13"/>
  <c r="D75" i="13" s="1"/>
  <c r="H19" i="76" s="1"/>
  <c r="I12" i="68"/>
  <c r="I11" i="68" s="1"/>
  <c r="I12" i="69"/>
  <c r="I11" i="69" s="1"/>
  <c r="I12" i="39"/>
  <c r="I11" i="39" s="1"/>
  <c r="G3" i="51"/>
  <c r="C5" i="56" l="1"/>
  <c r="C5" i="77"/>
  <c r="B11" i="77"/>
  <c r="C11" i="78" s="1"/>
  <c r="D11" i="78" s="1"/>
  <c r="E11" i="78" s="1"/>
  <c r="F11" i="78" s="1"/>
  <c r="G11" i="78" s="1"/>
  <c r="B8" i="79"/>
  <c r="J11" i="87"/>
  <c r="J10" i="87" s="1"/>
  <c r="J12" i="76"/>
  <c r="J11" i="76" s="1"/>
  <c r="H3" i="51"/>
  <c r="J12" i="68"/>
  <c r="J11" i="68" s="1"/>
  <c r="J12" i="69"/>
  <c r="J11" i="69" s="1"/>
  <c r="J12" i="39"/>
  <c r="J11" i="39" s="1"/>
  <c r="D38" i="13"/>
  <c r="V19" i="68"/>
  <c r="O19" i="68"/>
  <c r="I19" i="68"/>
  <c r="P19" i="68"/>
  <c r="Z19" i="68"/>
  <c r="Y19" i="68"/>
  <c r="X19" i="68"/>
  <c r="T19" i="68"/>
  <c r="AA19" i="68"/>
  <c r="M19" i="68"/>
  <c r="J19" i="68"/>
  <c r="N19" i="68"/>
  <c r="S19" i="68"/>
  <c r="W19" i="68"/>
  <c r="Q19" i="68"/>
  <c r="K19" i="68"/>
  <c r="H19" i="68"/>
  <c r="U19" i="68"/>
  <c r="L19" i="68"/>
  <c r="R19" i="68"/>
  <c r="G4" i="9"/>
  <c r="G5" i="9" s="1"/>
  <c r="F4" i="9"/>
  <c r="F5" i="9" s="1"/>
  <c r="E4" i="9"/>
  <c r="E5" i="9" s="1"/>
  <c r="K11" i="87" l="1"/>
  <c r="K10" i="87" s="1"/>
  <c r="K12" i="76"/>
  <c r="K11" i="76" s="1"/>
  <c r="D5" i="56"/>
  <c r="D5" i="77"/>
  <c r="I3" i="51"/>
  <c r="K12" i="68"/>
  <c r="K11" i="68" s="1"/>
  <c r="K12" i="69"/>
  <c r="K11" i="69" s="1"/>
  <c r="K12" i="39"/>
  <c r="K11" i="39" s="1"/>
  <c r="E5" i="77" l="1"/>
  <c r="G5" i="78"/>
  <c r="E5" i="78"/>
  <c r="L11" i="87"/>
  <c r="L10" i="87" s="1"/>
  <c r="L12" i="76"/>
  <c r="L11" i="76" s="1"/>
  <c r="E5" i="56"/>
  <c r="G5" i="71"/>
  <c r="C5" i="71"/>
  <c r="B3" i="55"/>
  <c r="B3" i="67" s="1"/>
  <c r="C3" i="67" s="1"/>
  <c r="E5" i="71"/>
  <c r="H4" i="9"/>
  <c r="H5" i="9" s="1"/>
  <c r="J3" i="51"/>
  <c r="L12" i="68"/>
  <c r="L11" i="68" s="1"/>
  <c r="L12" i="69"/>
  <c r="L11" i="69" s="1"/>
  <c r="L12" i="39"/>
  <c r="L11" i="39" s="1"/>
  <c r="F5" i="77" s="1"/>
  <c r="M11" i="87" l="1"/>
  <c r="M10" i="87" s="1"/>
  <c r="M12" i="76"/>
  <c r="M11" i="76" s="1"/>
  <c r="E3" i="67"/>
  <c r="F3" i="67"/>
  <c r="K3" i="51"/>
  <c r="M12" i="68"/>
  <c r="M11" i="68" s="1"/>
  <c r="M12" i="69"/>
  <c r="M11" i="69" s="1"/>
  <c r="M12" i="39"/>
  <c r="M11" i="39" s="1"/>
  <c r="G5" i="77" s="1"/>
  <c r="F5" i="71"/>
  <c r="D5" i="71"/>
  <c r="F5" i="56"/>
  <c r="I4" i="9"/>
  <c r="I5" i="9" s="1"/>
  <c r="D3" i="67"/>
  <c r="H38" i="61"/>
  <c r="N11" i="87" l="1"/>
  <c r="N10" i="87" s="1"/>
  <c r="N12" i="76"/>
  <c r="N11" i="76" s="1"/>
  <c r="L3" i="51"/>
  <c r="N12" i="68"/>
  <c r="N11" i="68" s="1"/>
  <c r="N12" i="69"/>
  <c r="N11" i="69" s="1"/>
  <c r="N12" i="39"/>
  <c r="N11" i="39" s="1"/>
  <c r="H5" i="77" s="1"/>
  <c r="G5" i="56"/>
  <c r="J4" i="9"/>
  <c r="J5" i="9" s="1"/>
  <c r="H80" i="61"/>
  <c r="H51" i="61"/>
  <c r="I51" i="61" s="1"/>
  <c r="J9" i="61" s="1"/>
  <c r="H18" i="16"/>
  <c r="D6" i="16"/>
  <c r="D9" i="16"/>
  <c r="D7" i="16"/>
  <c r="D13" i="16"/>
  <c r="D17" i="16"/>
  <c r="D8" i="16"/>
  <c r="D16" i="16"/>
  <c r="D10" i="16"/>
  <c r="D15" i="16"/>
  <c r="D19" i="16"/>
  <c r="D18" i="16" s="1"/>
  <c r="D14" i="16"/>
  <c r="D11" i="16"/>
  <c r="O11" i="87" l="1"/>
  <c r="O10" i="87" s="1"/>
  <c r="O12" i="76"/>
  <c r="O11" i="76" s="1"/>
  <c r="H5" i="56"/>
  <c r="K4" i="9"/>
  <c r="K5" i="9" s="1"/>
  <c r="M3" i="51"/>
  <c r="O12" i="68"/>
  <c r="O11" i="68" s="1"/>
  <c r="O12" i="69"/>
  <c r="O11" i="69" s="1"/>
  <c r="O12" i="39"/>
  <c r="O11" i="39" s="1"/>
  <c r="I5" i="77" s="1"/>
  <c r="I80" i="61"/>
  <c r="H78" i="61"/>
  <c r="D4" i="16"/>
  <c r="D12" i="16"/>
  <c r="H12" i="16"/>
  <c r="P11" i="87" l="1"/>
  <c r="P10" i="87" s="1"/>
  <c r="P12" i="76"/>
  <c r="P11" i="76" s="1"/>
  <c r="N3" i="51"/>
  <c r="P12" i="68"/>
  <c r="P11" i="68" s="1"/>
  <c r="P12" i="69"/>
  <c r="P11" i="69" s="1"/>
  <c r="P12" i="39"/>
  <c r="P11" i="39" s="1"/>
  <c r="J5" i="77" s="1"/>
  <c r="I5" i="56"/>
  <c r="L4" i="9"/>
  <c r="L5" i="9" s="1"/>
  <c r="H86" i="61"/>
  <c r="I86" i="61" s="1"/>
  <c r="I78" i="61"/>
  <c r="D3" i="16"/>
  <c r="Q11" i="87" l="1"/>
  <c r="Q10" i="87" s="1"/>
  <c r="Q12" i="76"/>
  <c r="Q11" i="76" s="1"/>
  <c r="J5" i="56"/>
  <c r="M4" i="9"/>
  <c r="M5" i="9" s="1"/>
  <c r="O3" i="51"/>
  <c r="Q12" i="68"/>
  <c r="Q11" i="68" s="1"/>
  <c r="Q12" i="69"/>
  <c r="Q11" i="69" s="1"/>
  <c r="Q12" i="39"/>
  <c r="Q11" i="39" s="1"/>
  <c r="K5" i="77" s="1"/>
  <c r="D22" i="16"/>
  <c r="R11" i="87" l="1"/>
  <c r="R10" i="87" s="1"/>
  <c r="R12" i="76"/>
  <c r="R11" i="76" s="1"/>
  <c r="I15" i="17"/>
  <c r="U15" i="17"/>
  <c r="U18" i="17" s="1"/>
  <c r="G8" i="82"/>
  <c r="E20" i="81"/>
  <c r="A2" i="81" s="1" a="1"/>
  <c r="A2" i="81" s="1"/>
  <c r="G8" i="76"/>
  <c r="K2" i="61"/>
  <c r="H4" i="61" s="1"/>
  <c r="D13" i="70"/>
  <c r="D14" i="70" s="1"/>
  <c r="D12" i="70" s="1"/>
  <c r="D3" i="70" s="1"/>
  <c r="D17" i="70" s="1"/>
  <c r="D15" i="70" s="1"/>
  <c r="D18" i="70" s="1"/>
  <c r="D53" i="13"/>
  <c r="D54" i="13" s="1"/>
  <c r="D52" i="13" s="1"/>
  <c r="P3" i="51"/>
  <c r="R12" i="68"/>
  <c r="R11" i="68" s="1"/>
  <c r="R12" i="69"/>
  <c r="R11" i="69" s="1"/>
  <c r="R12" i="39"/>
  <c r="R11" i="39" s="1"/>
  <c r="O4" i="9" s="1"/>
  <c r="O5" i="9" s="1"/>
  <c r="K5" i="56"/>
  <c r="N4" i="9"/>
  <c r="N5" i="9" s="1"/>
  <c r="C5" i="58"/>
  <c r="C3" i="58" s="1"/>
  <c r="D13" i="13"/>
  <c r="H5" i="61"/>
  <c r="H92" i="61"/>
  <c r="I92" i="61" s="1"/>
  <c r="H69" i="61"/>
  <c r="I69" i="61" s="1"/>
  <c r="I18" i="17"/>
  <c r="G8" i="39"/>
  <c r="E8" i="76" l="1"/>
  <c r="F8" i="76"/>
  <c r="D8" i="76"/>
  <c r="C8" i="76"/>
  <c r="G9" i="76"/>
  <c r="E8" i="82"/>
  <c r="E12" i="82" s="1"/>
  <c r="E29" i="82" s="1"/>
  <c r="C8" i="82"/>
  <c r="C12" i="82" s="1"/>
  <c r="C29" i="82" s="1"/>
  <c r="D8" i="82"/>
  <c r="D12" i="82" s="1"/>
  <c r="D29" i="82" s="1"/>
  <c r="F8" i="82"/>
  <c r="F12" i="82" s="1"/>
  <c r="F29" i="82" s="1"/>
  <c r="G12" i="82"/>
  <c r="B14" i="55"/>
  <c r="B14" i="79"/>
  <c r="H102" i="61"/>
  <c r="I102" i="61" s="1"/>
  <c r="H2" i="61"/>
  <c r="H64" i="61" s="1"/>
  <c r="H66" i="61" s="1"/>
  <c r="S11" i="87"/>
  <c r="S10" i="87" s="1"/>
  <c r="S12" i="76"/>
  <c r="S11" i="76" s="1"/>
  <c r="D14" i="13"/>
  <c r="D12" i="13" s="1"/>
  <c r="I17" i="87" s="1"/>
  <c r="D72" i="13"/>
  <c r="D73" i="13" s="1"/>
  <c r="D71" i="13" s="1"/>
  <c r="M17" i="87"/>
  <c r="Q17" i="87"/>
  <c r="U17" i="87"/>
  <c r="Y17" i="87"/>
  <c r="J17" i="87"/>
  <c r="N17" i="87"/>
  <c r="R17" i="87"/>
  <c r="V17" i="87"/>
  <c r="Z17" i="87"/>
  <c r="K17" i="87"/>
  <c r="O17" i="87"/>
  <c r="S17" i="87"/>
  <c r="W17" i="87"/>
  <c r="AA17" i="87"/>
  <c r="L17" i="87"/>
  <c r="P17" i="87"/>
  <c r="T17" i="87"/>
  <c r="X17" i="87"/>
  <c r="H17" i="87"/>
  <c r="AA18" i="76"/>
  <c r="W18" i="76"/>
  <c r="S18" i="76"/>
  <c r="O18" i="76"/>
  <c r="K18" i="76"/>
  <c r="Y18" i="76"/>
  <c r="Q18" i="76"/>
  <c r="M18" i="76"/>
  <c r="X18" i="76"/>
  <c r="P18" i="76"/>
  <c r="Z18" i="76"/>
  <c r="V18" i="76"/>
  <c r="R18" i="76"/>
  <c r="N18" i="76"/>
  <c r="J18" i="76"/>
  <c r="U18" i="76"/>
  <c r="I18" i="76"/>
  <c r="T18" i="76"/>
  <c r="L18" i="76"/>
  <c r="Q3" i="51"/>
  <c r="S12" i="68"/>
  <c r="S11" i="68" s="1"/>
  <c r="S12" i="69"/>
  <c r="S11" i="69" s="1"/>
  <c r="S12" i="39"/>
  <c r="S11" i="39" s="1"/>
  <c r="P4" i="9" s="1"/>
  <c r="P5" i="9" s="1"/>
  <c r="I64" i="61"/>
  <c r="C4" i="58"/>
  <c r="B6" i="59" s="1"/>
  <c r="T18" i="69"/>
  <c r="W18" i="69"/>
  <c r="U18" i="69"/>
  <c r="N18" i="69"/>
  <c r="S18" i="69"/>
  <c r="K18" i="69"/>
  <c r="Z18" i="69"/>
  <c r="X18" i="69"/>
  <c r="I18" i="69"/>
  <c r="Y18" i="69"/>
  <c r="R18" i="69"/>
  <c r="AA18" i="69"/>
  <c r="P18" i="69"/>
  <c r="J18" i="69"/>
  <c r="L18" i="69"/>
  <c r="H18" i="69"/>
  <c r="M18" i="69"/>
  <c r="O18" i="69"/>
  <c r="V18" i="69"/>
  <c r="D43" i="13"/>
  <c r="D57" i="13" s="1"/>
  <c r="D55" i="13" s="1"/>
  <c r="D58" i="13" s="1"/>
  <c r="Q18" i="69"/>
  <c r="C13" i="56"/>
  <c r="F13" i="71"/>
  <c r="E13" i="71"/>
  <c r="D13" i="71"/>
  <c r="C13" i="71"/>
  <c r="G13" i="71"/>
  <c r="I13" i="56"/>
  <c r="D13" i="56"/>
  <c r="F13" i="56"/>
  <c r="J13" i="56"/>
  <c r="K13" i="56"/>
  <c r="B13" i="67"/>
  <c r="C13" i="67" s="1"/>
  <c r="D13" i="67" s="1"/>
  <c r="E13" i="67" s="1"/>
  <c r="F13" i="67" s="1"/>
  <c r="E13" i="56"/>
  <c r="B13" i="56"/>
  <c r="H13" i="56"/>
  <c r="G13" i="56"/>
  <c r="O18" i="39"/>
  <c r="H18" i="39"/>
  <c r="B10" i="56" s="1"/>
  <c r="Q18" i="39"/>
  <c r="T18" i="39"/>
  <c r="U18" i="39"/>
  <c r="C9" i="59"/>
  <c r="X18" i="39"/>
  <c r="I18" i="39"/>
  <c r="M18" i="39"/>
  <c r="Z18" i="39"/>
  <c r="V18" i="39"/>
  <c r="L18" i="39"/>
  <c r="J9" i="59"/>
  <c r="R18" i="39"/>
  <c r="J18" i="39"/>
  <c r="W18" i="39"/>
  <c r="F9" i="59"/>
  <c r="F8" i="59"/>
  <c r="D3" i="13"/>
  <c r="J8" i="59"/>
  <c r="H9" i="59"/>
  <c r="G9" i="59"/>
  <c r="G8" i="59"/>
  <c r="G10" i="59" s="1"/>
  <c r="G11" i="57" s="1"/>
  <c r="C8" i="59"/>
  <c r="C10" i="59" s="1"/>
  <c r="C11" i="57" s="1"/>
  <c r="AA18" i="39"/>
  <c r="K18" i="39"/>
  <c r="E10" i="77" s="1"/>
  <c r="Y18" i="39"/>
  <c r="N18" i="39"/>
  <c r="P18" i="39"/>
  <c r="S18" i="39"/>
  <c r="F8" i="39"/>
  <c r="E8" i="39"/>
  <c r="G9" i="39"/>
  <c r="C8" i="39"/>
  <c r="D8" i="39"/>
  <c r="E18" i="17"/>
  <c r="E21" i="17" s="1"/>
  <c r="C6" i="59"/>
  <c r="C11" i="59" s="1"/>
  <c r="K9" i="59"/>
  <c r="I9" i="59"/>
  <c r="K8" i="59"/>
  <c r="E8" i="59"/>
  <c r="I8" i="59"/>
  <c r="D9" i="59"/>
  <c r="B11" i="59"/>
  <c r="B12" i="59" s="1"/>
  <c r="B13" i="59" s="1"/>
  <c r="E9" i="59"/>
  <c r="I66" i="61"/>
  <c r="H68" i="61"/>
  <c r="F10" i="59"/>
  <c r="F11" i="57" s="1"/>
  <c r="F13" i="78" l="1"/>
  <c r="F13" i="77"/>
  <c r="C13" i="77"/>
  <c r="B13" i="77"/>
  <c r="C13" i="78" s="1"/>
  <c r="G13" i="77"/>
  <c r="G13" i="78"/>
  <c r="E13" i="77"/>
  <c r="I13" i="77"/>
  <c r="E13" i="78"/>
  <c r="J13" i="77"/>
  <c r="D13" i="78"/>
  <c r="H13" i="77"/>
  <c r="K13" i="77"/>
  <c r="D13" i="77"/>
  <c r="C9" i="76"/>
  <c r="C25" i="76"/>
  <c r="D9" i="76"/>
  <c r="D25" i="76"/>
  <c r="T11" i="87"/>
  <c r="T10" i="87" s="1"/>
  <c r="T12" i="76"/>
  <c r="T11" i="76" s="1"/>
  <c r="H18" i="76"/>
  <c r="D62" i="13"/>
  <c r="D76" i="13" s="1"/>
  <c r="D74" i="13" s="1"/>
  <c r="D77" i="13" s="1"/>
  <c r="F25" i="76"/>
  <c r="F9" i="76"/>
  <c r="E25" i="76"/>
  <c r="E9" i="76"/>
  <c r="B14" i="67"/>
  <c r="B13" i="79" s="1"/>
  <c r="B6" i="57"/>
  <c r="B10" i="57" s="1"/>
  <c r="H3" i="61"/>
  <c r="K10" i="56"/>
  <c r="K10" i="77"/>
  <c r="D10" i="56"/>
  <c r="D10" i="77"/>
  <c r="J10" i="56"/>
  <c r="J10" i="77"/>
  <c r="G10" i="56"/>
  <c r="G10" i="77"/>
  <c r="I10" i="56"/>
  <c r="I10" i="77"/>
  <c r="H10" i="56"/>
  <c r="H10" i="77"/>
  <c r="F10" i="56"/>
  <c r="F10" i="77"/>
  <c r="C10" i="56"/>
  <c r="C10" i="77"/>
  <c r="F22" i="82"/>
  <c r="B13" i="55"/>
  <c r="C14" i="67"/>
  <c r="D14" i="67" s="1"/>
  <c r="E14" i="67" s="1"/>
  <c r="F14" i="67" s="1"/>
  <c r="J10" i="59"/>
  <c r="J11" i="57" s="1"/>
  <c r="U19" i="69"/>
  <c r="V19" i="69"/>
  <c r="M19" i="69"/>
  <c r="W19" i="69"/>
  <c r="Q19" i="69"/>
  <c r="X19" i="69"/>
  <c r="J19" i="69"/>
  <c r="Z19" i="69"/>
  <c r="K19" i="69"/>
  <c r="AA19" i="69"/>
  <c r="Y19" i="69"/>
  <c r="I19" i="69"/>
  <c r="R19" i="69"/>
  <c r="S19" i="69"/>
  <c r="L19" i="69"/>
  <c r="N19" i="69"/>
  <c r="T19" i="69"/>
  <c r="O19" i="69"/>
  <c r="P19" i="69"/>
  <c r="H19" i="69"/>
  <c r="H8" i="59"/>
  <c r="H10" i="59" s="1"/>
  <c r="H11" i="57" s="1"/>
  <c r="D8" i="59"/>
  <c r="D10" i="59" s="1"/>
  <c r="D11" i="57" s="1"/>
  <c r="R3" i="51"/>
  <c r="T12" i="68"/>
  <c r="T11" i="68" s="1"/>
  <c r="T12" i="69"/>
  <c r="T11" i="69" s="1"/>
  <c r="T12" i="39"/>
  <c r="T11" i="39" s="1"/>
  <c r="Q4" i="9" s="1"/>
  <c r="Q5" i="9" s="1"/>
  <c r="B12" i="55"/>
  <c r="B12" i="67" s="1"/>
  <c r="B15" i="67" s="1"/>
  <c r="C10" i="71"/>
  <c r="E10" i="71"/>
  <c r="E10" i="56"/>
  <c r="G10" i="71"/>
  <c r="F10" i="71"/>
  <c r="D10" i="71"/>
  <c r="B13" i="57"/>
  <c r="D17" i="13"/>
  <c r="D15" i="13" s="1"/>
  <c r="K10" i="59"/>
  <c r="K11" i="57" s="1"/>
  <c r="K13" i="57" s="1"/>
  <c r="E10" i="59"/>
  <c r="E11" i="57" s="1"/>
  <c r="C7" i="59"/>
  <c r="D6" i="59" s="1"/>
  <c r="C9" i="39"/>
  <c r="C25" i="39"/>
  <c r="E25" i="39"/>
  <c r="E9" i="39"/>
  <c r="D25" i="39"/>
  <c r="D9" i="39"/>
  <c r="F9" i="39"/>
  <c r="F25" i="39"/>
  <c r="I10" i="59"/>
  <c r="I11" i="57" s="1"/>
  <c r="H70" i="61"/>
  <c r="I68" i="61"/>
  <c r="I70" i="61" s="1"/>
  <c r="H11" i="61" s="1"/>
  <c r="G11" i="61"/>
  <c r="B15" i="55"/>
  <c r="U11" i="87" l="1"/>
  <c r="U10" i="87" s="1"/>
  <c r="U12" i="76"/>
  <c r="U11" i="76" s="1"/>
  <c r="B12" i="79"/>
  <c r="B15" i="79" s="1"/>
  <c r="B10" i="77"/>
  <c r="B16" i="81" a="1"/>
  <c r="B16" i="81" s="1"/>
  <c r="B22" i="81" a="1"/>
  <c r="B22" i="81" s="1"/>
  <c r="D18" i="13"/>
  <c r="K18" i="87"/>
  <c r="O18" i="87"/>
  <c r="S18" i="87"/>
  <c r="W18" i="87"/>
  <c r="AA18" i="87"/>
  <c r="AA19" i="87" s="1"/>
  <c r="V18" i="87"/>
  <c r="L18" i="87"/>
  <c r="P18" i="87"/>
  <c r="T18" i="87"/>
  <c r="X18" i="87"/>
  <c r="H18" i="87"/>
  <c r="J18" i="87"/>
  <c r="R18" i="87"/>
  <c r="Z18" i="87"/>
  <c r="I18" i="87"/>
  <c r="M18" i="87"/>
  <c r="Q18" i="87"/>
  <c r="U18" i="87"/>
  <c r="Y18" i="87"/>
  <c r="N18" i="87"/>
  <c r="Y19" i="76"/>
  <c r="Y20" i="76" s="1"/>
  <c r="U19" i="76"/>
  <c r="U20" i="76" s="1"/>
  <c r="U22" i="76" s="1"/>
  <c r="Q19" i="76"/>
  <c r="Q20" i="76" s="1"/>
  <c r="Q22" i="76" s="1"/>
  <c r="M19" i="76"/>
  <c r="M20" i="76" s="1"/>
  <c r="M22" i="76" s="1"/>
  <c r="I19" i="76"/>
  <c r="I20" i="76" s="1"/>
  <c r="I22" i="76" s="1"/>
  <c r="X19" i="76"/>
  <c r="X20" i="76" s="1"/>
  <c r="T19" i="76"/>
  <c r="T20" i="76" s="1"/>
  <c r="T22" i="76" s="1"/>
  <c r="P19" i="76"/>
  <c r="P20" i="76" s="1"/>
  <c r="P22" i="76" s="1"/>
  <c r="L19" i="76"/>
  <c r="L20" i="76" s="1"/>
  <c r="L22" i="76" s="1"/>
  <c r="H20" i="76"/>
  <c r="H22" i="76" s="1"/>
  <c r="V19" i="76"/>
  <c r="V20" i="76" s="1"/>
  <c r="J19" i="76"/>
  <c r="AA19" i="76"/>
  <c r="AA20" i="76" s="1"/>
  <c r="W19" i="76"/>
  <c r="W20" i="76" s="1"/>
  <c r="S19" i="76"/>
  <c r="S20" i="76" s="1"/>
  <c r="S22" i="76" s="1"/>
  <c r="O19" i="76"/>
  <c r="O20" i="76" s="1"/>
  <c r="O22" i="76" s="1"/>
  <c r="K19" i="76"/>
  <c r="K20" i="76" s="1"/>
  <c r="K22" i="76" s="1"/>
  <c r="Z19" i="76"/>
  <c r="Z20" i="76" s="1"/>
  <c r="R19" i="76"/>
  <c r="R20" i="76" s="1"/>
  <c r="R22" i="76" s="1"/>
  <c r="N19" i="76"/>
  <c r="N20" i="76" s="1"/>
  <c r="N22" i="76" s="1"/>
  <c r="C12" i="59"/>
  <c r="C13" i="59" s="1"/>
  <c r="S3" i="51"/>
  <c r="U12" i="68"/>
  <c r="U11" i="68" s="1"/>
  <c r="U12" i="69"/>
  <c r="U11" i="69" s="1"/>
  <c r="U12" i="39"/>
  <c r="U11" i="39" s="1"/>
  <c r="R4" i="9" s="1"/>
  <c r="R5" i="9" s="1"/>
  <c r="H19" i="39"/>
  <c r="H20" i="39" s="1"/>
  <c r="X20" i="69"/>
  <c r="T20" i="69"/>
  <c r="T22" i="69" s="1"/>
  <c r="P20" i="69"/>
  <c r="P22" i="69" s="1"/>
  <c r="L20" i="69"/>
  <c r="L22" i="69" s="1"/>
  <c r="H20" i="69"/>
  <c r="H22" i="69" s="1"/>
  <c r="Y20" i="68"/>
  <c r="U20" i="68"/>
  <c r="U22" i="68" s="1"/>
  <c r="Q20" i="68"/>
  <c r="Q22" i="68" s="1"/>
  <c r="M20" i="68"/>
  <c r="M22" i="68" s="1"/>
  <c r="I20" i="68"/>
  <c r="I22" i="68" s="1"/>
  <c r="AA20" i="69"/>
  <c r="W20" i="69"/>
  <c r="S20" i="69"/>
  <c r="S22" i="69" s="1"/>
  <c r="O20" i="69"/>
  <c r="O22" i="69" s="1"/>
  <c r="K20" i="69"/>
  <c r="K22" i="69" s="1"/>
  <c r="X20" i="68"/>
  <c r="T20" i="68"/>
  <c r="T22" i="68" s="1"/>
  <c r="P20" i="68"/>
  <c r="P22" i="68" s="1"/>
  <c r="L20" i="68"/>
  <c r="L22" i="68" s="1"/>
  <c r="H20" i="68"/>
  <c r="H22" i="68" s="1"/>
  <c r="Z20" i="69"/>
  <c r="V20" i="69"/>
  <c r="R20" i="69"/>
  <c r="R22" i="69" s="1"/>
  <c r="N20" i="69"/>
  <c r="N22" i="69" s="1"/>
  <c r="AA20" i="68"/>
  <c r="W20" i="68"/>
  <c r="S20" i="68"/>
  <c r="S22" i="68" s="1"/>
  <c r="O20" i="68"/>
  <c r="O22" i="68" s="1"/>
  <c r="K20" i="68"/>
  <c r="K22" i="68" s="1"/>
  <c r="Y20" i="69"/>
  <c r="U20" i="69"/>
  <c r="Q20" i="69"/>
  <c r="Q22" i="69" s="1"/>
  <c r="M20" i="69"/>
  <c r="M22" i="69" s="1"/>
  <c r="I20" i="69"/>
  <c r="I22" i="69" s="1"/>
  <c r="Z20" i="68"/>
  <c r="V20" i="68"/>
  <c r="R20" i="68"/>
  <c r="R22" i="68" s="1"/>
  <c r="N20" i="68"/>
  <c r="N22" i="68" s="1"/>
  <c r="L19" i="39"/>
  <c r="I19" i="39"/>
  <c r="C11" i="77" s="1"/>
  <c r="S19" i="39"/>
  <c r="S20" i="39" s="1"/>
  <c r="S22" i="39" s="1"/>
  <c r="W19" i="39"/>
  <c r="W20" i="39" s="1"/>
  <c r="K19" i="39"/>
  <c r="K20" i="39" s="1"/>
  <c r="R19" i="39"/>
  <c r="R20" i="39" s="1"/>
  <c r="R22" i="39" s="1"/>
  <c r="Z19" i="39"/>
  <c r="Z20" i="39" s="1"/>
  <c r="J19" i="39"/>
  <c r="AA19" i="39"/>
  <c r="AA20" i="39" s="1"/>
  <c r="N19" i="39"/>
  <c r="H11" i="77" s="1"/>
  <c r="Y19" i="39"/>
  <c r="Y20" i="39" s="1"/>
  <c r="V19" i="39"/>
  <c r="V20" i="39" s="1"/>
  <c r="S9" i="9" s="1"/>
  <c r="M19" i="39"/>
  <c r="T19" i="39"/>
  <c r="T20" i="39" s="1"/>
  <c r="Q9" i="9" s="1"/>
  <c r="U19" i="39"/>
  <c r="U20" i="39" s="1"/>
  <c r="R9" i="9" s="1"/>
  <c r="X19" i="39"/>
  <c r="X20" i="39" s="1"/>
  <c r="U9" i="9" s="1"/>
  <c r="P19" i="39"/>
  <c r="Q19" i="39"/>
  <c r="O19" i="39"/>
  <c r="I73" i="61"/>
  <c r="I11" i="61" s="1"/>
  <c r="C12" i="67"/>
  <c r="C15" i="67" s="1"/>
  <c r="D11" i="59"/>
  <c r="D7" i="59"/>
  <c r="H88" i="61"/>
  <c r="H73" i="61"/>
  <c r="C10" i="78" l="1"/>
  <c r="D10" i="78" s="1"/>
  <c r="E10" i="78" s="1"/>
  <c r="F10" i="78" s="1"/>
  <c r="G10" i="78" s="1"/>
  <c r="B6" i="77"/>
  <c r="C6" i="78" s="1"/>
  <c r="V11" i="87"/>
  <c r="V10" i="87" s="1"/>
  <c r="V12" i="76"/>
  <c r="V11" i="76" s="1"/>
  <c r="V22" i="76" s="1"/>
  <c r="C6" i="57"/>
  <c r="C10" i="57" s="1"/>
  <c r="C13" i="57" s="1"/>
  <c r="Y28" i="84"/>
  <c r="Y19" i="87"/>
  <c r="I28" i="84"/>
  <c r="I19" i="87"/>
  <c r="I21" i="87" s="1"/>
  <c r="H28" i="84"/>
  <c r="H19" i="87"/>
  <c r="H21" i="87" s="1"/>
  <c r="L28" i="84"/>
  <c r="L19" i="87"/>
  <c r="L21" i="87" s="1"/>
  <c r="S28" i="84"/>
  <c r="S19" i="87"/>
  <c r="S21" i="87" s="1"/>
  <c r="U19" i="87"/>
  <c r="U21" i="87" s="1"/>
  <c r="U28" i="84"/>
  <c r="Z28" i="84"/>
  <c r="Z19" i="87"/>
  <c r="X28" i="84"/>
  <c r="X19" i="87"/>
  <c r="V28" i="84"/>
  <c r="V19" i="87"/>
  <c r="V21" i="87" s="1"/>
  <c r="O28" i="84"/>
  <c r="O19" i="87"/>
  <c r="O21" i="87" s="1"/>
  <c r="Q28" i="84"/>
  <c r="Q19" i="87"/>
  <c r="Q21" i="87" s="1"/>
  <c r="R19" i="87"/>
  <c r="R21" i="87" s="1"/>
  <c r="R28" i="84"/>
  <c r="T28" i="84"/>
  <c r="T19" i="87"/>
  <c r="T21" i="87" s="1"/>
  <c r="K28" i="84"/>
  <c r="K19" i="87"/>
  <c r="K21" i="87" s="1"/>
  <c r="N28" i="84"/>
  <c r="N19" i="87"/>
  <c r="N21" i="87" s="1"/>
  <c r="M28" i="84"/>
  <c r="M19" i="87"/>
  <c r="M21" i="87" s="1"/>
  <c r="J19" i="87"/>
  <c r="G18" i="87" s="1"/>
  <c r="P28" i="84"/>
  <c r="P19" i="87"/>
  <c r="P21" i="87" s="1"/>
  <c r="W28" i="84"/>
  <c r="W19" i="87"/>
  <c r="O25" i="76"/>
  <c r="O23" i="76"/>
  <c r="J20" i="76"/>
  <c r="M25" i="76"/>
  <c r="M23" i="76"/>
  <c r="E6" i="56"/>
  <c r="E12" i="56" s="1"/>
  <c r="E14" i="56" s="1"/>
  <c r="E6" i="77"/>
  <c r="E12" i="77" s="1"/>
  <c r="E14" i="77" s="1"/>
  <c r="K11" i="56"/>
  <c r="K11" i="77"/>
  <c r="R23" i="76"/>
  <c r="R25" i="76"/>
  <c r="S25" i="76"/>
  <c r="S23" i="76"/>
  <c r="T25" i="76"/>
  <c r="T23" i="76"/>
  <c r="Q25" i="76"/>
  <c r="Q23" i="76"/>
  <c r="P23" i="76"/>
  <c r="P25" i="76"/>
  <c r="J11" i="56"/>
  <c r="J11" i="77"/>
  <c r="G11" i="56"/>
  <c r="G11" i="77"/>
  <c r="F6" i="78"/>
  <c r="F12" i="78" s="1"/>
  <c r="F14" i="78" s="1"/>
  <c r="E11" i="77"/>
  <c r="E6" i="78"/>
  <c r="E12" i="78" s="1"/>
  <c r="E14" i="78" s="1"/>
  <c r="E15" i="78" s="1"/>
  <c r="E16" i="78" s="1"/>
  <c r="C22" i="78" s="1"/>
  <c r="D6" i="78"/>
  <c r="D12" i="78" s="1"/>
  <c r="D14" i="78" s="1"/>
  <c r="B9" i="79"/>
  <c r="F11" i="56"/>
  <c r="F11" i="77"/>
  <c r="B11" i="56"/>
  <c r="H23" i="76"/>
  <c r="H25" i="76"/>
  <c r="U25" i="76"/>
  <c r="U23" i="76"/>
  <c r="I11" i="56"/>
  <c r="I11" i="77"/>
  <c r="N25" i="76"/>
  <c r="N23" i="76"/>
  <c r="D11" i="56"/>
  <c r="D11" i="77"/>
  <c r="K25" i="76"/>
  <c r="K23" i="76"/>
  <c r="L23" i="76"/>
  <c r="L25" i="76"/>
  <c r="I23" i="76"/>
  <c r="I25" i="76"/>
  <c r="T3" i="51"/>
  <c r="V12" i="68"/>
  <c r="V11" i="68" s="1"/>
  <c r="V22" i="68" s="1"/>
  <c r="V12" i="69"/>
  <c r="V11" i="69" s="1"/>
  <c r="V22" i="69" s="1"/>
  <c r="V12" i="39"/>
  <c r="V11" i="39" s="1"/>
  <c r="S4" i="9" s="1"/>
  <c r="S5" i="9" s="1"/>
  <c r="U22" i="69"/>
  <c r="U25" i="69" s="1"/>
  <c r="L20" i="39"/>
  <c r="B8" i="55"/>
  <c r="B8" i="67" s="1"/>
  <c r="B9" i="67" s="1"/>
  <c r="B10" i="67" s="1"/>
  <c r="D11" i="71"/>
  <c r="D6" i="71" s="1"/>
  <c r="D12" i="71" s="1"/>
  <c r="D14" i="71" s="1"/>
  <c r="E11" i="71"/>
  <c r="E6" i="71" s="1"/>
  <c r="E12" i="71" s="1"/>
  <c r="E14" i="71" s="1"/>
  <c r="E15" i="71" s="1"/>
  <c r="E16" i="71" s="1"/>
  <c r="C22" i="71" s="1"/>
  <c r="F11" i="71"/>
  <c r="F6" i="71" s="1"/>
  <c r="F12" i="71" s="1"/>
  <c r="F14" i="71" s="1"/>
  <c r="F15" i="71" s="1"/>
  <c r="F16" i="71" s="1"/>
  <c r="C23" i="71" s="1"/>
  <c r="G11" i="71"/>
  <c r="C11" i="71"/>
  <c r="C6" i="71" s="1"/>
  <c r="E11" i="56"/>
  <c r="N20" i="39"/>
  <c r="K9" i="9" s="1"/>
  <c r="H11" i="56"/>
  <c r="I20" i="39"/>
  <c r="I22" i="39" s="1"/>
  <c r="C11" i="56"/>
  <c r="R25" i="69"/>
  <c r="R23" i="69"/>
  <c r="Q23" i="69"/>
  <c r="Q25" i="69"/>
  <c r="K25" i="68"/>
  <c r="K23" i="68"/>
  <c r="P25" i="68"/>
  <c r="P23" i="68"/>
  <c r="O23" i="69"/>
  <c r="O25" i="69"/>
  <c r="I25" i="68"/>
  <c r="I23" i="68"/>
  <c r="T23" i="69"/>
  <c r="T25" i="69"/>
  <c r="R23" i="68"/>
  <c r="R25" i="68"/>
  <c r="K25" i="69"/>
  <c r="K23" i="69"/>
  <c r="U25" i="68"/>
  <c r="U23" i="68"/>
  <c r="X9" i="9"/>
  <c r="X14" i="9" s="1"/>
  <c r="X15" i="9" s="1"/>
  <c r="J20" i="68"/>
  <c r="U23" i="69"/>
  <c r="O23" i="68"/>
  <c r="O25" i="68"/>
  <c r="J20" i="69"/>
  <c r="G19" i="69" s="1"/>
  <c r="T25" i="68"/>
  <c r="T23" i="68"/>
  <c r="S25" i="69"/>
  <c r="S23" i="69"/>
  <c r="M25" i="68"/>
  <c r="M23" i="68"/>
  <c r="H23" i="69"/>
  <c r="M23" i="69"/>
  <c r="M25" i="69"/>
  <c r="L25" i="68"/>
  <c r="L23" i="68"/>
  <c r="P23" i="69"/>
  <c r="P25" i="69"/>
  <c r="N23" i="68"/>
  <c r="N25" i="68"/>
  <c r="I23" i="69"/>
  <c r="I25" i="69"/>
  <c r="S23" i="68"/>
  <c r="S25" i="68"/>
  <c r="N25" i="69"/>
  <c r="N23" i="69"/>
  <c r="H23" i="68"/>
  <c r="Q25" i="68"/>
  <c r="Q23" i="68"/>
  <c r="L25" i="69"/>
  <c r="L23" i="69"/>
  <c r="S25" i="39"/>
  <c r="S29" i="39" s="1"/>
  <c r="S23" i="39"/>
  <c r="R25" i="39"/>
  <c r="R28" i="39" s="1"/>
  <c r="R23" i="39"/>
  <c r="B6" i="56"/>
  <c r="B12" i="56" s="1"/>
  <c r="B14" i="56" s="1"/>
  <c r="H22" i="39"/>
  <c r="O9" i="9"/>
  <c r="O10" i="9" s="1"/>
  <c r="M20" i="39"/>
  <c r="G6" i="77" s="1"/>
  <c r="G12" i="77" s="1"/>
  <c r="G14" i="77" s="1"/>
  <c r="G15" i="77" s="1"/>
  <c r="G16" i="77" s="1"/>
  <c r="P20" i="39"/>
  <c r="J6" i="77" s="1"/>
  <c r="J12" i="77" s="1"/>
  <c r="J14" i="77" s="1"/>
  <c r="P9" i="9"/>
  <c r="P10" i="9" s="1"/>
  <c r="O20" i="39"/>
  <c r="I6" i="77" s="1"/>
  <c r="I12" i="77" s="1"/>
  <c r="I14" i="77" s="1"/>
  <c r="W9" i="9"/>
  <c r="W10" i="9" s="1"/>
  <c r="T9" i="9"/>
  <c r="T14" i="9" s="1"/>
  <c r="T15" i="9" s="1"/>
  <c r="U22" i="39"/>
  <c r="T22" i="39"/>
  <c r="J20" i="39"/>
  <c r="D6" i="77" s="1"/>
  <c r="D12" i="77" s="1"/>
  <c r="D14" i="77" s="1"/>
  <c r="V9" i="9"/>
  <c r="V10" i="9" s="1"/>
  <c r="Q20" i="39"/>
  <c r="K6" i="77" s="1"/>
  <c r="K12" i="77" s="1"/>
  <c r="K14" i="77" s="1"/>
  <c r="K15" i="77" s="1"/>
  <c r="K16" i="77" s="1"/>
  <c r="R10" i="9"/>
  <c r="R14" i="9"/>
  <c r="R15" i="9" s="1"/>
  <c r="K22" i="39"/>
  <c r="H9" i="9"/>
  <c r="U14" i="9"/>
  <c r="U15" i="9" s="1"/>
  <c r="U10" i="9"/>
  <c r="Q10" i="9"/>
  <c r="Q14" i="9"/>
  <c r="Q15" i="9" s="1"/>
  <c r="D12" i="59"/>
  <c r="D13" i="59" s="1"/>
  <c r="E6" i="59"/>
  <c r="D12" i="67"/>
  <c r="D15" i="67" s="1"/>
  <c r="I88" i="61"/>
  <c r="H90" i="61"/>
  <c r="S14" i="9"/>
  <c r="S15" i="9" s="1"/>
  <c r="S10" i="9"/>
  <c r="E9" i="9"/>
  <c r="V25" i="76" l="1"/>
  <c r="V23" i="76"/>
  <c r="D6" i="57"/>
  <c r="D10" i="57" s="1"/>
  <c r="D13" i="57" s="1"/>
  <c r="W11" i="87"/>
  <c r="W10" i="87" s="1"/>
  <c r="W21" i="87" s="1"/>
  <c r="W12" i="76"/>
  <c r="W11" i="76" s="1"/>
  <c r="W22" i="76" s="1"/>
  <c r="V22" i="39"/>
  <c r="B12" i="77"/>
  <c r="J28" i="84"/>
  <c r="K24" i="87"/>
  <c r="K22" i="87"/>
  <c r="O57" i="84"/>
  <c r="O59" i="84" s="1"/>
  <c r="O30" i="84"/>
  <c r="U24" i="87"/>
  <c r="U22" i="87"/>
  <c r="L24" i="87"/>
  <c r="L22" i="87"/>
  <c r="I57" i="84"/>
  <c r="I59" i="84" s="1"/>
  <c r="I30" i="84"/>
  <c r="P57" i="84"/>
  <c r="P59" i="84" s="1"/>
  <c r="P30" i="84"/>
  <c r="N22" i="87"/>
  <c r="N24" i="87"/>
  <c r="K57" i="84"/>
  <c r="K59" i="84" s="1"/>
  <c r="K30" i="84"/>
  <c r="T22" i="87"/>
  <c r="T24" i="87"/>
  <c r="R57" i="84"/>
  <c r="R59" i="84" s="1"/>
  <c r="R30" i="84"/>
  <c r="Q57" i="84"/>
  <c r="Q59" i="84" s="1"/>
  <c r="Q30" i="84"/>
  <c r="V22" i="87"/>
  <c r="V24" i="87"/>
  <c r="Z57" i="84"/>
  <c r="Z59" i="84" s="1"/>
  <c r="Z30" i="84"/>
  <c r="S22" i="87"/>
  <c r="S24" i="87"/>
  <c r="L57" i="84"/>
  <c r="L59" i="84" s="1"/>
  <c r="L30" i="84"/>
  <c r="H57" i="84"/>
  <c r="H59" i="84" s="1"/>
  <c r="H61" i="84" s="1"/>
  <c r="H30" i="84"/>
  <c r="W57" i="84"/>
  <c r="W59" i="84" s="1"/>
  <c r="W30" i="84"/>
  <c r="G16" i="87"/>
  <c r="G15" i="87"/>
  <c r="G17" i="87"/>
  <c r="J21" i="87"/>
  <c r="G14" i="87"/>
  <c r="M22" i="87"/>
  <c r="M24" i="87"/>
  <c r="R24" i="87"/>
  <c r="R22" i="87"/>
  <c r="O22" i="87"/>
  <c r="O24" i="87"/>
  <c r="X57" i="84"/>
  <c r="X59" i="84" s="1"/>
  <c r="X30" i="84"/>
  <c r="I22" i="87"/>
  <c r="I24" i="87"/>
  <c r="Y57" i="84"/>
  <c r="Y59" i="84" s="1"/>
  <c r="Y30" i="84"/>
  <c r="P22" i="87"/>
  <c r="P24" i="87"/>
  <c r="M57" i="84"/>
  <c r="M59" i="84" s="1"/>
  <c r="M30" i="84"/>
  <c r="N57" i="84"/>
  <c r="N59" i="84" s="1"/>
  <c r="N30" i="84"/>
  <c r="T57" i="84"/>
  <c r="T59" i="84" s="1"/>
  <c r="T30" i="84"/>
  <c r="Q24" i="87"/>
  <c r="Q22" i="87"/>
  <c r="V57" i="84"/>
  <c r="V59" i="84" s="1"/>
  <c r="V30" i="84"/>
  <c r="U57" i="84"/>
  <c r="U59" i="84" s="1"/>
  <c r="U30" i="84"/>
  <c r="S57" i="84"/>
  <c r="S59" i="84" s="1"/>
  <c r="S30" i="84"/>
  <c r="H22" i="87"/>
  <c r="H24" i="87"/>
  <c r="F9" i="9"/>
  <c r="B10" i="79"/>
  <c r="B16" i="79" s="1"/>
  <c r="I15" i="77"/>
  <c r="I16" i="77" s="1"/>
  <c r="K29" i="76"/>
  <c r="K28" i="76"/>
  <c r="R29" i="76"/>
  <c r="R28" i="76"/>
  <c r="E15" i="77"/>
  <c r="E16" i="77" s="1"/>
  <c r="G18" i="76"/>
  <c r="J22" i="76"/>
  <c r="G16" i="76"/>
  <c r="G17" i="76"/>
  <c r="G15" i="76"/>
  <c r="I28" i="76"/>
  <c r="I29" i="76"/>
  <c r="H29" i="76"/>
  <c r="H30" i="76"/>
  <c r="H28" i="76"/>
  <c r="F15" i="78"/>
  <c r="F16" i="78" s="1"/>
  <c r="C23" i="78" s="1"/>
  <c r="Q28" i="76"/>
  <c r="Q29" i="76"/>
  <c r="V28" i="76"/>
  <c r="V29" i="76"/>
  <c r="G19" i="76"/>
  <c r="J15" i="77"/>
  <c r="J16" i="77" s="1"/>
  <c r="C6" i="56"/>
  <c r="C12" i="56" s="1"/>
  <c r="C14" i="56" s="1"/>
  <c r="C15" i="56" s="1"/>
  <c r="C16" i="56" s="1"/>
  <c r="C5" i="57" s="1"/>
  <c r="C6" i="77"/>
  <c r="C12" i="77" s="1"/>
  <c r="C14" i="77" s="1"/>
  <c r="C15" i="77" s="1"/>
  <c r="C16" i="77" s="1"/>
  <c r="N29" i="76"/>
  <c r="N28" i="76"/>
  <c r="U28" i="76"/>
  <c r="U29" i="76"/>
  <c r="D15" i="78"/>
  <c r="D16" i="78" s="1"/>
  <c r="C21" i="78" s="1"/>
  <c r="P29" i="76"/>
  <c r="P28" i="76"/>
  <c r="H6" i="56"/>
  <c r="H12" i="56" s="1"/>
  <c r="H14" i="56" s="1"/>
  <c r="H15" i="56" s="1"/>
  <c r="H16" i="56" s="1"/>
  <c r="H5" i="57" s="1"/>
  <c r="H6" i="77"/>
  <c r="H12" i="77" s="1"/>
  <c r="H14" i="77" s="1"/>
  <c r="H15" i="77" s="1"/>
  <c r="H16" i="77" s="1"/>
  <c r="F6" i="56"/>
  <c r="F12" i="56" s="1"/>
  <c r="F14" i="56" s="1"/>
  <c r="F15" i="56" s="1"/>
  <c r="F16" i="56" s="1"/>
  <c r="F5" i="57" s="1"/>
  <c r="F6" i="77"/>
  <c r="F12" i="77" s="1"/>
  <c r="F14" i="77" s="1"/>
  <c r="L22" i="39"/>
  <c r="L23" i="39" s="1"/>
  <c r="D15" i="77"/>
  <c r="D16" i="77" s="1"/>
  <c r="L29" i="76"/>
  <c r="L28" i="76"/>
  <c r="G6" i="78"/>
  <c r="G12" i="78" s="1"/>
  <c r="G14" i="78" s="1"/>
  <c r="G15" i="78" s="1"/>
  <c r="G16" i="78" s="1"/>
  <c r="C24" i="78" s="1"/>
  <c r="T29" i="76"/>
  <c r="T28" i="76"/>
  <c r="S28" i="76"/>
  <c r="S29" i="76"/>
  <c r="M29" i="76"/>
  <c r="M28" i="76"/>
  <c r="O29" i="76"/>
  <c r="O28" i="76"/>
  <c r="V25" i="69"/>
  <c r="V28" i="69" s="1"/>
  <c r="V23" i="69"/>
  <c r="V23" i="68"/>
  <c r="V25" i="68"/>
  <c r="V28" i="68" s="1"/>
  <c r="U3" i="51"/>
  <c r="W12" i="68"/>
  <c r="W11" i="68" s="1"/>
  <c r="W22" i="68" s="1"/>
  <c r="W12" i="69"/>
  <c r="W11" i="69" s="1"/>
  <c r="W22" i="69" s="1"/>
  <c r="W12" i="39"/>
  <c r="W11" i="39" s="1"/>
  <c r="I9" i="9"/>
  <c r="I10" i="9" s="1"/>
  <c r="P14" i="9"/>
  <c r="P15" i="9" s="1"/>
  <c r="X10" i="9"/>
  <c r="B9" i="55"/>
  <c r="B10" i="55" s="1"/>
  <c r="B16" i="55" s="1"/>
  <c r="N22" i="39"/>
  <c r="N23" i="39" s="1"/>
  <c r="G6" i="71"/>
  <c r="G12" i="71" s="1"/>
  <c r="G14" i="71" s="1"/>
  <c r="G15" i="71" s="1"/>
  <c r="G16" i="71" s="1"/>
  <c r="C24" i="71" s="1"/>
  <c r="C12" i="71"/>
  <c r="C14" i="71" s="1"/>
  <c r="C15" i="71" s="1"/>
  <c r="C16" i="71" s="1"/>
  <c r="C20" i="71" s="1"/>
  <c r="D22" i="71" s="1"/>
  <c r="D15" i="71"/>
  <c r="D16" i="71" s="1"/>
  <c r="C21" i="71" s="1"/>
  <c r="P28" i="69"/>
  <c r="P29" i="69"/>
  <c r="G17" i="68"/>
  <c r="J22" i="68"/>
  <c r="G15" i="68"/>
  <c r="G16" i="68"/>
  <c r="G18" i="68"/>
  <c r="K29" i="69"/>
  <c r="K28" i="69"/>
  <c r="E15" i="56"/>
  <c r="E16" i="56" s="1"/>
  <c r="E5" i="57" s="1"/>
  <c r="Q29" i="68"/>
  <c r="Q28" i="68"/>
  <c r="N29" i="69"/>
  <c r="N28" i="69"/>
  <c r="S29" i="69"/>
  <c r="S28" i="69"/>
  <c r="G19" i="68"/>
  <c r="O29" i="69"/>
  <c r="O28" i="69"/>
  <c r="Q29" i="69"/>
  <c r="Q28" i="69"/>
  <c r="O29" i="68"/>
  <c r="O28" i="68"/>
  <c r="U28" i="69"/>
  <c r="U29" i="69"/>
  <c r="I29" i="68"/>
  <c r="I28" i="68"/>
  <c r="P29" i="68"/>
  <c r="P28" i="68"/>
  <c r="R28" i="69"/>
  <c r="R29" i="69"/>
  <c r="S28" i="68"/>
  <c r="S29" i="68"/>
  <c r="N29" i="68"/>
  <c r="N28" i="68"/>
  <c r="M28" i="69"/>
  <c r="M29" i="69"/>
  <c r="J22" i="69"/>
  <c r="G17" i="69"/>
  <c r="G15" i="69"/>
  <c r="G16" i="69"/>
  <c r="G18" i="69"/>
  <c r="U29" i="68"/>
  <c r="U28" i="68"/>
  <c r="K29" i="68"/>
  <c r="K28" i="68"/>
  <c r="B15" i="56"/>
  <c r="B16" i="56" s="1"/>
  <c r="B5" i="57" s="1"/>
  <c r="I28" i="69"/>
  <c r="I29" i="69"/>
  <c r="L29" i="69"/>
  <c r="L28" i="69"/>
  <c r="L29" i="68"/>
  <c r="L28" i="68"/>
  <c r="M29" i="68"/>
  <c r="M28" i="68"/>
  <c r="T29" i="68"/>
  <c r="T28" i="68"/>
  <c r="R29" i="68"/>
  <c r="R28" i="68"/>
  <c r="T29" i="69"/>
  <c r="T28" i="69"/>
  <c r="H23" i="39"/>
  <c r="H30" i="39"/>
  <c r="H39" i="39" s="1"/>
  <c r="R29" i="39"/>
  <c r="S28" i="39"/>
  <c r="U25" i="39"/>
  <c r="U28" i="39" s="1"/>
  <c r="U23" i="39"/>
  <c r="K25" i="39"/>
  <c r="K29" i="39" s="1"/>
  <c r="K23" i="39"/>
  <c r="I29" i="39"/>
  <c r="I23" i="39"/>
  <c r="T25" i="39"/>
  <c r="T28" i="39" s="1"/>
  <c r="T23" i="39"/>
  <c r="L9" i="9"/>
  <c r="L14" i="9" s="1"/>
  <c r="L15" i="9" s="1"/>
  <c r="I6" i="56"/>
  <c r="N9" i="9"/>
  <c r="N14" i="9" s="1"/>
  <c r="N15" i="9" s="1"/>
  <c r="K6" i="56"/>
  <c r="J6" i="56"/>
  <c r="O14" i="9"/>
  <c r="O15" i="9" s="1"/>
  <c r="G19" i="39"/>
  <c r="D6" i="56"/>
  <c r="J9" i="9"/>
  <c r="J10" i="9" s="1"/>
  <c r="G6" i="56"/>
  <c r="G12" i="56" s="1"/>
  <c r="G14" i="56" s="1"/>
  <c r="W14" i="9"/>
  <c r="W15" i="9" s="1"/>
  <c r="T10" i="9"/>
  <c r="V14" i="9"/>
  <c r="V15" i="9" s="1"/>
  <c r="M9" i="9"/>
  <c r="M14" i="9" s="1"/>
  <c r="M15" i="9" s="1"/>
  <c r="M22" i="39"/>
  <c r="P22" i="39"/>
  <c r="O22" i="39"/>
  <c r="G18" i="39"/>
  <c r="G16" i="39"/>
  <c r="G15" i="39"/>
  <c r="G9" i="9"/>
  <c r="G10" i="9" s="1"/>
  <c r="J22" i="39"/>
  <c r="G17" i="39"/>
  <c r="Q22" i="39"/>
  <c r="E12" i="67"/>
  <c r="E15" i="67" s="1"/>
  <c r="I90" i="61"/>
  <c r="H96" i="61"/>
  <c r="H94" i="61"/>
  <c r="I94" i="61" s="1"/>
  <c r="E11" i="59"/>
  <c r="E7" i="59"/>
  <c r="B16" i="67"/>
  <c r="B20" i="67" s="1"/>
  <c r="C8" i="67"/>
  <c r="F10" i="9"/>
  <c r="F14" i="9"/>
  <c r="F15" i="9" s="1"/>
  <c r="E14" i="9"/>
  <c r="E15" i="9" s="1"/>
  <c r="E10" i="9"/>
  <c r="H10" i="9"/>
  <c r="H14" i="9"/>
  <c r="H15" i="9" s="1"/>
  <c r="K10" i="9"/>
  <c r="K14" i="9"/>
  <c r="K15" i="9" s="1"/>
  <c r="W24" i="87" l="1"/>
  <c r="W22" i="87"/>
  <c r="X11" i="87"/>
  <c r="X10" i="87" s="1"/>
  <c r="X21" i="87" s="1"/>
  <c r="X12" i="76"/>
  <c r="X11" i="76" s="1"/>
  <c r="X22" i="76" s="1"/>
  <c r="V25" i="39"/>
  <c r="V23" i="39"/>
  <c r="W25" i="76"/>
  <c r="W23" i="76"/>
  <c r="B14" i="77"/>
  <c r="C12" i="78"/>
  <c r="N25" i="39"/>
  <c r="N28" i="39" s="1"/>
  <c r="L25" i="39"/>
  <c r="L29" i="39" s="1"/>
  <c r="V29" i="68"/>
  <c r="P28" i="87"/>
  <c r="P27" i="87"/>
  <c r="I28" i="87"/>
  <c r="I27" i="87"/>
  <c r="X31" i="84"/>
  <c r="X32" i="84"/>
  <c r="O28" i="87"/>
  <c r="O27" i="87"/>
  <c r="P32" i="84"/>
  <c r="P31" i="84"/>
  <c r="I32" i="84"/>
  <c r="I31" i="84"/>
  <c r="O31" i="84"/>
  <c r="O32" i="84"/>
  <c r="H28" i="87"/>
  <c r="H29" i="87"/>
  <c r="H27" i="87"/>
  <c r="U31" i="84"/>
  <c r="U32" i="84"/>
  <c r="V31" i="84"/>
  <c r="V32" i="84"/>
  <c r="N31" i="84"/>
  <c r="N32" i="84"/>
  <c r="J24" i="87"/>
  <c r="J22" i="87"/>
  <c r="W31" i="84"/>
  <c r="W32" i="84"/>
  <c r="H32" i="84"/>
  <c r="H31" i="84"/>
  <c r="S27" i="87"/>
  <c r="S28" i="87"/>
  <c r="Q32" i="84"/>
  <c r="Q31" i="84"/>
  <c r="T27" i="87"/>
  <c r="T28" i="87"/>
  <c r="L28" i="87"/>
  <c r="L27" i="87"/>
  <c r="K28" i="87"/>
  <c r="K27" i="87"/>
  <c r="G26" i="84"/>
  <c r="J57" i="84"/>
  <c r="J59" i="84" s="1"/>
  <c r="G24" i="84"/>
  <c r="G23" i="84"/>
  <c r="J29" i="84"/>
  <c r="G25" i="84"/>
  <c r="J30" i="84"/>
  <c r="G22" i="84"/>
  <c r="Q27" i="87"/>
  <c r="Q28" i="87"/>
  <c r="Y32" i="84"/>
  <c r="Y31" i="84"/>
  <c r="M27" i="87"/>
  <c r="M28" i="87"/>
  <c r="N27" i="87"/>
  <c r="N28" i="87"/>
  <c r="K28" i="39"/>
  <c r="S32" i="84"/>
  <c r="S31" i="84"/>
  <c r="T32" i="84"/>
  <c r="T31" i="84"/>
  <c r="M32" i="84"/>
  <c r="M31" i="84"/>
  <c r="R27" i="87"/>
  <c r="R28" i="87"/>
  <c r="L32" i="84"/>
  <c r="L31" i="84"/>
  <c r="Z32" i="84"/>
  <c r="Z31" i="84"/>
  <c r="V27" i="87"/>
  <c r="V28" i="87"/>
  <c r="R32" i="84"/>
  <c r="R31" i="84"/>
  <c r="K32" i="84"/>
  <c r="K31" i="84"/>
  <c r="U28" i="87"/>
  <c r="U27" i="87"/>
  <c r="G27" i="84"/>
  <c r="W27" i="87"/>
  <c r="W28" i="87"/>
  <c r="D24" i="71"/>
  <c r="D23" i="71"/>
  <c r="D21" i="71"/>
  <c r="V29" i="69"/>
  <c r="F15" i="77"/>
  <c r="F16" i="77" s="1"/>
  <c r="H39" i="76"/>
  <c r="H41" i="76" s="1"/>
  <c r="I30" i="76"/>
  <c r="H38" i="76"/>
  <c r="H40" i="76" s="1"/>
  <c r="J25" i="76"/>
  <c r="J23" i="76"/>
  <c r="I14" i="9"/>
  <c r="I15" i="9" s="1"/>
  <c r="W23" i="69"/>
  <c r="W25" i="69"/>
  <c r="T4" i="9"/>
  <c r="T5" i="9" s="1"/>
  <c r="W22" i="39"/>
  <c r="W25" i="68"/>
  <c r="W23" i="68"/>
  <c r="V3" i="51"/>
  <c r="X12" i="68"/>
  <c r="X11" i="68" s="1"/>
  <c r="X22" i="68" s="1"/>
  <c r="X12" i="69"/>
  <c r="X11" i="69" s="1"/>
  <c r="X22" i="69" s="1"/>
  <c r="X12" i="39"/>
  <c r="X11" i="39" s="1"/>
  <c r="L28" i="39"/>
  <c r="L10" i="9"/>
  <c r="H28" i="39"/>
  <c r="T29" i="39"/>
  <c r="G15" i="56"/>
  <c r="G16" i="56" s="1"/>
  <c r="G5" i="57" s="1"/>
  <c r="J25" i="69"/>
  <c r="J23" i="69"/>
  <c r="J23" i="68"/>
  <c r="J25" i="68"/>
  <c r="H29" i="39"/>
  <c r="I28" i="39"/>
  <c r="N29" i="39"/>
  <c r="I12" i="56"/>
  <c r="I14" i="56" s="1"/>
  <c r="U29" i="39"/>
  <c r="D12" i="56"/>
  <c r="D14" i="56" s="1"/>
  <c r="M25" i="39"/>
  <c r="M28" i="39" s="1"/>
  <c r="M23" i="39"/>
  <c r="O25" i="39"/>
  <c r="O28" i="39" s="1"/>
  <c r="O23" i="39"/>
  <c r="Q25" i="39"/>
  <c r="Q29" i="39" s="1"/>
  <c r="Q23" i="39"/>
  <c r="J28" i="39"/>
  <c r="J23" i="39"/>
  <c r="P25" i="39"/>
  <c r="P29" i="39" s="1"/>
  <c r="P23" i="39"/>
  <c r="K12" i="56"/>
  <c r="K14" i="56" s="1"/>
  <c r="M10" i="9"/>
  <c r="J14" i="9"/>
  <c r="J15" i="9" s="1"/>
  <c r="N10" i="9"/>
  <c r="J12" i="56"/>
  <c r="J14" i="56" s="1"/>
  <c r="G14" i="9"/>
  <c r="G15" i="9" s="1"/>
  <c r="E12" i="59"/>
  <c r="E13" i="59" s="1"/>
  <c r="E6" i="57" s="1"/>
  <c r="E10" i="57" s="1"/>
  <c r="F6" i="59"/>
  <c r="F12" i="67"/>
  <c r="F15" i="67" s="1"/>
  <c r="H98" i="61"/>
  <c r="I98" i="61" s="1"/>
  <c r="H100" i="61"/>
  <c r="I96" i="61"/>
  <c r="J11" i="61" s="1"/>
  <c r="H38" i="39"/>
  <c r="I30" i="39"/>
  <c r="H41" i="39"/>
  <c r="C9" i="67"/>
  <c r="C10" i="67" s="1"/>
  <c r="C16" i="67" s="1"/>
  <c r="B21" i="67" s="1"/>
  <c r="D8" i="67"/>
  <c r="W29" i="76" l="1"/>
  <c r="W28" i="76"/>
  <c r="Y11" i="87"/>
  <c r="Y10" i="87" s="1"/>
  <c r="Y21" i="87" s="1"/>
  <c r="Y12" i="76"/>
  <c r="Y11" i="76" s="1"/>
  <c r="Y22" i="76" s="1"/>
  <c r="V29" i="39"/>
  <c r="V28" i="39"/>
  <c r="X25" i="76"/>
  <c r="X23" i="76"/>
  <c r="X24" i="87"/>
  <c r="X22" i="87"/>
  <c r="C14" i="78"/>
  <c r="B15" i="77"/>
  <c r="T34" i="84"/>
  <c r="T35" i="84"/>
  <c r="S35" i="84"/>
  <c r="S34" i="84"/>
  <c r="J32" i="84"/>
  <c r="J31" i="84"/>
  <c r="H36" i="84"/>
  <c r="H35" i="84"/>
  <c r="G40" i="84"/>
  <c r="H34" i="84"/>
  <c r="P35" i="84"/>
  <c r="P34" i="84"/>
  <c r="J27" i="87"/>
  <c r="J28" i="87"/>
  <c r="V34" i="84"/>
  <c r="V35" i="84"/>
  <c r="I29" i="87"/>
  <c r="H37" i="87"/>
  <c r="H39" i="87" s="1"/>
  <c r="H38" i="87"/>
  <c r="H40" i="87" s="1"/>
  <c r="K34" i="84"/>
  <c r="K35" i="84"/>
  <c r="L34" i="84"/>
  <c r="L35" i="84"/>
  <c r="M34" i="84"/>
  <c r="M35" i="84"/>
  <c r="Q35" i="84"/>
  <c r="Q34" i="84"/>
  <c r="I35" i="84"/>
  <c r="I34" i="84"/>
  <c r="R35" i="84"/>
  <c r="R34" i="84"/>
  <c r="Z35" i="84"/>
  <c r="Z34" i="84"/>
  <c r="Y35" i="84"/>
  <c r="Y34" i="84"/>
  <c r="W35" i="84"/>
  <c r="W34" i="84"/>
  <c r="N34" i="84"/>
  <c r="N35" i="84"/>
  <c r="U35" i="84"/>
  <c r="U34" i="84"/>
  <c r="O35" i="84"/>
  <c r="O34" i="84"/>
  <c r="X35" i="84"/>
  <c r="X34" i="84"/>
  <c r="P28" i="39"/>
  <c r="J29" i="76"/>
  <c r="J28" i="76"/>
  <c r="I39" i="76"/>
  <c r="I41" i="76" s="1"/>
  <c r="J30" i="76"/>
  <c r="I38" i="76"/>
  <c r="I40" i="76" s="1"/>
  <c r="X25" i="68"/>
  <c r="X23" i="68"/>
  <c r="W23" i="39"/>
  <c r="W25" i="39"/>
  <c r="W3" i="51"/>
  <c r="Y12" i="68"/>
  <c r="Y11" i="68" s="1"/>
  <c r="Y22" i="68" s="1"/>
  <c r="Y12" i="69"/>
  <c r="Y11" i="69" s="1"/>
  <c r="Y22" i="69" s="1"/>
  <c r="Y12" i="39"/>
  <c r="Y11" i="39" s="1"/>
  <c r="U4" i="9"/>
  <c r="U5" i="9" s="1"/>
  <c r="X22" i="39"/>
  <c r="W29" i="69"/>
  <c r="W28" i="69"/>
  <c r="X25" i="69"/>
  <c r="X23" i="69"/>
  <c r="W28" i="68"/>
  <c r="W29" i="68"/>
  <c r="D15" i="56"/>
  <c r="D16" i="56" s="1"/>
  <c r="D5" i="57" s="1"/>
  <c r="J29" i="68"/>
  <c r="J28" i="68"/>
  <c r="J15" i="56"/>
  <c r="J16" i="56" s="1"/>
  <c r="J5" i="57" s="1"/>
  <c r="K15" i="56"/>
  <c r="K16" i="56" s="1"/>
  <c r="K5" i="57" s="1"/>
  <c r="I15" i="56"/>
  <c r="I16" i="56" s="1"/>
  <c r="I5" i="57" s="1"/>
  <c r="J29" i="69"/>
  <c r="J28" i="69"/>
  <c r="J29" i="39"/>
  <c r="M29" i="39"/>
  <c r="O29" i="39"/>
  <c r="Q28" i="39"/>
  <c r="D9" i="67"/>
  <c r="D10" i="67" s="1"/>
  <c r="D16" i="67" s="1"/>
  <c r="B22" i="67" s="1"/>
  <c r="E8" i="67"/>
  <c r="E13" i="57"/>
  <c r="F11" i="59"/>
  <c r="F7" i="59"/>
  <c r="H40" i="39"/>
  <c r="I38" i="39"/>
  <c r="I40" i="39" s="1"/>
  <c r="I39" i="39"/>
  <c r="I41" i="39" s="1"/>
  <c r="J30" i="39"/>
  <c r="I100" i="61"/>
  <c r="H104" i="61"/>
  <c r="I104" i="61" s="1"/>
  <c r="X29" i="76" l="1"/>
  <c r="X28" i="76"/>
  <c r="Z11" i="87"/>
  <c r="Z10" i="87" s="1"/>
  <c r="Z21" i="87" s="1"/>
  <c r="Z12" i="76"/>
  <c r="Z11" i="76" s="1"/>
  <c r="Z22" i="76" s="1"/>
  <c r="B16" i="77"/>
  <c r="C16" i="78" s="1"/>
  <c r="C20" i="78" s="1"/>
  <c r="C15" i="78"/>
  <c r="Y25" i="76"/>
  <c r="Y23" i="76"/>
  <c r="Y24" i="87"/>
  <c r="Y22" i="87"/>
  <c r="X28" i="87"/>
  <c r="X27" i="87"/>
  <c r="J29" i="87"/>
  <c r="I38" i="87"/>
  <c r="I40" i="87" s="1"/>
  <c r="I37" i="87"/>
  <c r="I39" i="87" s="1"/>
  <c r="I36" i="84"/>
  <c r="H45" i="84"/>
  <c r="H47" i="84" s="1"/>
  <c r="H44" i="84"/>
  <c r="H46" i="84" s="1"/>
  <c r="J35" i="84"/>
  <c r="J34" i="84"/>
  <c r="G39" i="84" s="1"/>
  <c r="K30" i="76"/>
  <c r="J39" i="76"/>
  <c r="J41" i="76" s="1"/>
  <c r="J38" i="76"/>
  <c r="J40" i="76" s="1"/>
  <c r="V4" i="9"/>
  <c r="V5" i="9" s="1"/>
  <c r="Y22" i="39"/>
  <c r="W28" i="39"/>
  <c r="W29" i="39"/>
  <c r="Y25" i="69"/>
  <c r="Y23" i="69"/>
  <c r="X25" i="39"/>
  <c r="X23" i="39"/>
  <c r="Y23" i="68"/>
  <c r="Y25" i="68"/>
  <c r="X28" i="69"/>
  <c r="X29" i="69"/>
  <c r="X3" i="51"/>
  <c r="Z12" i="68"/>
  <c r="Z11" i="68" s="1"/>
  <c r="Z22" i="68" s="1"/>
  <c r="Z12" i="69"/>
  <c r="Z11" i="69" s="1"/>
  <c r="Z22" i="69" s="1"/>
  <c r="Z12" i="39"/>
  <c r="Z11" i="39" s="1"/>
  <c r="X28" i="68"/>
  <c r="X29" i="68"/>
  <c r="E9" i="67"/>
  <c r="E10" i="67" s="1"/>
  <c r="E16" i="67" s="1"/>
  <c r="B23" i="67" s="1"/>
  <c r="F8" i="67"/>
  <c r="F9" i="67" s="1"/>
  <c r="F10" i="67" s="1"/>
  <c r="F16" i="67" s="1"/>
  <c r="B24" i="67" s="1"/>
  <c r="B8" i="57"/>
  <c r="J39" i="39"/>
  <c r="J41" i="39" s="1"/>
  <c r="J38" i="39"/>
  <c r="J40" i="39" s="1"/>
  <c r="K30" i="39"/>
  <c r="C8" i="57"/>
  <c r="C15" i="57" s="1"/>
  <c r="F12" i="59"/>
  <c r="F13" i="59" s="1"/>
  <c r="F6" i="57" s="1"/>
  <c r="F10" i="57" s="1"/>
  <c r="G6" i="59"/>
  <c r="D22" i="78" l="1"/>
  <c r="D24" i="78"/>
  <c r="D21" i="78"/>
  <c r="D23" i="78"/>
  <c r="Z23" i="76"/>
  <c r="Z25" i="76"/>
  <c r="Z24" i="87"/>
  <c r="Z22" i="87"/>
  <c r="AA11" i="87"/>
  <c r="AA10" i="87" s="1"/>
  <c r="AA21" i="87" s="1"/>
  <c r="AA12" i="76"/>
  <c r="AA11" i="76" s="1"/>
  <c r="AA22" i="76" s="1"/>
  <c r="Y27" i="87"/>
  <c r="Y28" i="87"/>
  <c r="Y28" i="76"/>
  <c r="Y29" i="76"/>
  <c r="K29" i="87"/>
  <c r="J38" i="87"/>
  <c r="J40" i="87" s="1"/>
  <c r="J37" i="87"/>
  <c r="J39" i="87" s="1"/>
  <c r="I45" i="84"/>
  <c r="I47" i="84" s="1"/>
  <c r="J36" i="84"/>
  <c r="I44" i="84"/>
  <c r="I46" i="84" s="1"/>
  <c r="K39" i="76"/>
  <c r="K41" i="76" s="1"/>
  <c r="K38" i="76"/>
  <c r="K40" i="76" s="1"/>
  <c r="L30" i="76"/>
  <c r="Z25" i="69"/>
  <c r="Z23" i="69"/>
  <c r="X28" i="39"/>
  <c r="X29" i="39"/>
  <c r="Z25" i="68"/>
  <c r="Z23" i="68"/>
  <c r="Y29" i="68"/>
  <c r="Y28" i="68"/>
  <c r="Y25" i="39"/>
  <c r="Y23" i="39"/>
  <c r="W4" i="9"/>
  <c r="W5" i="9" s="1"/>
  <c r="Z22" i="39"/>
  <c r="AA12" i="68"/>
  <c r="AA11" i="68" s="1"/>
  <c r="AA22" i="68" s="1"/>
  <c r="AA12" i="69"/>
  <c r="AA11" i="69" s="1"/>
  <c r="AA22" i="69" s="1"/>
  <c r="AA12" i="39"/>
  <c r="AA11" i="39" s="1"/>
  <c r="Y29" i="69"/>
  <c r="Y28" i="69"/>
  <c r="E8" i="57"/>
  <c r="E15" i="57" s="1"/>
  <c r="F13" i="57"/>
  <c r="B15" i="57"/>
  <c r="D8" i="57"/>
  <c r="D15" i="57" s="1"/>
  <c r="G11" i="59"/>
  <c r="G13" i="59" s="1"/>
  <c r="G6" i="57" s="1"/>
  <c r="G10" i="57" s="1"/>
  <c r="G7" i="59"/>
  <c r="K38" i="39"/>
  <c r="L30" i="39"/>
  <c r="K39" i="39"/>
  <c r="K41" i="39" s="1"/>
  <c r="Z28" i="87" l="1"/>
  <c r="Z27" i="87"/>
  <c r="Z29" i="76"/>
  <c r="Z28" i="76"/>
  <c r="AA23" i="76"/>
  <c r="AA25" i="76"/>
  <c r="AA24" i="87"/>
  <c r="AA22" i="87"/>
  <c r="J44" i="84"/>
  <c r="J46" i="84" s="1"/>
  <c r="K36" i="84"/>
  <c r="J45" i="84"/>
  <c r="J47" i="84" s="1"/>
  <c r="K37" i="87"/>
  <c r="K39" i="87" s="1"/>
  <c r="L29" i="87"/>
  <c r="K38" i="87"/>
  <c r="K40" i="87" s="1"/>
  <c r="L39" i="76"/>
  <c r="L41" i="76" s="1"/>
  <c r="L38" i="76"/>
  <c r="L40" i="76" s="1"/>
  <c r="M30" i="76"/>
  <c r="AA25" i="69"/>
  <c r="AA23" i="69"/>
  <c r="X4" i="9"/>
  <c r="X5" i="9" s="1"/>
  <c r="AA22" i="39"/>
  <c r="AA23" i="68"/>
  <c r="AA25" i="68"/>
  <c r="Y29" i="39"/>
  <c r="Y28" i="39"/>
  <c r="Z29" i="68"/>
  <c r="Z28" i="68"/>
  <c r="Z23" i="39"/>
  <c r="Z25" i="39"/>
  <c r="Z29" i="69"/>
  <c r="Z28" i="69"/>
  <c r="K40" i="39"/>
  <c r="G12" i="59"/>
  <c r="H6" i="59"/>
  <c r="K8" i="57"/>
  <c r="G13" i="57"/>
  <c r="L38" i="39"/>
  <c r="L40" i="39" s="1"/>
  <c r="M30" i="39"/>
  <c r="L39" i="39"/>
  <c r="L41" i="39" s="1"/>
  <c r="AA29" i="76" l="1"/>
  <c r="AA28" i="76"/>
  <c r="G33" i="76" s="1"/>
  <c r="G34" i="76"/>
  <c r="AA27" i="87"/>
  <c r="G32" i="87" s="1"/>
  <c r="AA28" i="87"/>
  <c r="G33" i="87"/>
  <c r="L37" i="87"/>
  <c r="L39" i="87" s="1"/>
  <c r="M29" i="87"/>
  <c r="L38" i="87"/>
  <c r="L40" i="87" s="1"/>
  <c r="L36" i="84"/>
  <c r="K45" i="84"/>
  <c r="K47" i="84" s="1"/>
  <c r="K44" i="84"/>
  <c r="K46" i="84" s="1"/>
  <c r="N30" i="76"/>
  <c r="M39" i="76"/>
  <c r="M41" i="76" s="1"/>
  <c r="M38" i="76"/>
  <c r="M40" i="76" s="1"/>
  <c r="AA29" i="68"/>
  <c r="AA28" i="68"/>
  <c r="Z28" i="39"/>
  <c r="Z29" i="39"/>
  <c r="AA23" i="39"/>
  <c r="AA25" i="39"/>
  <c r="AA29" i="69"/>
  <c r="AA28" i="69"/>
  <c r="H11" i="59"/>
  <c r="H13" i="59" s="1"/>
  <c r="H6" i="57" s="1"/>
  <c r="H10" i="57" s="1"/>
  <c r="H7" i="59"/>
  <c r="M38" i="39"/>
  <c r="M40" i="39" s="1"/>
  <c r="N30" i="39"/>
  <c r="M39" i="39"/>
  <c r="M41" i="39" s="1"/>
  <c r="F8" i="57"/>
  <c r="M36" i="84" l="1"/>
  <c r="L44" i="84"/>
  <c r="L46" i="84" s="1"/>
  <c r="L45" i="84"/>
  <c r="L47" i="84" s="1"/>
  <c r="M37" i="87"/>
  <c r="M39" i="87" s="1"/>
  <c r="M38" i="87"/>
  <c r="M40" i="87" s="1"/>
  <c r="N29" i="87"/>
  <c r="O30" i="76"/>
  <c r="N39" i="76"/>
  <c r="N41" i="76" s="1"/>
  <c r="N38" i="76"/>
  <c r="N40" i="76" s="1"/>
  <c r="AA28" i="39"/>
  <c r="G33" i="39" s="1"/>
  <c r="AA29" i="39"/>
  <c r="G34" i="39"/>
  <c r="N38" i="39"/>
  <c r="N39" i="39"/>
  <c r="N41" i="39" s="1"/>
  <c r="O30" i="39"/>
  <c r="G8" i="57"/>
  <c r="H12" i="59"/>
  <c r="I6" i="59"/>
  <c r="F15" i="57"/>
  <c r="H13" i="57"/>
  <c r="N38" i="87" l="1"/>
  <c r="N40" i="87" s="1"/>
  <c r="N37" i="87"/>
  <c r="N39" i="87" s="1"/>
  <c r="O29" i="87"/>
  <c r="N36" i="84"/>
  <c r="M45" i="84"/>
  <c r="M47" i="84" s="1"/>
  <c r="M44" i="84"/>
  <c r="M46" i="84" s="1"/>
  <c r="O39" i="76"/>
  <c r="O41" i="76" s="1"/>
  <c r="O38" i="76"/>
  <c r="O40" i="76" s="1"/>
  <c r="P30" i="76"/>
  <c r="G15" i="57"/>
  <c r="I7" i="59"/>
  <c r="I11" i="59"/>
  <c r="I13" i="59" s="1"/>
  <c r="I6" i="57" s="1"/>
  <c r="I10" i="57" s="1"/>
  <c r="O39" i="39"/>
  <c r="O41" i="39" s="1"/>
  <c r="P30" i="39"/>
  <c r="O38" i="39"/>
  <c r="O40" i="39" s="1"/>
  <c r="N40" i="39"/>
  <c r="N45" i="84" l="1"/>
  <c r="N47" i="84" s="1"/>
  <c r="N44" i="84"/>
  <c r="N46" i="84" s="1"/>
  <c r="O36" i="84"/>
  <c r="O38" i="87"/>
  <c r="O40" i="87" s="1"/>
  <c r="O37" i="87"/>
  <c r="O39" i="87" s="1"/>
  <c r="P29" i="87"/>
  <c r="P38" i="76"/>
  <c r="P40" i="76" s="1"/>
  <c r="Q30" i="76"/>
  <c r="P39" i="76"/>
  <c r="P41" i="76" s="1"/>
  <c r="P38" i="39"/>
  <c r="P40" i="39" s="1"/>
  <c r="P39" i="39"/>
  <c r="P41" i="39" s="1"/>
  <c r="Q30" i="39"/>
  <c r="H8" i="57"/>
  <c r="I13" i="57"/>
  <c r="I12" i="59"/>
  <c r="J6" i="59"/>
  <c r="O44" i="84" l="1"/>
  <c r="O46" i="84" s="1"/>
  <c r="O45" i="84"/>
  <c r="O47" i="84" s="1"/>
  <c r="P36" i="84"/>
  <c r="Q29" i="87"/>
  <c r="P38" i="87"/>
  <c r="P40" i="87" s="1"/>
  <c r="P37" i="87"/>
  <c r="P39" i="87" s="1"/>
  <c r="R30" i="76"/>
  <c r="Q39" i="76"/>
  <c r="Q41" i="76" s="1"/>
  <c r="Q38" i="76"/>
  <c r="Q40" i="76" s="1"/>
  <c r="Q38" i="39"/>
  <c r="Q40" i="39" s="1"/>
  <c r="Q39" i="39"/>
  <c r="Q41" i="39" s="1"/>
  <c r="R30" i="39"/>
  <c r="H15" i="57"/>
  <c r="J11" i="59"/>
  <c r="J13" i="59" s="1"/>
  <c r="J6" i="57" s="1"/>
  <c r="J7" i="59"/>
  <c r="J10" i="57" l="1"/>
  <c r="J13" i="57" s="1"/>
  <c r="J8" i="57"/>
  <c r="R29" i="87"/>
  <c r="Q38" i="87"/>
  <c r="Q40" i="87" s="1"/>
  <c r="Q37" i="87"/>
  <c r="Q39" i="87" s="1"/>
  <c r="P44" i="84"/>
  <c r="P46" i="84" s="1"/>
  <c r="P45" i="84"/>
  <c r="P47" i="84" s="1"/>
  <c r="Q36" i="84"/>
  <c r="S30" i="76"/>
  <c r="R39" i="76"/>
  <c r="R41" i="76" s="1"/>
  <c r="R38" i="76"/>
  <c r="R40" i="76" s="1"/>
  <c r="J12" i="59"/>
  <c r="K6" i="59"/>
  <c r="K7" i="59" s="1"/>
  <c r="R38" i="39"/>
  <c r="R40" i="39" s="1"/>
  <c r="R39" i="39"/>
  <c r="R41" i="39" s="1"/>
  <c r="S30" i="39"/>
  <c r="I8" i="57"/>
  <c r="B17" i="57" s="1"/>
  <c r="S29" i="87" l="1"/>
  <c r="R37" i="87"/>
  <c r="R39" i="87" s="1"/>
  <c r="R38" i="87"/>
  <c r="R40" i="87" s="1"/>
  <c r="Q45" i="84"/>
  <c r="Q47" i="84" s="1"/>
  <c r="R36" i="84"/>
  <c r="Q44" i="84"/>
  <c r="Q46" i="84" s="1"/>
  <c r="S39" i="76"/>
  <c r="S41" i="76" s="1"/>
  <c r="S38" i="76"/>
  <c r="S40" i="76" s="1"/>
  <c r="T30" i="76"/>
  <c r="I15" i="57"/>
  <c r="S39" i="39"/>
  <c r="S41" i="39" s="1"/>
  <c r="T30" i="39"/>
  <c r="S38" i="39"/>
  <c r="S40" i="39" s="1"/>
  <c r="R44" i="84" l="1"/>
  <c r="R46" i="84" s="1"/>
  <c r="S36" i="84"/>
  <c r="R45" i="84"/>
  <c r="R47" i="84" s="1"/>
  <c r="S37" i="87"/>
  <c r="S39" i="87" s="1"/>
  <c r="T29" i="87"/>
  <c r="S38" i="87"/>
  <c r="S40" i="87" s="1"/>
  <c r="T39" i="76"/>
  <c r="T41" i="76" s="1"/>
  <c r="U30" i="76"/>
  <c r="T38" i="76"/>
  <c r="T40" i="76" s="1"/>
  <c r="T39" i="39"/>
  <c r="T41" i="39" s="1"/>
  <c r="T38" i="39"/>
  <c r="T40" i="39" s="1"/>
  <c r="U30" i="39"/>
  <c r="T37" i="87" l="1"/>
  <c r="T39" i="87" s="1"/>
  <c r="U29" i="87"/>
  <c r="T38" i="87"/>
  <c r="T40" i="87" s="1"/>
  <c r="T36" i="84"/>
  <c r="S44" i="84"/>
  <c r="S46" i="84" s="1"/>
  <c r="S45" i="84"/>
  <c r="S47" i="84" s="1"/>
  <c r="V30" i="76"/>
  <c r="U39" i="76"/>
  <c r="U41" i="76" s="1"/>
  <c r="U38" i="76"/>
  <c r="U40" i="76" s="1"/>
  <c r="U38" i="39"/>
  <c r="U40" i="39" s="1"/>
  <c r="U39" i="39"/>
  <c r="U41" i="39" s="1"/>
  <c r="V30" i="39"/>
  <c r="T45" i="84" l="1"/>
  <c r="T47" i="84" s="1"/>
  <c r="U36" i="84"/>
  <c r="T44" i="84"/>
  <c r="T46" i="84" s="1"/>
  <c r="V29" i="87"/>
  <c r="U37" i="87"/>
  <c r="U39" i="87" s="1"/>
  <c r="U38" i="87"/>
  <c r="U40" i="87" s="1"/>
  <c r="W30" i="76"/>
  <c r="V39" i="76"/>
  <c r="V41" i="76" s="1"/>
  <c r="V38" i="76"/>
  <c r="V40" i="76" s="1"/>
  <c r="V39" i="39"/>
  <c r="V41" i="39" s="1"/>
  <c r="V38" i="39"/>
  <c r="V40" i="39" s="1"/>
  <c r="W30" i="39"/>
  <c r="V37" i="87" l="1"/>
  <c r="V39" i="87" s="1"/>
  <c r="W29" i="87"/>
  <c r="V38" i="87"/>
  <c r="V40" i="87" s="1"/>
  <c r="V36" i="84"/>
  <c r="U45" i="84"/>
  <c r="U47" i="84" s="1"/>
  <c r="U44" i="84"/>
  <c r="U46" i="84" s="1"/>
  <c r="W39" i="76"/>
  <c r="W41" i="76" s="1"/>
  <c r="W38" i="76"/>
  <c r="W40" i="76" s="1"/>
  <c r="X30" i="76"/>
  <c r="W39" i="39"/>
  <c r="W41" i="39" s="1"/>
  <c r="X30" i="39"/>
  <c r="W38" i="39"/>
  <c r="W40" i="39" s="1"/>
  <c r="V45" i="84" l="1"/>
  <c r="V47" i="84" s="1"/>
  <c r="V44" i="84"/>
  <c r="V46" i="84" s="1"/>
  <c r="W36" i="84"/>
  <c r="W38" i="87"/>
  <c r="W40" i="87" s="1"/>
  <c r="W37" i="87"/>
  <c r="W39" i="87" s="1"/>
  <c r="X29" i="87"/>
  <c r="X38" i="76"/>
  <c r="X40" i="76" s="1"/>
  <c r="Y30" i="76"/>
  <c r="X39" i="76"/>
  <c r="X41" i="76" s="1"/>
  <c r="X38" i="39"/>
  <c r="X40" i="39" s="1"/>
  <c r="X39" i="39"/>
  <c r="X41" i="39" s="1"/>
  <c r="Y30" i="39"/>
  <c r="X38" i="87" l="1"/>
  <c r="X40" i="87" s="1"/>
  <c r="Y29" i="87"/>
  <c r="X37" i="87"/>
  <c r="X39" i="87" s="1"/>
  <c r="X36" i="84"/>
  <c r="W44" i="84"/>
  <c r="W46" i="84" s="1"/>
  <c r="W45" i="84"/>
  <c r="W47" i="84" s="1"/>
  <c r="Z30" i="76"/>
  <c r="Y39" i="76"/>
  <c r="Y41" i="76" s="1"/>
  <c r="Y38" i="76"/>
  <c r="Y40" i="76" s="1"/>
  <c r="Y39" i="39"/>
  <c r="Y41" i="39" s="1"/>
  <c r="Y38" i="39"/>
  <c r="Y40" i="39" s="1"/>
  <c r="Z30" i="39"/>
  <c r="Y38" i="87" l="1"/>
  <c r="Y40" i="87" s="1"/>
  <c r="Z29" i="87"/>
  <c r="Y37" i="87"/>
  <c r="Y39" i="87" s="1"/>
  <c r="X44" i="84"/>
  <c r="X46" i="84" s="1"/>
  <c r="Y36" i="84"/>
  <c r="X45" i="84"/>
  <c r="X47" i="84" s="1"/>
  <c r="AA30" i="76"/>
  <c r="Z39" i="76"/>
  <c r="Z41" i="76" s="1"/>
  <c r="Z38" i="76"/>
  <c r="Z40" i="76" s="1"/>
  <c r="Z38" i="39"/>
  <c r="Z40" i="39" s="1"/>
  <c r="AA30" i="39"/>
  <c r="Z39" i="39"/>
  <c r="Z41" i="39" s="1"/>
  <c r="Z38" i="87" l="1"/>
  <c r="Z40" i="87" s="1"/>
  <c r="AA29" i="87"/>
  <c r="Z37" i="87"/>
  <c r="Z39" i="87" s="1"/>
  <c r="Y44" i="84"/>
  <c r="Y46" i="84" s="1"/>
  <c r="Z36" i="84"/>
  <c r="Y45" i="84"/>
  <c r="Y47" i="84" s="1"/>
  <c r="AA39" i="76"/>
  <c r="AA41" i="76" s="1"/>
  <c r="G36" i="76" s="1"/>
  <c r="AA38" i="76"/>
  <c r="AA40" i="76" s="1"/>
  <c r="G35" i="76" s="1"/>
  <c r="AA38" i="39"/>
  <c r="AA40" i="39" s="1"/>
  <c r="G35" i="39" s="1"/>
  <c r="AA39" i="39"/>
  <c r="AA41" i="39" s="1"/>
  <c r="G36" i="39" s="1"/>
  <c r="H4" i="16"/>
  <c r="H3" i="16" s="1"/>
  <c r="H22" i="16" s="1"/>
  <c r="Z44" i="84" l="1"/>
  <c r="Z46" i="84" s="1"/>
  <c r="G41" i="84" s="1"/>
  <c r="Z45" i="84"/>
  <c r="Z47" i="84" s="1"/>
  <c r="G42" i="84" s="1"/>
  <c r="AA37" i="87"/>
  <c r="AA39" i="87" s="1"/>
  <c r="G34" i="87" s="1"/>
  <c r="AA38" i="87"/>
  <c r="AA40" i="87" s="1"/>
  <c r="G35" i="87" s="1"/>
  <c r="O15" i="17"/>
  <c r="R15" i="17" s="1"/>
  <c r="R18" i="17" s="1"/>
  <c r="G8" i="69"/>
  <c r="C8" i="69" s="1"/>
  <c r="O18" i="17"/>
  <c r="L18" i="17"/>
  <c r="C8" i="68"/>
  <c r="E8" i="68"/>
  <c r="D8" i="68"/>
  <c r="F8" i="68"/>
  <c r="G9" i="68"/>
  <c r="D8" i="69" l="1"/>
  <c r="G9" i="69"/>
  <c r="F8" i="69"/>
  <c r="F25" i="69" s="1"/>
  <c r="E8" i="69"/>
  <c r="E25" i="69" s="1"/>
  <c r="F25" i="68"/>
  <c r="F9" i="68"/>
  <c r="C25" i="68"/>
  <c r="C9" i="68"/>
  <c r="D25" i="69"/>
  <c r="D9" i="69"/>
  <c r="C9" i="69"/>
  <c r="C25" i="69"/>
  <c r="D9" i="68"/>
  <c r="D25" i="68"/>
  <c r="E25" i="68"/>
  <c r="E9" i="68"/>
  <c r="E9" i="69"/>
  <c r="F9" i="69" l="1"/>
  <c r="H25" i="69"/>
  <c r="H28" i="69" s="1"/>
  <c r="G33" i="69" s="1"/>
  <c r="H25" i="68"/>
  <c r="G34" i="68" s="1"/>
  <c r="G34" i="69"/>
  <c r="H29" i="69" l="1"/>
  <c r="H30" i="69"/>
  <c r="H30" i="68"/>
  <c r="H29" i="68"/>
  <c r="H28" i="68"/>
  <c r="G33" i="68" s="1"/>
  <c r="H38" i="68" l="1"/>
  <c r="H40" i="68" s="1"/>
  <c r="I30" i="68"/>
  <c r="H39" i="68"/>
  <c r="H41" i="68" s="1"/>
  <c r="H38" i="69"/>
  <c r="H40" i="69" s="1"/>
  <c r="H39" i="69"/>
  <c r="H41" i="69" s="1"/>
  <c r="I30" i="69"/>
  <c r="J30" i="69" l="1"/>
  <c r="I39" i="69"/>
  <c r="I41" i="69" s="1"/>
  <c r="I38" i="69"/>
  <c r="I40" i="69" s="1"/>
  <c r="I39" i="68"/>
  <c r="I41" i="68" s="1"/>
  <c r="I38" i="68"/>
  <c r="I40" i="68" s="1"/>
  <c r="J30" i="68"/>
  <c r="J39" i="68" l="1"/>
  <c r="J41" i="68" s="1"/>
  <c r="J38" i="68"/>
  <c r="J40" i="68" s="1"/>
  <c r="K30" i="68"/>
  <c r="K30" i="69"/>
  <c r="J39" i="69"/>
  <c r="J41" i="69" s="1"/>
  <c r="J38" i="69"/>
  <c r="J40" i="69" s="1"/>
  <c r="K39" i="69" l="1"/>
  <c r="K41" i="69" s="1"/>
  <c r="L30" i="69"/>
  <c r="K38" i="69"/>
  <c r="K40" i="69" s="1"/>
  <c r="K38" i="68"/>
  <c r="K40" i="68" s="1"/>
  <c r="L30" i="68"/>
  <c r="K39" i="68"/>
  <c r="K41" i="68" s="1"/>
  <c r="L39" i="69" l="1"/>
  <c r="L41" i="69" s="1"/>
  <c r="L38" i="69"/>
  <c r="L40" i="69" s="1"/>
  <c r="M30" i="69"/>
  <c r="L38" i="68"/>
  <c r="L40" i="68" s="1"/>
  <c r="M30" i="68"/>
  <c r="L39" i="68"/>
  <c r="L41" i="68" s="1"/>
  <c r="N30" i="69" l="1"/>
  <c r="M38" i="69"/>
  <c r="M40" i="69" s="1"/>
  <c r="M39" i="69"/>
  <c r="M41" i="69" s="1"/>
  <c r="M38" i="68"/>
  <c r="M40" i="68" s="1"/>
  <c r="N30" i="68"/>
  <c r="M39" i="68"/>
  <c r="M41" i="68" s="1"/>
  <c r="N38" i="68" l="1"/>
  <c r="N40" i="68" s="1"/>
  <c r="N39" i="68"/>
  <c r="N41" i="68" s="1"/>
  <c r="O30" i="68"/>
  <c r="N39" i="69"/>
  <c r="N41" i="69" s="1"/>
  <c r="N38" i="69"/>
  <c r="N40" i="69" s="1"/>
  <c r="O30" i="69"/>
  <c r="P30" i="68" l="1"/>
  <c r="O38" i="68"/>
  <c r="O40" i="68" s="1"/>
  <c r="O39" i="68"/>
  <c r="O41" i="68" s="1"/>
  <c r="O39" i="69"/>
  <c r="O41" i="69" s="1"/>
  <c r="P30" i="69"/>
  <c r="O38" i="69"/>
  <c r="O40" i="69" s="1"/>
  <c r="P38" i="69" l="1"/>
  <c r="P40" i="69" s="1"/>
  <c r="Q30" i="69"/>
  <c r="P39" i="69"/>
  <c r="P41" i="69" s="1"/>
  <c r="P38" i="68"/>
  <c r="P40" i="68" s="1"/>
  <c r="P39" i="68"/>
  <c r="P41" i="68" s="1"/>
  <c r="Q30" i="68"/>
  <c r="R30" i="68" l="1"/>
  <c r="Q38" i="68"/>
  <c r="Q40" i="68" s="1"/>
  <c r="Q39" i="68"/>
  <c r="Q41" i="68" s="1"/>
  <c r="R30" i="69"/>
  <c r="Q39" i="69"/>
  <c r="Q41" i="69" s="1"/>
  <c r="Q38" i="69"/>
  <c r="Q40" i="69" s="1"/>
  <c r="R39" i="69" l="1"/>
  <c r="R41" i="69" s="1"/>
  <c r="R38" i="69"/>
  <c r="R40" i="69" s="1"/>
  <c r="S30" i="69"/>
  <c r="R38" i="68"/>
  <c r="R40" i="68" s="1"/>
  <c r="R39" i="68"/>
  <c r="R41" i="68" s="1"/>
  <c r="S30" i="68"/>
  <c r="S39" i="69" l="1"/>
  <c r="S41" i="69" s="1"/>
  <c r="S38" i="69"/>
  <c r="S40" i="69" s="1"/>
  <c r="T30" i="69"/>
  <c r="T30" i="68"/>
  <c r="S38" i="68"/>
  <c r="S40" i="68" s="1"/>
  <c r="S39" i="68"/>
  <c r="S41" i="68" s="1"/>
  <c r="T39" i="68" l="1"/>
  <c r="T41" i="68" s="1"/>
  <c r="T38" i="68"/>
  <c r="T40" i="68" s="1"/>
  <c r="U30" i="68"/>
  <c r="U30" i="69"/>
  <c r="T39" i="69"/>
  <c r="T41" i="69" s="1"/>
  <c r="T38" i="69"/>
  <c r="T40" i="69" s="1"/>
  <c r="U38" i="69" l="1"/>
  <c r="U40" i="69" s="1"/>
  <c r="U39" i="69"/>
  <c r="U41" i="69" s="1"/>
  <c r="V30" i="69"/>
  <c r="U39" i="68"/>
  <c r="U41" i="68" s="1"/>
  <c r="V30" i="68"/>
  <c r="U38" i="68"/>
  <c r="U40" i="68" s="1"/>
  <c r="W30" i="69" l="1"/>
  <c r="V39" i="69"/>
  <c r="V41" i="69" s="1"/>
  <c r="V38" i="69"/>
  <c r="V40" i="69" s="1"/>
  <c r="V39" i="68"/>
  <c r="V41" i="68" s="1"/>
  <c r="W30" i="68"/>
  <c r="V38" i="68"/>
  <c r="V40" i="68" s="1"/>
  <c r="W39" i="68" l="1"/>
  <c r="W41" i="68" s="1"/>
  <c r="X30" i="68"/>
  <c r="W38" i="68"/>
  <c r="W40" i="68" s="1"/>
  <c r="W38" i="69"/>
  <c r="W40" i="69" s="1"/>
  <c r="X30" i="69"/>
  <c r="W39" i="69"/>
  <c r="W41" i="69" s="1"/>
  <c r="X38" i="68" l="1"/>
  <c r="X40" i="68" s="1"/>
  <c r="Y30" i="68"/>
  <c r="X39" i="68"/>
  <c r="X41" i="68" s="1"/>
  <c r="X38" i="69"/>
  <c r="X40" i="69" s="1"/>
  <c r="X39" i="69"/>
  <c r="X41" i="69" s="1"/>
  <c r="Y30" i="69"/>
  <c r="Z30" i="69" l="1"/>
  <c r="Y38" i="69"/>
  <c r="Y40" i="69" s="1"/>
  <c r="Y39" i="69"/>
  <c r="Y41" i="69" s="1"/>
  <c r="Z30" i="68"/>
  <c r="Y38" i="68"/>
  <c r="Y40" i="68" s="1"/>
  <c r="Y39" i="68"/>
  <c r="Y41" i="68" s="1"/>
  <c r="Z38" i="68" l="1"/>
  <c r="Z40" i="68" s="1"/>
  <c r="Z39" i="68"/>
  <c r="Z41" i="68" s="1"/>
  <c r="AA30" i="68"/>
  <c r="Z39" i="69"/>
  <c r="Z41" i="69" s="1"/>
  <c r="Z38" i="69"/>
  <c r="Z40" i="69" s="1"/>
  <c r="AA30" i="69"/>
  <c r="AA39" i="68" l="1"/>
  <c r="AA41" i="68" s="1"/>
  <c r="G36" i="68" s="1"/>
  <c r="AA38" i="68"/>
  <c r="AA40" i="68" s="1"/>
  <c r="G35" i="68" s="1"/>
  <c r="AA39" i="69"/>
  <c r="AA41" i="69" s="1"/>
  <c r="G36" i="69" s="1"/>
  <c r="AA38" i="69"/>
  <c r="AA40" i="69" s="1"/>
  <c r="G35" i="69" s="1"/>
  <c r="Y16" i="88" l="1"/>
  <c r="Y23" i="82" s="1"/>
  <c r="Q16" i="88"/>
  <c r="Q23" i="82" s="1"/>
  <c r="I16" i="88"/>
  <c r="I23" i="82" s="1"/>
  <c r="W16" i="88"/>
  <c r="W23" i="82" s="1"/>
  <c r="V16" i="88"/>
  <c r="V23" i="82" s="1"/>
  <c r="M16" i="88"/>
  <c r="M23" i="82" s="1"/>
  <c r="L16" i="88"/>
  <c r="L23" i="82" s="1"/>
  <c r="AA16" i="88"/>
  <c r="S16" i="88"/>
  <c r="S23" i="82" s="1"/>
  <c r="R16" i="88"/>
  <c r="R23" i="82" s="1"/>
  <c r="J16" i="88"/>
  <c r="J23" i="82" s="1"/>
  <c r="B15" i="81" s="1" a="1"/>
  <c r="B15" i="81" s="1"/>
  <c r="X16" i="88"/>
  <c r="X23" i="82" s="1"/>
  <c r="P16" i="88"/>
  <c r="P23" i="82" s="1"/>
  <c r="H16" i="88"/>
  <c r="H23" i="82" s="1"/>
  <c r="O16" i="88"/>
  <c r="O23" i="82" s="1"/>
  <c r="N16" i="88"/>
  <c r="N23" i="82" s="1"/>
  <c r="U16" i="88"/>
  <c r="U23" i="82" s="1"/>
  <c r="T16" i="88"/>
  <c r="T23" i="82" s="1"/>
  <c r="K16" i="88"/>
  <c r="K23" i="82" s="1"/>
  <c r="Z16" i="88"/>
  <c r="Z23" i="82" s="1"/>
  <c r="H14" i="88" l="1"/>
  <c r="H20" i="82" l="1"/>
  <c r="I14" i="88"/>
  <c r="I20" i="82" l="1"/>
  <c r="T18" i="88"/>
  <c r="T25" i="82" s="1"/>
  <c r="L18" i="88"/>
  <c r="L25" i="82" s="1"/>
  <c r="AA18" i="88"/>
  <c r="S18" i="88"/>
  <c r="S25" i="82" s="1"/>
  <c r="K18" i="88"/>
  <c r="K25" i="82" s="1"/>
  <c r="X18" i="88"/>
  <c r="X25" i="82" s="1"/>
  <c r="Z18" i="88"/>
  <c r="Z25" i="82" s="1"/>
  <c r="R18" i="88"/>
  <c r="R25" i="82" s="1"/>
  <c r="J18" i="88"/>
  <c r="P18" i="88"/>
  <c r="P25" i="82" s="1"/>
  <c r="M18" i="88"/>
  <c r="M25" i="82" s="1"/>
  <c r="Y18" i="88"/>
  <c r="Y25" i="82" s="1"/>
  <c r="Q18" i="88"/>
  <c r="Q25" i="82" s="1"/>
  <c r="I18" i="88"/>
  <c r="I25" i="82" s="1"/>
  <c r="H18" i="88"/>
  <c r="W18" i="88"/>
  <c r="W25" i="82" s="1"/>
  <c r="O18" i="88"/>
  <c r="O25" i="82" s="1"/>
  <c r="V18" i="88"/>
  <c r="V25" i="82" s="1"/>
  <c r="N18" i="88"/>
  <c r="N25" i="82" s="1"/>
  <c r="U18" i="88"/>
  <c r="U25" i="82" s="1"/>
  <c r="J14" i="88"/>
  <c r="I26" i="82" l="1"/>
  <c r="H25" i="82"/>
  <c r="H26" i="82" s="1"/>
  <c r="H19" i="88"/>
  <c r="H21" i="88" s="1"/>
  <c r="I19" i="88"/>
  <c r="I21" i="88" s="1"/>
  <c r="I24" i="88" s="1"/>
  <c r="J20" i="82"/>
  <c r="J19" i="88"/>
  <c r="G14" i="88" s="1"/>
  <c r="J25" i="82"/>
  <c r="B17" i="81" s="1" a="1"/>
  <c r="B17" i="81" s="1"/>
  <c r="I55" i="82"/>
  <c r="I57" i="82" s="1"/>
  <c r="I28" i="82"/>
  <c r="K14" i="88"/>
  <c r="B12" i="81" l="1" a="1"/>
  <c r="B12" i="81" s="1"/>
  <c r="B21" i="81" a="1"/>
  <c r="B21" i="81" s="1"/>
  <c r="I22" i="88"/>
  <c r="G18" i="88"/>
  <c r="H24" i="88"/>
  <c r="H22" i="88"/>
  <c r="H28" i="82"/>
  <c r="H55" i="82"/>
  <c r="H57" i="82" s="1"/>
  <c r="H59" i="82" s="1"/>
  <c r="K19" i="88"/>
  <c r="K21" i="88" s="1"/>
  <c r="K20" i="82"/>
  <c r="K26" i="82" s="1"/>
  <c r="E4" i="81" s="1"/>
  <c r="I28" i="88"/>
  <c r="I27" i="88"/>
  <c r="G16" i="88"/>
  <c r="J21" i="88"/>
  <c r="G15" i="88"/>
  <c r="G17" i="88"/>
  <c r="J26" i="82"/>
  <c r="F21" i="82"/>
  <c r="I29" i="82"/>
  <c r="I30" i="82"/>
  <c r="L14" i="88"/>
  <c r="G20" i="82" l="1"/>
  <c r="B18" i="81" a="1"/>
  <c r="B18" i="81" s="1"/>
  <c r="H29" i="82"/>
  <c r="H30" i="82"/>
  <c r="H27" i="88"/>
  <c r="H28" i="88"/>
  <c r="H29" i="88"/>
  <c r="J55" i="82"/>
  <c r="J57" i="82" s="1"/>
  <c r="J27" i="82"/>
  <c r="B11" i="81" s="1" a="1"/>
  <c r="B11" i="81" s="1"/>
  <c r="G23" i="82"/>
  <c r="G22" i="82"/>
  <c r="J28" i="82"/>
  <c r="G21" i="82"/>
  <c r="G24" i="82"/>
  <c r="G25" i="82"/>
  <c r="I32" i="82"/>
  <c r="I33" i="82"/>
  <c r="L20" i="82"/>
  <c r="L26" i="82" s="1"/>
  <c r="L19" i="88"/>
  <c r="L21" i="88" s="1"/>
  <c r="J24" i="88"/>
  <c r="J22" i="88"/>
  <c r="K55" i="82"/>
  <c r="K57" i="82" s="1"/>
  <c r="K28" i="82"/>
  <c r="E5" i="81" s="1"/>
  <c r="K24" i="88"/>
  <c r="K22" i="88"/>
  <c r="M14" i="88"/>
  <c r="H38" i="88" l="1"/>
  <c r="H40" i="88" s="1"/>
  <c r="H37" i="88"/>
  <c r="H39" i="88" s="1"/>
  <c r="I29" i="88"/>
  <c r="J29" i="88" s="1"/>
  <c r="H34" i="82"/>
  <c r="H33" i="82"/>
  <c r="H32" i="82"/>
  <c r="J30" i="82"/>
  <c r="J29" i="82"/>
  <c r="K29" i="82"/>
  <c r="E6" i="81" s="1"/>
  <c r="K30" i="82"/>
  <c r="M19" i="88"/>
  <c r="M21" i="88" s="1"/>
  <c r="M20" i="82"/>
  <c r="M26" i="82" s="1"/>
  <c r="J27" i="88"/>
  <c r="J28" i="88"/>
  <c r="L24" i="88"/>
  <c r="L22" i="88"/>
  <c r="K27" i="88"/>
  <c r="K28" i="88"/>
  <c r="L28" i="82"/>
  <c r="L55" i="82"/>
  <c r="L57" i="82" s="1"/>
  <c r="N14" i="88"/>
  <c r="H43" i="82" l="1"/>
  <c r="H45" i="82" s="1"/>
  <c r="H42" i="82"/>
  <c r="H44" i="82" s="1"/>
  <c r="I34" i="82"/>
  <c r="I38" i="88"/>
  <c r="I40" i="88" s="1"/>
  <c r="I37" i="88"/>
  <c r="I39" i="88" s="1"/>
  <c r="M55" i="82"/>
  <c r="M57" i="82" s="1"/>
  <c r="M28" i="82"/>
  <c r="M22" i="88"/>
  <c r="M24" i="88"/>
  <c r="L29" i="82"/>
  <c r="L30" i="82"/>
  <c r="K32" i="82"/>
  <c r="K33" i="82"/>
  <c r="K29" i="88"/>
  <c r="J37" i="88"/>
  <c r="J39" i="88" s="1"/>
  <c r="J38" i="88"/>
  <c r="J40" i="88" s="1"/>
  <c r="J32" i="82"/>
  <c r="J33" i="82"/>
  <c r="N19" i="88"/>
  <c r="N21" i="88" s="1"/>
  <c r="N20" i="82"/>
  <c r="N26" i="82" s="1"/>
  <c r="L27" i="88"/>
  <c r="L28" i="88"/>
  <c r="O14" i="88"/>
  <c r="I43" i="82" l="1"/>
  <c r="I45" i="82" s="1"/>
  <c r="I42" i="82"/>
  <c r="I44" i="82" s="1"/>
  <c r="J34" i="82"/>
  <c r="M28" i="88"/>
  <c r="M27" i="88"/>
  <c r="O20" i="82"/>
  <c r="O26" i="82" s="1"/>
  <c r="O19" i="88"/>
  <c r="O21" i="88" s="1"/>
  <c r="K38" i="88"/>
  <c r="K40" i="88" s="1"/>
  <c r="K37" i="88"/>
  <c r="K39" i="88" s="1"/>
  <c r="L29" i="88"/>
  <c r="N55" i="82"/>
  <c r="N57" i="82" s="1"/>
  <c r="N28" i="82"/>
  <c r="N24" i="88"/>
  <c r="N22" i="88"/>
  <c r="L33" i="82"/>
  <c r="L32" i="82"/>
  <c r="M29" i="82"/>
  <c r="M30" i="82"/>
  <c r="P14" i="88"/>
  <c r="K34" i="82" l="1"/>
  <c r="J42" i="82"/>
  <c r="J44" i="82" s="1"/>
  <c r="J43" i="82"/>
  <c r="J45" i="82" s="1"/>
  <c r="O22" i="88"/>
  <c r="O24" i="88"/>
  <c r="P19" i="88"/>
  <c r="P21" i="88" s="1"/>
  <c r="P20" i="82"/>
  <c r="P26" i="82" s="1"/>
  <c r="O55" i="82"/>
  <c r="O57" i="82" s="1"/>
  <c r="O28" i="82"/>
  <c r="N27" i="88"/>
  <c r="N28" i="88"/>
  <c r="M32" i="82"/>
  <c r="M33" i="82"/>
  <c r="N29" i="82"/>
  <c r="N30" i="82"/>
  <c r="M29" i="88"/>
  <c r="L37" i="88"/>
  <c r="L39" i="88" s="1"/>
  <c r="L38" i="88"/>
  <c r="L40" i="88" s="1"/>
  <c r="Q14" i="88"/>
  <c r="K42" i="82" l="1"/>
  <c r="K44" i="82" s="1"/>
  <c r="K43" i="82"/>
  <c r="K45" i="82" s="1"/>
  <c r="L34" i="82"/>
  <c r="N29" i="88"/>
  <c r="M37" i="88"/>
  <c r="M39" i="88" s="1"/>
  <c r="M38" i="88"/>
  <c r="M40" i="88" s="1"/>
  <c r="O29" i="82"/>
  <c r="O30" i="82"/>
  <c r="P28" i="82"/>
  <c r="P55" i="82"/>
  <c r="P57" i="82" s="1"/>
  <c r="N33" i="82"/>
  <c r="N32" i="82"/>
  <c r="P24" i="88"/>
  <c r="P22" i="88"/>
  <c r="Q19" i="88"/>
  <c r="Q21" i="88" s="1"/>
  <c r="Q20" i="82"/>
  <c r="Q26" i="82" s="1"/>
  <c r="O27" i="88"/>
  <c r="O28" i="88"/>
  <c r="R14" i="88"/>
  <c r="L42" i="82" l="1"/>
  <c r="L44" i="82" s="1"/>
  <c r="L43" i="82"/>
  <c r="L45" i="82" s="1"/>
  <c r="M34" i="82"/>
  <c r="R19" i="88"/>
  <c r="R21" i="88" s="1"/>
  <c r="R20" i="82"/>
  <c r="R26" i="82" s="1"/>
  <c r="Q24" i="88"/>
  <c r="Q22" i="88"/>
  <c r="O32" i="82"/>
  <c r="O33" i="82"/>
  <c r="Q55" i="82"/>
  <c r="Q57" i="82" s="1"/>
  <c r="Q28" i="82"/>
  <c r="P28" i="88"/>
  <c r="P27" i="88"/>
  <c r="O29" i="88"/>
  <c r="N38" i="88"/>
  <c r="N40" i="88" s="1"/>
  <c r="N37" i="88"/>
  <c r="N39" i="88" s="1"/>
  <c r="P29" i="82"/>
  <c r="P30" i="82"/>
  <c r="S14" i="88"/>
  <c r="M42" i="82" l="1"/>
  <c r="M44" i="82" s="1"/>
  <c r="N34" i="82"/>
  <c r="M43" i="82"/>
  <c r="M45" i="82" s="1"/>
  <c r="Q29" i="82"/>
  <c r="Q30" i="82"/>
  <c r="O37" i="88"/>
  <c r="O39" i="88" s="1"/>
  <c r="P29" i="88"/>
  <c r="O38" i="88"/>
  <c r="O40" i="88" s="1"/>
  <c r="Q28" i="88"/>
  <c r="Q27" i="88"/>
  <c r="S19" i="88"/>
  <c r="S21" i="88" s="1"/>
  <c r="S20" i="82"/>
  <c r="S26" i="82" s="1"/>
  <c r="R55" i="82"/>
  <c r="R57" i="82" s="1"/>
  <c r="R28" i="82"/>
  <c r="P32" i="82"/>
  <c r="P33" i="82"/>
  <c r="R24" i="88"/>
  <c r="R22" i="88"/>
  <c r="T14" i="88"/>
  <c r="N42" i="82" l="1"/>
  <c r="N44" i="82" s="1"/>
  <c r="N43" i="82"/>
  <c r="N45" i="82" s="1"/>
  <c r="O34" i="82"/>
  <c r="P38" i="88"/>
  <c r="P40" i="88" s="1"/>
  <c r="P37" i="88"/>
  <c r="P39" i="88" s="1"/>
  <c r="Q29" i="88"/>
  <c r="R29" i="82"/>
  <c r="R30" i="82"/>
  <c r="S55" i="82"/>
  <c r="S57" i="82" s="1"/>
  <c r="S28" i="82"/>
  <c r="Q33" i="82"/>
  <c r="Q32" i="82"/>
  <c r="S22" i="88"/>
  <c r="S24" i="88"/>
  <c r="T19" i="88"/>
  <c r="T21" i="88" s="1"/>
  <c r="T20" i="82"/>
  <c r="T26" i="82" s="1"/>
  <c r="R28" i="88"/>
  <c r="R27" i="88"/>
  <c r="U14" i="88"/>
  <c r="O43" i="82" l="1"/>
  <c r="O45" i="82" s="1"/>
  <c r="O42" i="82"/>
  <c r="O44" i="82" s="1"/>
  <c r="P34" i="82"/>
  <c r="T24" i="88"/>
  <c r="T22" i="88"/>
  <c r="S29" i="82"/>
  <c r="S30" i="82"/>
  <c r="R33" i="82"/>
  <c r="R32" i="82"/>
  <c r="T55" i="82"/>
  <c r="T57" i="82" s="1"/>
  <c r="T28" i="82"/>
  <c r="S27" i="88"/>
  <c r="S28" i="88"/>
  <c r="Q38" i="88"/>
  <c r="Q40" i="88" s="1"/>
  <c r="Q37" i="88"/>
  <c r="Q39" i="88" s="1"/>
  <c r="R29" i="88"/>
  <c r="U19" i="88"/>
  <c r="U21" i="88" s="1"/>
  <c r="U20" i="82"/>
  <c r="U26" i="82" s="1"/>
  <c r="V14" i="88"/>
  <c r="P42" i="82" l="1"/>
  <c r="P44" i="82" s="1"/>
  <c r="P43" i="82"/>
  <c r="P45" i="82" s="1"/>
  <c r="Q34" i="82"/>
  <c r="R38" i="88"/>
  <c r="R40" i="88" s="1"/>
  <c r="S29" i="88"/>
  <c r="R37" i="88"/>
  <c r="R39" i="88" s="1"/>
  <c r="V19" i="88"/>
  <c r="V21" i="88" s="1"/>
  <c r="V20" i="82"/>
  <c r="V26" i="82" s="1"/>
  <c r="T30" i="82"/>
  <c r="T29" i="82"/>
  <c r="S33" i="82"/>
  <c r="S32" i="82"/>
  <c r="U55" i="82"/>
  <c r="U57" i="82" s="1"/>
  <c r="U28" i="82"/>
  <c r="U24" i="88"/>
  <c r="U22" i="88"/>
  <c r="T27" i="88"/>
  <c r="T28" i="88"/>
  <c r="W14" i="88"/>
  <c r="R34" i="82" l="1"/>
  <c r="Q42" i="82"/>
  <c r="Q44" i="82" s="1"/>
  <c r="Q43" i="82"/>
  <c r="Q45" i="82" s="1"/>
  <c r="V55" i="82"/>
  <c r="V57" i="82" s="1"/>
  <c r="V28" i="82"/>
  <c r="T32" i="82"/>
  <c r="T33" i="82"/>
  <c r="V24" i="88"/>
  <c r="V22" i="88"/>
  <c r="W20" i="82"/>
  <c r="W26" i="82" s="1"/>
  <c r="W19" i="88"/>
  <c r="W21" i="88" s="1"/>
  <c r="U30" i="82"/>
  <c r="U29" i="82"/>
  <c r="S37" i="88"/>
  <c r="S39" i="88" s="1"/>
  <c r="S38" i="88"/>
  <c r="S40" i="88" s="1"/>
  <c r="T29" i="88"/>
  <c r="U28" i="88"/>
  <c r="U27" i="88"/>
  <c r="X14" i="88"/>
  <c r="S34" i="82" l="1"/>
  <c r="R42" i="82"/>
  <c r="R44" i="82" s="1"/>
  <c r="R43" i="82"/>
  <c r="R45" i="82" s="1"/>
  <c r="U33" i="82"/>
  <c r="U32" i="82"/>
  <c r="V29" i="82"/>
  <c r="V30" i="82"/>
  <c r="V27" i="88"/>
  <c r="V28" i="88"/>
  <c r="X19" i="88"/>
  <c r="X21" i="88" s="1"/>
  <c r="X20" i="82"/>
  <c r="X26" i="82" s="1"/>
  <c r="W24" i="88"/>
  <c r="W22" i="88"/>
  <c r="U29" i="88"/>
  <c r="T38" i="88"/>
  <c r="T40" i="88" s="1"/>
  <c r="T37" i="88"/>
  <c r="T39" i="88" s="1"/>
  <c r="W55" i="82"/>
  <c r="W57" i="82" s="1"/>
  <c r="W28" i="82"/>
  <c r="Y14" i="88"/>
  <c r="S42" i="82" l="1"/>
  <c r="S44" i="82" s="1"/>
  <c r="S43" i="82"/>
  <c r="S45" i="82" s="1"/>
  <c r="T34" i="82"/>
  <c r="X22" i="88"/>
  <c r="X24" i="88"/>
  <c r="V29" i="88"/>
  <c r="U38" i="88"/>
  <c r="U40" i="88" s="1"/>
  <c r="U37" i="88"/>
  <c r="U39" i="88" s="1"/>
  <c r="X55" i="82"/>
  <c r="X57" i="82" s="1"/>
  <c r="X28" i="82"/>
  <c r="V32" i="82"/>
  <c r="V33" i="82"/>
  <c r="W29" i="82"/>
  <c r="W30" i="82"/>
  <c r="Y19" i="88"/>
  <c r="Y21" i="88" s="1"/>
  <c r="Y20" i="82"/>
  <c r="Y26" i="82" s="1"/>
  <c r="W27" i="88"/>
  <c r="W28" i="88"/>
  <c r="Z14" i="88"/>
  <c r="T43" i="82" l="1"/>
  <c r="T45" i="82" s="1"/>
  <c r="U34" i="82"/>
  <c r="T42" i="82"/>
  <c r="T44" i="82" s="1"/>
  <c r="W32" i="82"/>
  <c r="W33" i="82"/>
  <c r="X29" i="82"/>
  <c r="X30" i="82"/>
  <c r="W29" i="88"/>
  <c r="V38" i="88"/>
  <c r="V40" i="88" s="1"/>
  <c r="V37" i="88"/>
  <c r="V39" i="88" s="1"/>
  <c r="Z19" i="88"/>
  <c r="Z21" i="88" s="1"/>
  <c r="Z20" i="82"/>
  <c r="Z26" i="82" s="1"/>
  <c r="Y55" i="82"/>
  <c r="Y57" i="82" s="1"/>
  <c r="Y28" i="82"/>
  <c r="X27" i="88"/>
  <c r="X28" i="88"/>
  <c r="Y24" i="88"/>
  <c r="Y22" i="88"/>
  <c r="V34" i="82" l="1"/>
  <c r="U43" i="82"/>
  <c r="U45" i="82" s="1"/>
  <c r="U42" i="82"/>
  <c r="U44" i="82" s="1"/>
  <c r="Y30" i="82"/>
  <c r="Y29" i="82"/>
  <c r="W37" i="88"/>
  <c r="W39" i="88" s="1"/>
  <c r="W38" i="88"/>
  <c r="W40" i="88" s="1"/>
  <c r="X29" i="88"/>
  <c r="Z28" i="82"/>
  <c r="Z55" i="82"/>
  <c r="Z57" i="82" s="1"/>
  <c r="Z24" i="88"/>
  <c r="Z22" i="88"/>
  <c r="X32" i="82"/>
  <c r="X33" i="82"/>
  <c r="AA14" i="88"/>
  <c r="AA19" i="88" s="1"/>
  <c r="AA21" i="88" s="1"/>
  <c r="Y28" i="88"/>
  <c r="Y27" i="88"/>
  <c r="V42" i="82" l="1"/>
  <c r="V44" i="82" s="1"/>
  <c r="V43" i="82"/>
  <c r="V45" i="82" s="1"/>
  <c r="W34" i="82"/>
  <c r="X38" i="88"/>
  <c r="X40" i="88" s="1"/>
  <c r="Y29" i="88"/>
  <c r="X37" i="88"/>
  <c r="X39" i="88" s="1"/>
  <c r="Z28" i="88"/>
  <c r="Z27" i="88"/>
  <c r="AA24" i="88"/>
  <c r="G33" i="88" s="1"/>
  <c r="AA22" i="88"/>
  <c r="Y33" i="82"/>
  <c r="Y32" i="82"/>
  <c r="Z29" i="82"/>
  <c r="G38" i="82" s="1"/>
  <c r="G12" i="81" s="1"/>
  <c r="Z30" i="82"/>
  <c r="W42" i="82" l="1"/>
  <c r="W44" i="82" s="1"/>
  <c r="X34" i="82"/>
  <c r="W43" i="82"/>
  <c r="W45" i="82" s="1"/>
  <c r="Z32" i="82"/>
  <c r="G37" i="82" s="1"/>
  <c r="G9" i="81" s="1"/>
  <c r="Z33" i="82"/>
  <c r="Y38" i="88"/>
  <c r="Y40" i="88" s="1"/>
  <c r="Z29" i="88"/>
  <c r="Y37" i="88"/>
  <c r="Y39" i="88" s="1"/>
  <c r="AA28" i="88"/>
  <c r="AA27" i="88"/>
  <c r="G32" i="88" s="1"/>
  <c r="Y34" i="82" l="1"/>
  <c r="X43" i="82"/>
  <c r="X45" i="82" s="1"/>
  <c r="X42" i="82"/>
  <c r="X44" i="82" s="1"/>
  <c r="Z38" i="88"/>
  <c r="Z40" i="88" s="1"/>
  <c r="AA29" i="88"/>
  <c r="Z37" i="88"/>
  <c r="Z39" i="88" s="1"/>
  <c r="Z34" i="82" l="1"/>
  <c r="Y43" i="82"/>
  <c r="Y45" i="82" s="1"/>
  <c r="Y42" i="82"/>
  <c r="Y44" i="82" s="1"/>
  <c r="AA38" i="88"/>
  <c r="AA40" i="88" s="1"/>
  <c r="G35" i="88" s="1"/>
  <c r="AA37" i="88"/>
  <c r="AA39" i="88" s="1"/>
  <c r="G34" i="88" s="1"/>
  <c r="Z43" i="82" l="1"/>
  <c r="Z45" i="82" s="1"/>
  <c r="G40" i="82" s="1"/>
  <c r="Z42" i="82"/>
  <c r="Z44" i="82" s="1"/>
  <c r="G39" i="82" s="1"/>
  <c r="G15" i="8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option-chain-indices?symbol=NIFTY" description="Connection to the 'option-chain-indices?symbol=NIFTY' query in the workbook." type="5" refreshedVersion="7" background="1" saveData="1">
    <dbPr connection="Provider=Microsoft.Mashup.OleDb.1;Data Source=$Workbook$;Location=&quot;option-chain-indices?symbol=NIFTY&quot;;Extended Properties=&quot;&quot;" command="SELECT * FROM [option-chain-indices?symbol=NIFTY]"/>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<sst xmlns="http://schemas.openxmlformats.org/spreadsheetml/2006/main" count="2896" uniqueCount="709">
  <si>
    <t>Propane</t>
  </si>
  <si>
    <t>Naphtha</t>
  </si>
  <si>
    <t>Propylene</t>
  </si>
  <si>
    <t>Benzene</t>
  </si>
  <si>
    <t>Product</t>
  </si>
  <si>
    <t>C2</t>
  </si>
  <si>
    <t>C3</t>
  </si>
  <si>
    <t>C4</t>
  </si>
  <si>
    <t>CBFS</t>
  </si>
  <si>
    <t>Hydrogen</t>
  </si>
  <si>
    <t>C9+ Fraction</t>
  </si>
  <si>
    <t>Acetone</t>
  </si>
  <si>
    <t>C</t>
  </si>
  <si>
    <t>MANUFACTURING COST</t>
  </si>
  <si>
    <t>C1</t>
  </si>
  <si>
    <t xml:space="preserve">Raw materials </t>
  </si>
  <si>
    <t>-</t>
  </si>
  <si>
    <t>Catalyst &amp; Chemicals</t>
  </si>
  <si>
    <t>Labour</t>
  </si>
  <si>
    <t>Salaries &amp; Wages (calculated)</t>
  </si>
  <si>
    <t>Variable Overheads</t>
  </si>
  <si>
    <t>Packaging Cost (calculated)</t>
  </si>
  <si>
    <t xml:space="preserve">Utilities (calculated) </t>
  </si>
  <si>
    <t>Fixed Overheads</t>
  </si>
  <si>
    <t>D</t>
  </si>
  <si>
    <t>Selling Overheads</t>
  </si>
  <si>
    <t>Total  Production Cost</t>
  </si>
  <si>
    <t>Description</t>
  </si>
  <si>
    <t>Operating Period</t>
  </si>
  <si>
    <t>Total Capacity</t>
  </si>
  <si>
    <t>Total Investment</t>
  </si>
  <si>
    <t>Operating Revenue</t>
  </si>
  <si>
    <t>Gross Profit</t>
  </si>
  <si>
    <t xml:space="preserve">Labour </t>
  </si>
  <si>
    <t>Total Operating Cost</t>
  </si>
  <si>
    <t>Depreciation</t>
  </si>
  <si>
    <t>Net Cash Flow</t>
  </si>
  <si>
    <t>Cost of Capital (10%)</t>
  </si>
  <si>
    <t>Discounted Cash Flow</t>
  </si>
  <si>
    <t>Undiscounted Cash Flow</t>
  </si>
  <si>
    <t>NPV</t>
  </si>
  <si>
    <t>IRR</t>
  </si>
  <si>
    <t>* Cost of Capital will be assumed as 10%</t>
  </si>
  <si>
    <t>*Amortization will be presumed to be in next 10 years on equal basis.</t>
  </si>
  <si>
    <t>* Operating Revenue will be  bifurcated between :-</t>
  </si>
  <si>
    <t>*Accounts Receivables will be taken as of 60 Days.</t>
  </si>
  <si>
    <t>*Accounts Payables will be taken as of 60 Days.</t>
  </si>
  <si>
    <t>Accounts Receivable</t>
  </si>
  <si>
    <t>DSO</t>
  </si>
  <si>
    <t>Days</t>
  </si>
  <si>
    <t>Change in sales/ mth.</t>
  </si>
  <si>
    <t>Change in AR</t>
  </si>
  <si>
    <t>Inventory (Impact of COGS change)</t>
  </si>
  <si>
    <t>DIO (Days Inventory)</t>
  </si>
  <si>
    <t>Change in COGS/ mth.</t>
  </si>
  <si>
    <t>Change in Inv.</t>
  </si>
  <si>
    <t>Accounts Payable</t>
  </si>
  <si>
    <t>DPO</t>
  </si>
  <si>
    <t>Change in payables/ mth.</t>
  </si>
  <si>
    <t>A</t>
  </si>
  <si>
    <t>TOTAL FIXED-CAPITAL INVESTMENT</t>
  </si>
  <si>
    <t>A1</t>
  </si>
  <si>
    <t>TOTAL DIRECT PLANT COST</t>
  </si>
  <si>
    <t>Purchased-equipment installation</t>
  </si>
  <si>
    <t>Instrumentation and controls (installed)</t>
  </si>
  <si>
    <t>Piping (installed)</t>
  </si>
  <si>
    <t>Electrical (installed)</t>
  </si>
  <si>
    <t>Buildings (including services)</t>
  </si>
  <si>
    <t>Service facilities (installed)</t>
  </si>
  <si>
    <t>A2</t>
  </si>
  <si>
    <t>TOTAL INDIRECT PLANT COST</t>
  </si>
  <si>
    <t>Engineering and supervision</t>
  </si>
  <si>
    <t>Construction expenses</t>
  </si>
  <si>
    <t>Legal expenses</t>
  </si>
  <si>
    <t>Contractor’s fee</t>
  </si>
  <si>
    <t>Contingency</t>
  </si>
  <si>
    <t>B</t>
  </si>
  <si>
    <t>WORKING CAPITAL</t>
  </si>
  <si>
    <t>Safety and hazard analyses</t>
  </si>
  <si>
    <t>TOTAL CAPITAL INVESTMENT</t>
  </si>
  <si>
    <t>* Capacity will be Installed in one Phase</t>
  </si>
  <si>
    <t xml:space="preserve">Annual Qty </t>
  </si>
  <si>
    <t xml:space="preserve">Unit Rate </t>
  </si>
  <si>
    <t>Amount</t>
  </si>
  <si>
    <t>Tonne</t>
  </si>
  <si>
    <t>VARIABLE COST</t>
  </si>
  <si>
    <t>Sub-Total (1)</t>
  </si>
  <si>
    <t>TOTAL VARIABLE COST</t>
  </si>
  <si>
    <t>FIXED COST</t>
  </si>
  <si>
    <t>TOTAL FIXED COST</t>
  </si>
  <si>
    <t>Plant Overhead and Administrative Costs (7.5% of  3 + 6)</t>
  </si>
  <si>
    <t>PVC</t>
  </si>
  <si>
    <r>
      <t xml:space="preserve">A1 </t>
    </r>
    <r>
      <rPr>
        <sz val="10"/>
        <color theme="1"/>
        <rFont val="Arial"/>
        <family val="2"/>
      </rPr>
      <t xml:space="preserve">+ </t>
    </r>
    <r>
      <rPr>
        <b/>
        <sz val="10"/>
        <color theme="1"/>
        <rFont val="Arial"/>
        <family val="2"/>
      </rPr>
      <t>A2</t>
    </r>
  </si>
  <si>
    <r>
      <t xml:space="preserve">15 </t>
    </r>
    <r>
      <rPr>
        <sz val="10"/>
        <color theme="1"/>
        <rFont val="Arial"/>
        <family val="2"/>
      </rPr>
      <t xml:space="preserve">+ </t>
    </r>
    <r>
      <rPr>
        <b/>
        <sz val="10"/>
        <color theme="1"/>
        <rFont val="Arial"/>
        <family val="2"/>
      </rPr>
      <t>16</t>
    </r>
  </si>
  <si>
    <r>
      <t xml:space="preserve">A </t>
    </r>
    <r>
      <rPr>
        <sz val="10"/>
        <color theme="1"/>
        <rFont val="Arial"/>
        <family val="2"/>
      </rPr>
      <t xml:space="preserve">+ </t>
    </r>
    <r>
      <rPr>
        <b/>
        <sz val="10"/>
        <color theme="1"/>
        <rFont val="Arial"/>
        <family val="2"/>
      </rPr>
      <t>B</t>
    </r>
  </si>
  <si>
    <t>No of Employee Break-Up</t>
  </si>
  <si>
    <t>No of Employee</t>
  </si>
  <si>
    <t>Total CTC</t>
  </si>
  <si>
    <t>Top Level</t>
  </si>
  <si>
    <t>Senior level Management</t>
  </si>
  <si>
    <t>Mid Level Management</t>
  </si>
  <si>
    <t xml:space="preserve">Engineer/ Sr. Engineer </t>
  </si>
  <si>
    <t>Blue Collar</t>
  </si>
  <si>
    <t>Contractual, skilled &amp; Unskilled Worker</t>
  </si>
  <si>
    <t>Raw Material</t>
  </si>
  <si>
    <t>Packaging</t>
  </si>
  <si>
    <t>Catalyst &amp;  Chemicals</t>
  </si>
  <si>
    <t>Utiltiies</t>
  </si>
  <si>
    <t>Salary &amp; Wages</t>
  </si>
  <si>
    <t>Corporate Overheads</t>
  </si>
  <si>
    <t>Catalyst &amp; Chemical</t>
  </si>
  <si>
    <t>Utilities</t>
  </si>
  <si>
    <t>Feed Stock</t>
  </si>
  <si>
    <t>Operating Cost</t>
  </si>
  <si>
    <t>Capex</t>
  </si>
  <si>
    <t>Opex</t>
  </si>
  <si>
    <t>Annual COP</t>
  </si>
  <si>
    <t>Financials</t>
  </si>
  <si>
    <t>Scenario 4</t>
  </si>
  <si>
    <t>CTC Break-up(Lacs)</t>
  </si>
  <si>
    <t>Total (Cr.)</t>
  </si>
  <si>
    <t>Equipment</t>
  </si>
  <si>
    <t>S.No.</t>
  </si>
  <si>
    <t>INR Crore</t>
  </si>
  <si>
    <t>3. Exchange Rate = USD 1 = INR 78</t>
  </si>
  <si>
    <t>5. Raw material prices are 7 years historical avergae</t>
  </si>
  <si>
    <t>6. Sensitivity analysis : Impact on breakeven point due to changes in sales and operating cost.</t>
  </si>
  <si>
    <t>7. Feed prices are delivered prices at refinery gate and product prices are "OPaL Net back prices"</t>
  </si>
  <si>
    <t>8. Propane Furnace capex were provided by OPaL</t>
  </si>
  <si>
    <t xml:space="preserve">10.With reference to the economic summary of all the configuration will be tabulated in the report. </t>
  </si>
  <si>
    <t>11. Configuration with having highest IRR, NPV, Lowest opex and minimum capex will be shortlisted</t>
  </si>
  <si>
    <t>Nitrogen</t>
  </si>
  <si>
    <t>Power</t>
  </si>
  <si>
    <t>DM Water</t>
  </si>
  <si>
    <t>Cooling Water</t>
  </si>
  <si>
    <t>Feedstock</t>
  </si>
  <si>
    <t>Naphtha Weighted Average Prices (INR/MT)</t>
  </si>
  <si>
    <t>Propane Weighted Average Prices (INR/MT)</t>
  </si>
  <si>
    <t>Ethane Weighted Average Prices (INR/MT)</t>
  </si>
  <si>
    <t xml:space="preserve"> C9+   </t>
  </si>
  <si>
    <t xml:space="preserve"> CBFS </t>
  </si>
  <si>
    <t xml:space="preserve"> Hydrogenated Pygas (HPG) </t>
  </si>
  <si>
    <t xml:space="preserve">Benzene </t>
  </si>
  <si>
    <t xml:space="preserve">Delivered main equipment (includes auxiliary equipment) </t>
  </si>
  <si>
    <t>Oxygen</t>
  </si>
  <si>
    <t>INR Per Tonne</t>
  </si>
  <si>
    <t>Quantity in Tonne</t>
  </si>
  <si>
    <t>Phenol</t>
  </si>
  <si>
    <t>Steam</t>
  </si>
  <si>
    <t>Scenarios</t>
  </si>
  <si>
    <t>Payback (Yrs)</t>
  </si>
  <si>
    <t>INR / Tonne</t>
  </si>
  <si>
    <t>INR Cr</t>
  </si>
  <si>
    <t>Others</t>
  </si>
  <si>
    <t>RPG</t>
  </si>
  <si>
    <t>Total Fixed-Capital Investment</t>
  </si>
  <si>
    <t>Total Direct Plant Cost</t>
  </si>
  <si>
    <t>Total Indirect Plant Cost</t>
  </si>
  <si>
    <t>Working Capital</t>
  </si>
  <si>
    <t>Total Capital Investment</t>
  </si>
  <si>
    <t>Total Variable Cost</t>
  </si>
  <si>
    <t>Total Fixed Cost</t>
  </si>
  <si>
    <t>Research and development costs (1.5% of manufacturing cost)</t>
  </si>
  <si>
    <t>This Scenario is for the captive production of the Cumene. Prices considered is for the 7 year average price of South Korea Market</t>
  </si>
  <si>
    <t>Fuel Gas</t>
  </si>
  <si>
    <t>Ethylene</t>
  </si>
  <si>
    <t>Unit</t>
  </si>
  <si>
    <t>MT</t>
  </si>
  <si>
    <t>Ethane</t>
  </si>
  <si>
    <t>Butane</t>
  </si>
  <si>
    <t>Plant Air</t>
  </si>
  <si>
    <t>Instrument Air</t>
  </si>
  <si>
    <t>Total</t>
  </si>
  <si>
    <t>Per MT of Ethylene</t>
  </si>
  <si>
    <t>Products &amp; Co-Products</t>
  </si>
  <si>
    <t>Yield per MT of feed</t>
  </si>
  <si>
    <t>Butadiene</t>
  </si>
  <si>
    <t>Pyrolysis Gasoline</t>
  </si>
  <si>
    <t>Hydrogen Export</t>
  </si>
  <si>
    <t>Methane</t>
  </si>
  <si>
    <t>Current Capacity of DFCU</t>
  </si>
  <si>
    <t>Fuel Gas Cracker (Internal)</t>
  </si>
  <si>
    <t>Production (KT)</t>
  </si>
  <si>
    <t>In KT</t>
  </si>
  <si>
    <t>Surplus (Deficit)</t>
  </si>
  <si>
    <t>After Propane Furnace Addition</t>
  </si>
  <si>
    <t>Production KT</t>
  </si>
  <si>
    <t>Change w.r.t Base case</t>
  </si>
  <si>
    <t>Percentage Change w.r.t. Base case</t>
  </si>
  <si>
    <t>OPaL Current Production</t>
  </si>
  <si>
    <t>Additional Requirement for PVC and Phenol Production</t>
  </si>
  <si>
    <t>Yield per MT of feed (Base Case)</t>
  </si>
  <si>
    <t>Heat Exchanger</t>
  </si>
  <si>
    <t>Centrifugal Pump</t>
  </si>
  <si>
    <t>Reactor</t>
  </si>
  <si>
    <t>Distillation Column</t>
  </si>
  <si>
    <t>Factor</t>
  </si>
  <si>
    <t>Feed</t>
  </si>
  <si>
    <t>Ethane (C2)</t>
  </si>
  <si>
    <t>Propane (C3)</t>
  </si>
  <si>
    <t>Butane (C4)</t>
  </si>
  <si>
    <t>Ethylene Feed Factor</t>
  </si>
  <si>
    <t>Propylene Feed Factor</t>
  </si>
  <si>
    <t>Fuel Gas export-Ethane Component</t>
  </si>
  <si>
    <t>Fuel Gas export-Propane Component</t>
  </si>
  <si>
    <t>Fuel Gas export-Butane Component</t>
  </si>
  <si>
    <t>Fuel Gas export-Naphtha Component</t>
  </si>
  <si>
    <t>Condensate Export</t>
  </si>
  <si>
    <t>Nitrogen-Rs./NM3 (Considered for Oxygen cost of Production)</t>
  </si>
  <si>
    <t>Condensate Cost  INR/M3</t>
  </si>
  <si>
    <t>Other Byproducts Benefit-Fuel Gas, Hydrogen and Condensate</t>
  </si>
  <si>
    <t>Byproduct Model Ethylene/Propylene</t>
  </si>
  <si>
    <t>Chemicals cost in DFCU</t>
  </si>
  <si>
    <t>Chemical Cost in BDEU</t>
  </si>
  <si>
    <t>Utilities cost</t>
  </si>
  <si>
    <t>Factory overheads</t>
  </si>
  <si>
    <t>Total Depreciation</t>
  </si>
  <si>
    <t>Total Utilities and Fixed costs</t>
  </si>
  <si>
    <t>Total Recycle form Polymers</t>
  </si>
  <si>
    <t>Total Feed,Chemicals, Utilities, fixed and Recycle Costs</t>
  </si>
  <si>
    <t>Total Feed,Chemicals, Utilities, fixed and Recycle Costs - Byproduct Benefits</t>
  </si>
  <si>
    <t>TOTAL SALES</t>
  </si>
  <si>
    <t>Annual Sales Revenue @ 100 Percent Capacity Utilization</t>
  </si>
  <si>
    <t>Price (INR / Tonne)</t>
  </si>
  <si>
    <t>Annual Production</t>
  </si>
  <si>
    <t>Value in (INR Crore)</t>
  </si>
  <si>
    <t>Product &amp; Co-Product</t>
  </si>
  <si>
    <t>Repair &amp; Maintenance (2.5 Pecent of Capex)</t>
  </si>
  <si>
    <r>
      <t>Additional</t>
    </r>
    <r>
      <rPr>
        <b/>
        <sz val="10"/>
        <color rgb="FFFF0000"/>
        <rFont val="Arial"/>
        <family val="2"/>
      </rPr>
      <t xml:space="preserve"> 426 KT </t>
    </r>
    <r>
      <rPr>
        <b/>
        <sz val="10"/>
        <color theme="1"/>
        <rFont val="Arial"/>
        <family val="2"/>
      </rPr>
      <t>Propane Furnace</t>
    </r>
  </si>
  <si>
    <t>Dollar to INR</t>
  </si>
  <si>
    <t>Ethane Price</t>
  </si>
  <si>
    <t>Incremental Margin</t>
  </si>
  <si>
    <t>Margin</t>
  </si>
  <si>
    <t>CBFS (Carbon Black Feed Stock)</t>
  </si>
  <si>
    <t xml:space="preserve">Coproducts for High Ethane Case: </t>
  </si>
  <si>
    <t xml:space="preserve">Ethylene Production </t>
  </si>
  <si>
    <t>Propylene Production</t>
  </si>
  <si>
    <t>Scenario 5</t>
  </si>
  <si>
    <t>Scenario 6</t>
  </si>
  <si>
    <t>Naphtha Price</t>
  </si>
  <si>
    <t>Propane Price</t>
  </si>
  <si>
    <t>Overheads and Catalyst</t>
  </si>
  <si>
    <t>Product/ By product</t>
  </si>
  <si>
    <t>Factory Overheads</t>
  </si>
  <si>
    <t>C4 Mix Semi Finished goods</t>
  </si>
  <si>
    <t>Carbon Black Feed Stock</t>
  </si>
  <si>
    <t>Raw Py. Gas Semi finished goods</t>
  </si>
  <si>
    <t>Hydrogenated Pygas</t>
  </si>
  <si>
    <t>C9 PLUS</t>
  </si>
  <si>
    <t>Cooling water cost INR/M3</t>
  </si>
  <si>
    <t>Compressed Air cost INR/NM3</t>
  </si>
  <si>
    <t>BFW cost INR/MT</t>
  </si>
  <si>
    <t>1. Construction Period = 4 Years</t>
  </si>
  <si>
    <t>Expenditure phasing / Capacity Utilization</t>
  </si>
  <si>
    <r>
      <t>Yield For DFCU Products:</t>
    </r>
    <r>
      <rPr>
        <b/>
        <sz val="10"/>
        <color rgb="FF000000"/>
        <rFont val="Calibri"/>
        <family val="2"/>
      </rPr>
      <t xml:space="preserve"> </t>
    </r>
  </si>
  <si>
    <t>MIX C4</t>
  </si>
  <si>
    <t>By-product norms</t>
  </si>
  <si>
    <t>S.no</t>
  </si>
  <si>
    <t>By Product</t>
  </si>
  <si>
    <t>UOM</t>
  </si>
  <si>
    <t>Norms as per material balance</t>
  </si>
  <si>
    <t xml:space="preserve">MT Per MT of RPG </t>
  </si>
  <si>
    <t>MT Per MT of C4 Mix.</t>
  </si>
  <si>
    <t>Hydrogen export</t>
  </si>
  <si>
    <t>kg Per MT of Ethylene</t>
  </si>
  <si>
    <t>Fuel Gas export</t>
  </si>
  <si>
    <t>MT Per MT of Ethylene</t>
  </si>
  <si>
    <t>MT per MT of Py. Gas.</t>
  </si>
  <si>
    <t>₹ 50,479</t>
  </si>
  <si>
    <t>Overheads</t>
  </si>
  <si>
    <t>LLDPE OPaL Price</t>
  </si>
  <si>
    <t>HDPE OPaL Price</t>
  </si>
  <si>
    <t>PP OPaL Price</t>
  </si>
  <si>
    <t>Capex (In INR Crore)</t>
  </si>
  <si>
    <t>Total Investment (In INR Crore)</t>
  </si>
  <si>
    <t xml:space="preserve">All Figures are in INR Crore </t>
  </si>
  <si>
    <t>Caustic Soda</t>
  </si>
  <si>
    <t>Sulphuric Acid</t>
  </si>
  <si>
    <t>Change with base case</t>
  </si>
  <si>
    <t>(A) Gross Revenue</t>
  </si>
  <si>
    <t>(B) Variable Expenses</t>
  </si>
  <si>
    <t>Total Variable Expenses</t>
  </si>
  <si>
    <t>(C) Contribution</t>
  </si>
  <si>
    <t>(D) Fixed Expenses</t>
  </si>
  <si>
    <t>(E) Break Even Point</t>
  </si>
  <si>
    <t>(Rs. Crore)</t>
  </si>
  <si>
    <t>Capacity Utilization</t>
  </si>
  <si>
    <t>1st Year</t>
  </si>
  <si>
    <t>2nd Year</t>
  </si>
  <si>
    <t>3rd Year</t>
  </si>
  <si>
    <t>4th Year</t>
  </si>
  <si>
    <t>5th Year</t>
  </si>
  <si>
    <t>6th Year</t>
  </si>
  <si>
    <t>7th Year</t>
  </si>
  <si>
    <t>8th Year</t>
  </si>
  <si>
    <t>9th Year</t>
  </si>
  <si>
    <t>10th Year</t>
  </si>
  <si>
    <t xml:space="preserve">     </t>
  </si>
  <si>
    <t>Rs Crore</t>
  </si>
  <si>
    <t>Debt Service Coverage Ratio (DSCR)</t>
  </si>
  <si>
    <t>(Rs Crore)</t>
  </si>
  <si>
    <t>Particulars</t>
  </si>
  <si>
    <t>(a) Profit After Tax</t>
  </si>
  <si>
    <t xml:space="preserve">(d) Add Back Interest on Working Capital </t>
  </si>
  <si>
    <t>Total (a+b+c+d)</t>
  </si>
  <si>
    <t xml:space="preserve">(f) Interest on Working Capital </t>
  </si>
  <si>
    <t>(g) Term Loan Instalment</t>
  </si>
  <si>
    <t>Total (e+f+g)</t>
  </si>
  <si>
    <t>DSCR (Total (a+b+c+d)/Total (e+f+g))</t>
  </si>
  <si>
    <t>Average DSCR (for Loan Period)</t>
  </si>
  <si>
    <t>Particular</t>
  </si>
  <si>
    <t xml:space="preserve">Share </t>
  </si>
  <si>
    <t>Equity Share Capital</t>
  </si>
  <si>
    <t>Term Loan</t>
  </si>
  <si>
    <t>Means of Finance</t>
  </si>
  <si>
    <t>Value (Rs. Crore)</t>
  </si>
  <si>
    <t xml:space="preserve">Interest Calculation on Loan and Working Capital </t>
  </si>
  <si>
    <t>Rate of Interest on Term Loan</t>
  </si>
  <si>
    <t xml:space="preserve">                                                                                                                                                                                                                                                                                                                                                                                             </t>
  </si>
  <si>
    <t>Year</t>
  </si>
  <si>
    <t>Term Loan Amount</t>
  </si>
  <si>
    <t>Repayment (Half Yearly)</t>
  </si>
  <si>
    <t xml:space="preserve">Total Repayment during the year </t>
  </si>
  <si>
    <t>Interest (Half Yearly)</t>
  </si>
  <si>
    <t>Total Interest Payment during the year</t>
  </si>
  <si>
    <t>Chemical Product Price (Rs/MT)</t>
  </si>
  <si>
    <t>Income Tax Provision</t>
  </si>
  <si>
    <t>Profit After Tax</t>
  </si>
  <si>
    <t>OPaL Dahej</t>
  </si>
  <si>
    <t>Legend</t>
  </si>
  <si>
    <t>Capital Cost</t>
  </si>
  <si>
    <t>INR per MT</t>
  </si>
  <si>
    <t>Calculated</t>
  </si>
  <si>
    <t>ISBL (In Side Battery Limits)</t>
  </si>
  <si>
    <t>Input</t>
  </si>
  <si>
    <t>OSBL (Out Side Battery Limits)</t>
  </si>
  <si>
    <t>Plant Capital</t>
  </si>
  <si>
    <t>All Prices in USD per MT</t>
  </si>
  <si>
    <t>Capacity</t>
  </si>
  <si>
    <t>Thousand MT/yr</t>
  </si>
  <si>
    <t>Utilization</t>
  </si>
  <si>
    <t>%</t>
  </si>
  <si>
    <t>Production Rate</t>
  </si>
  <si>
    <t>Ethylene Cash Cost</t>
  </si>
  <si>
    <t>Production Cost Summary</t>
  </si>
  <si>
    <t>Scenario</t>
  </si>
  <si>
    <t>Units per MT of Ethylene</t>
  </si>
  <si>
    <t>Price (INR per MT)</t>
  </si>
  <si>
    <t>Total Price (INR per MT)</t>
  </si>
  <si>
    <t>Total Price (USD per MT)</t>
  </si>
  <si>
    <t>Raw Material/Feedstock</t>
  </si>
  <si>
    <t>Catalysts/chemicals</t>
  </si>
  <si>
    <t>INR</t>
  </si>
  <si>
    <t>Total Raw Material</t>
  </si>
  <si>
    <t>Products</t>
  </si>
  <si>
    <t>Co-Product Credits</t>
  </si>
  <si>
    <t>Fuel Gas Cracker (internal)</t>
  </si>
  <si>
    <t>Total Co-Product Credits</t>
  </si>
  <si>
    <t xml:space="preserve"> </t>
  </si>
  <si>
    <t>DM water</t>
  </si>
  <si>
    <t>MWH</t>
  </si>
  <si>
    <t>NM3</t>
  </si>
  <si>
    <t>Total Utilities</t>
  </si>
  <si>
    <t>Direct Fixed Cost</t>
  </si>
  <si>
    <t>INR per unit of Product</t>
  </si>
  <si>
    <t>C9+</t>
  </si>
  <si>
    <t>Maintenance cost</t>
  </si>
  <si>
    <t>%of ISBL</t>
  </si>
  <si>
    <t>Direct overhead</t>
  </si>
  <si>
    <t>% of Direct Fixed Cost</t>
  </si>
  <si>
    <t>Total Direct Fixed Cost</t>
  </si>
  <si>
    <t>Allocated Fixed Cost</t>
  </si>
  <si>
    <t>General Plant Overhead</t>
  </si>
  <si>
    <t>% Direct Fixed Cost</t>
  </si>
  <si>
    <t>Insurance, Property tax, Environmental charges</t>
  </si>
  <si>
    <t>% of Plant Capital</t>
  </si>
  <si>
    <t>Total Allocated Fixed Cost</t>
  </si>
  <si>
    <t>Ethylene Cash Cost (per MT)</t>
  </si>
  <si>
    <t>Profitability Analysis (per tonne of product)</t>
  </si>
  <si>
    <t>Ethylene Revenues</t>
  </si>
  <si>
    <t>Ethylene Price (in INR per tonne)</t>
  </si>
  <si>
    <t>Revenue from Co-Product Credits</t>
  </si>
  <si>
    <t>Ethylene Variable Cost</t>
  </si>
  <si>
    <t>Ethylene Raw material</t>
  </si>
  <si>
    <t>Contribution Margin</t>
  </si>
  <si>
    <t>Ethylene Fixed Cost</t>
  </si>
  <si>
    <t>Ethylene Total Cost</t>
  </si>
  <si>
    <t>Depreciation (10%)</t>
  </si>
  <si>
    <t>Ethylene Cost of Production</t>
  </si>
  <si>
    <t>Ethylene EBITDA</t>
  </si>
  <si>
    <t>Ethylene EBITDA Margin</t>
  </si>
  <si>
    <t>Ethylene EBIT/Operating Profit</t>
  </si>
  <si>
    <t>Ethylene Plant Capital (ISBL+ OSBL)</t>
  </si>
  <si>
    <t>ROCE</t>
  </si>
  <si>
    <t>CAPEX (INR Cr)</t>
  </si>
  <si>
    <t>COST OF PRODUCTION FOR PHENOL AND ACETONE (INR per tonne)</t>
  </si>
  <si>
    <t>Source</t>
  </si>
  <si>
    <t>MMBTU</t>
  </si>
  <si>
    <t xml:space="preserve">Butane </t>
  </si>
  <si>
    <t>Actual</t>
  </si>
  <si>
    <t>Weighted Average</t>
  </si>
  <si>
    <t>Assumptions</t>
  </si>
  <si>
    <t>Tonnes</t>
  </si>
  <si>
    <t>Derived</t>
  </si>
  <si>
    <t>By-Products</t>
  </si>
  <si>
    <t>By Product Benefit</t>
  </si>
  <si>
    <t>Hydrogen Cost of Production</t>
  </si>
  <si>
    <t>MWh</t>
  </si>
  <si>
    <t xml:space="preserve">Compressed Air </t>
  </si>
  <si>
    <t>Total Utilities Cost</t>
  </si>
  <si>
    <t>Catchem</t>
  </si>
  <si>
    <t>Total Ethylene Produced</t>
  </si>
  <si>
    <t>Feed Cost</t>
  </si>
  <si>
    <t>Feed Ethylene</t>
  </si>
  <si>
    <t>Feed Propylene</t>
  </si>
  <si>
    <t>Feed Yields</t>
  </si>
  <si>
    <t>Feed Benefit</t>
  </si>
  <si>
    <t>Feed Condensate</t>
  </si>
  <si>
    <t>INR/Tonne</t>
  </si>
  <si>
    <t>Acetone - Contracted</t>
  </si>
  <si>
    <t>Details</t>
  </si>
  <si>
    <t>Ethylene Feed Cost</t>
  </si>
  <si>
    <t>Propylene Feed Cost</t>
  </si>
  <si>
    <t>Ethylene Cost Factor</t>
  </si>
  <si>
    <t>Propylene Cost Factor</t>
  </si>
  <si>
    <t>Ethylene Cost of Production based on By Products</t>
  </si>
  <si>
    <t>Propylene Cost of Production based on By Products</t>
  </si>
  <si>
    <t>MSHP Catalyst</t>
  </si>
  <si>
    <t>Activated Carbon</t>
  </si>
  <si>
    <t>Corporate Overheads (100%)</t>
  </si>
  <si>
    <t>Sub-Total</t>
  </si>
  <si>
    <t>ITEM</t>
  </si>
  <si>
    <t>For Ethylene Production</t>
  </si>
  <si>
    <t>For 1,3 Butadiene Production</t>
  </si>
  <si>
    <t>Tank Farm with loading gantries</t>
  </si>
  <si>
    <t>Effluent Treatment Unit</t>
  </si>
  <si>
    <t>Plant Air, Instrument Air &amp; Nitrogen Unit</t>
  </si>
  <si>
    <t>Power INR/KWh</t>
  </si>
  <si>
    <t>Steam INR/MT</t>
  </si>
  <si>
    <t>DM Water INR/MT</t>
  </si>
  <si>
    <t>Nickel Fixed Bed Catalyst</t>
  </si>
  <si>
    <t>ADSORBENT AZ-300 5X8 </t>
  </si>
  <si>
    <t>Boiler Feed Water</t>
  </si>
  <si>
    <t>LNG</t>
  </si>
  <si>
    <t>AMS Hydrogenation Catalyst</t>
  </si>
  <si>
    <t>Feed Price</t>
  </si>
  <si>
    <t>Chemical Products' Price</t>
  </si>
  <si>
    <t>OPAL</t>
  </si>
  <si>
    <t>Production based on DFCU Yields</t>
  </si>
  <si>
    <t>Yield Data by OPaL</t>
  </si>
  <si>
    <t>Hydrogen MT Ethane Component for costing</t>
  </si>
  <si>
    <t>Hydrogen MT Propane Component for costing</t>
  </si>
  <si>
    <t>Hydrogen MT Butane Component for costing</t>
  </si>
  <si>
    <t>Hydrogen MT Naphtha Component for costing</t>
  </si>
  <si>
    <t>Hydrogen MT Export to polymers for credit</t>
  </si>
  <si>
    <t xml:space="preserve">NPV </t>
  </si>
  <si>
    <t>Project Phase in Years</t>
  </si>
  <si>
    <t>Year of operation</t>
  </si>
  <si>
    <t>Operating Rate</t>
  </si>
  <si>
    <t>Phenol - Contracted</t>
  </si>
  <si>
    <t>Average Revenue Considered for Acetone</t>
  </si>
  <si>
    <t>Average Revenue Considered for Phenol</t>
  </si>
  <si>
    <t xml:space="preserve"> (95% OF EX-Mumbai Price Taken)</t>
  </si>
  <si>
    <t>Maintenance and repairs (1.5% of fixed-capital investment)(Capex)</t>
  </si>
  <si>
    <t>OPaL &amp; ChemAnalyst</t>
  </si>
  <si>
    <t>Repair &amp; Maintenance (1.5 Percent of Capex)</t>
  </si>
  <si>
    <t>Flare System</t>
  </si>
  <si>
    <t>Cooling Tower (5500 cibic meter / day) * 2</t>
  </si>
  <si>
    <t>2. Capacity Build Up = 1sr Year : 90 % 2nd Year : 100% and 3rd Year : 100%</t>
  </si>
  <si>
    <t>9. The product warehouse has been sized for 30 days production of Phenol and Acetone</t>
  </si>
  <si>
    <t>12.Exchange Rate 1 USD - INR 78</t>
  </si>
  <si>
    <t>13. Feed, Propylene and Benzene prices as provided by OPaL</t>
  </si>
  <si>
    <t xml:space="preserve">       - Accounts Receivables will be taken as of 60 Days.</t>
  </si>
  <si>
    <t xml:space="preserve">       - Accounts Payables will be taken as of 60 Days.</t>
  </si>
  <si>
    <t xml:space="preserve">       - Inventory will be taken as of 30 Days.</t>
  </si>
  <si>
    <t>14. Byproduct to be priced as follows: The weighted average price the ratio they are present in the stream</t>
  </si>
  <si>
    <t>15. Cost of Capital will be assumed as 10%</t>
  </si>
  <si>
    <t>16. Tax rate will be assumed as 25%</t>
  </si>
  <si>
    <t>17. Amortization will be presumed to be in next 10 years on equal basis.</t>
  </si>
  <si>
    <t>18. Capacity will be Installed in one Phase</t>
  </si>
  <si>
    <t>Project Sensitivity Analysis</t>
  </si>
  <si>
    <t>Project Sensitivity</t>
  </si>
  <si>
    <t>Break-Even Point</t>
  </si>
  <si>
    <t>Present Break Even Point</t>
  </si>
  <si>
    <t>Selling Price decreases by 11%, Raw Material Price remains same</t>
  </si>
  <si>
    <t>Increase in Raw Material price by 16.5 % with no change in selling price</t>
  </si>
  <si>
    <t>Increase in raw material price by 9 % with decrease in selling price by 5%</t>
  </si>
  <si>
    <t>Increase in Cost of Production by 14.5% with no change in selling price</t>
  </si>
  <si>
    <t xml:space="preserve">Ethane </t>
  </si>
  <si>
    <t>P = 1.043*(A*r+ B*s) + C, (INR/ MMBTU)</t>
  </si>
  <si>
    <t>P= 1.0459*FOB Saudi Arabia CP (US$/MT)</t>
  </si>
  <si>
    <t>Naphtha ARN</t>
  </si>
  <si>
    <t>P=1.011* MOPAG naphtha+.02 $ Transportation   (US$/MT)</t>
  </si>
  <si>
    <t>Naphtha LAN</t>
  </si>
  <si>
    <t>P=1.011* MOPAG naphtha+17 $ Transportation   (US$/MT)</t>
  </si>
  <si>
    <t>Cumulative Cash Flow</t>
  </si>
  <si>
    <t>*Taxes rate will be assumed  as 30%</t>
  </si>
  <si>
    <t>100 % Installation in 1st year of production</t>
  </si>
  <si>
    <t>*Inventory will be taken as of 30 Days.</t>
  </si>
  <si>
    <t xml:space="preserve"> 1,3 Butadiene </t>
  </si>
  <si>
    <t>Payback Period (Simple)</t>
  </si>
  <si>
    <t>Payback Period (Discounted)</t>
  </si>
  <si>
    <t>Simple</t>
  </si>
  <si>
    <t>Discounted</t>
  </si>
  <si>
    <t>Total Nos</t>
  </si>
  <si>
    <t>Equipment List - Benzene to Cumene</t>
  </si>
  <si>
    <t>Equipment List - Cumene to Phenol</t>
  </si>
  <si>
    <t>Tank (Off spec, Day storage, Fixed+ Floating roof)</t>
  </si>
  <si>
    <t>Vessels</t>
  </si>
  <si>
    <t>Packages</t>
  </si>
  <si>
    <t>OSBL Facilities</t>
  </si>
  <si>
    <t>Oxidizer</t>
  </si>
  <si>
    <t>Tank including random tank, chilled glycol storage tank, casutic soda and sulphuric acid tank)</t>
  </si>
  <si>
    <r>
      <t xml:space="preserve">A </t>
    </r>
    <r>
      <rPr>
        <sz val="10"/>
        <color theme="1"/>
        <rFont val="Arial"/>
        <family val="2"/>
      </rPr>
      <t xml:space="preserve">+ </t>
    </r>
    <r>
      <rPr>
        <b/>
        <sz val="10"/>
        <color theme="1"/>
        <rFont val="Arial"/>
        <family val="2"/>
      </rPr>
      <t>B+C+D</t>
    </r>
  </si>
  <si>
    <t>84 Months Average</t>
  </si>
  <si>
    <t>20. Raw water existing GIDC rate is 43.51/M3 (escalated @ 6% every year)</t>
  </si>
  <si>
    <t xml:space="preserve">21. Utilities: Based on major utility consumptions calculated on the basis as described under the Investment basis. </t>
  </si>
  <si>
    <t xml:space="preserve">Impact on changes in Capital Expenditures, Operating Costs, Sales, capacity utilization, has been carried out on the economic analysis and accordingly its sensitivity on the parameters listed below is also carried out. </t>
  </si>
  <si>
    <t xml:space="preserve">7. Plant Air prices are considered same as instrument air price.
</t>
  </si>
  <si>
    <t>8. The utility requirement for all the configuration of the proposed complex assuming 100% captive generation was prepared and discussed with OPaL</t>
  </si>
  <si>
    <t>Gross Margin (EBITDA/PBITDA)</t>
  </si>
  <si>
    <t>Inflation
 (after adjustment of dollar appreciation)</t>
  </si>
  <si>
    <t>Raw materials and Catchem</t>
  </si>
  <si>
    <t>Margin %</t>
  </si>
  <si>
    <t>Raw Material &amp; Catchem</t>
  </si>
  <si>
    <t>Distribution and selling costs (2.5% of sales value)</t>
  </si>
  <si>
    <t>Others (Steam heater, Emergency Relief Sacks, Air Scrubber, Heaves  )</t>
  </si>
  <si>
    <t>Gross Revenue</t>
  </si>
  <si>
    <t>4. Contingency in capex = 5 %</t>
  </si>
  <si>
    <t>Raw material and Catalyst &amp; Chemicals</t>
  </si>
  <si>
    <t>Total  Cost of Sales</t>
  </si>
  <si>
    <t>(-)Depreciation</t>
  </si>
  <si>
    <t>Profit Before Tax</t>
  </si>
  <si>
    <t>Commercial propylene, CAS No. 115-07-1, is a colourless gas. This assessment deals with two propylene grades, with typical purities of 95 to 100% for the polymer grade and 90 to 99.8% for the chemical grade. Impurities include ethane and propane. A refinery grade of propylene is also produced which contains 50-70% propylene but this grade is not covered by the assessment.</t>
  </si>
  <si>
    <t xml:space="preserve">Delivered main equipment (includes propylene purification and auxiliary equipment) </t>
  </si>
  <si>
    <t>Gantry System (External procurement of Propylene - Refinery Grade and Polymer Grade)</t>
  </si>
  <si>
    <t>Interest on Term Loan</t>
  </si>
  <si>
    <t>Percentage Change</t>
  </si>
  <si>
    <t>Profit After Tax (at optimum capacity utilization)</t>
  </si>
  <si>
    <t>Nil</t>
  </si>
  <si>
    <t>Option 1 : Capacity of 200 KTPA Phenol and 123 KTPA Acetone capacity (Propane Furnace Additional)</t>
  </si>
  <si>
    <t>Option 2 Capacity for 200 KTPA Phenol + 123 KTPA Acetone, (with available propylene and benzene)</t>
  </si>
  <si>
    <t>Capacity of 200 KTPA Phenol and 123 KTPA Acetone capacity (Propane Furnace Additional)</t>
  </si>
  <si>
    <t>Finished Product Prices</t>
  </si>
  <si>
    <t>TechSci Research</t>
  </si>
  <si>
    <t>PVC Suspension  rigid grade K67 Ex Mumbai (India)</t>
  </si>
  <si>
    <t>Average Revenue Per MT for PVC considered</t>
  </si>
  <si>
    <t>Net Margin Change for Existing Products with available ethylene and Propylene post PVC and Phenol Projects</t>
  </si>
  <si>
    <t>Ethylene for PVC KTA</t>
  </si>
  <si>
    <t>Propylene For Phenol KTA</t>
  </si>
  <si>
    <t>LLDPE MT from available ethylene</t>
  </si>
  <si>
    <t>HDPE MT from available ethylene</t>
  </si>
  <si>
    <t>Monthly Feed (Base Case@8000hrs Operations)**</t>
  </si>
  <si>
    <t xml:space="preserve">Cases Evaluated </t>
  </si>
  <si>
    <t>Option 2 : Capacity for 200 KTPA Phenol + 123 KTPA Acetone, (with available propylene and benzene) - Here for 80 % phenol plant - DFCU operation ( base case ) considered for 8500 Hrs. operation. PP Plant DBN not considered 
(340 KTPA consumption as per design of PP Plant)</t>
  </si>
  <si>
    <t>Option 2 : Capacity for 200 KTPA Phenol + 123 KTPA Acetone, (with available propylene and benzene)  (80 % phenol plant - DFCU operation ( base case ) considered for 8500 Hrs. operation)</t>
  </si>
  <si>
    <t>Option 4 : Combined Capacity for 200 KTPA Phenol + 123 KTPA Acetone and  350 KTPA PVC Resin Plant (Propane Furnance Additional)</t>
  </si>
  <si>
    <t>Option 3 : Capacity for 200 KTPA Phenol + 120 KTPA Acetone, (Propylene - 80 % in house and 20 % external procurement)</t>
  </si>
  <si>
    <t xml:space="preserve">Production (KT)  
8500Hrs </t>
  </si>
  <si>
    <t xml:space="preserve">Production (KT)
8000 Hrs </t>
  </si>
  <si>
    <t>Surplus (Deficit) (80 Percent Capacity)</t>
  </si>
  <si>
    <t>FEED PRICES</t>
  </si>
  <si>
    <t>Base Case</t>
  </si>
  <si>
    <t>Ethylene Cost of Production based on Byproducts</t>
  </si>
  <si>
    <t>Propylene Cost of Production based on Byproducts</t>
  </si>
  <si>
    <t>LLDPE Cost of Production</t>
  </si>
  <si>
    <t>Raw materials</t>
  </si>
  <si>
    <t>Cat-Chem+ additive</t>
  </si>
  <si>
    <t>Co-product/Byprodcut Credit</t>
  </si>
  <si>
    <t>Contribution Per MT INR</t>
  </si>
  <si>
    <t>HDPE  Cost of Production</t>
  </si>
  <si>
    <t>PP Cost of Production</t>
  </si>
  <si>
    <t>Current Case</t>
  </si>
  <si>
    <t>Current</t>
  </si>
  <si>
    <t>Usage for Existing Unit</t>
  </si>
  <si>
    <t xml:space="preserve"> Select Financial Year</t>
  </si>
  <si>
    <t>Qty in Tonne</t>
  </si>
  <si>
    <t>Price (INR/Tonne)</t>
  </si>
  <si>
    <t>Year of Operation</t>
  </si>
  <si>
    <t xml:space="preserve">Capex (In INR Crore) </t>
  </si>
  <si>
    <t>Propane Furnace Addition</t>
  </si>
  <si>
    <t>Net revenue gain over basecase from existing Products</t>
  </si>
  <si>
    <t>Payback Period after project completion (Simple)</t>
  </si>
  <si>
    <t>Payback Period after project completion (Discounted)</t>
  </si>
  <si>
    <t>Simple Factor</t>
  </si>
  <si>
    <t>Discounted Factor</t>
  </si>
  <si>
    <t>Inflation (after adjustment of dollar appreciation)</t>
  </si>
  <si>
    <t>Selling Price per MT of PVC</t>
  </si>
  <si>
    <t xml:space="preserve">Selling Price per MT of Phenol </t>
  </si>
  <si>
    <t>Selling Price per MT of Acetone</t>
  </si>
  <si>
    <t>Cost per MT of PVC</t>
  </si>
  <si>
    <t>Cost per MT of Phenol &amp; Acetone</t>
  </si>
  <si>
    <t>Unit Margin PVC</t>
  </si>
  <si>
    <t>Unit Margin Phenol &amp; Acetone</t>
  </si>
  <si>
    <t>100 % Installation in Ist year of production</t>
  </si>
  <si>
    <t>*Inentory will be taken as of 30 Days.</t>
  </si>
  <si>
    <t>8500 Hrs. production figure and Requirement  for 80 % feed (Propylene and Benzene)</t>
  </si>
  <si>
    <t>480 KTPA Ethane Import</t>
  </si>
  <si>
    <t>Quantity (KTPA)</t>
  </si>
  <si>
    <t xml:space="preserve">After Ethane Furnace Addition </t>
  </si>
  <si>
    <t>Scenario 4 &amp; 5</t>
  </si>
  <si>
    <t>Net Margin Change for Existing Co-Products</t>
  </si>
  <si>
    <t>Ethylene for PVC</t>
  </si>
  <si>
    <t xml:space="preserve">Propylene For Phenol </t>
  </si>
  <si>
    <t>LLDPE (available ethylene)</t>
  </si>
  <si>
    <t>HDPE (available ethylene)</t>
  </si>
  <si>
    <t>PP (available propylene)</t>
  </si>
  <si>
    <t>Ethane Furnace Addition</t>
  </si>
  <si>
    <t>Capacity for 350 KTPA PVC Resin and 200 KTPA Phenol + 123 KTPA Acetone</t>
  </si>
  <si>
    <t>Scenario 1,2 &amp; 3</t>
  </si>
  <si>
    <t xml:space="preserve">Ethane Furnace Addition </t>
  </si>
  <si>
    <t>PVC and Phenol Projects both included</t>
  </si>
  <si>
    <t xml:space="preserve">Scenario 4 &amp; 5 - </t>
  </si>
  <si>
    <t>If OPaL does not go for PVC</t>
  </si>
  <si>
    <t>Ethylene for PVC MT</t>
  </si>
  <si>
    <t>Propylene For Phenol MT</t>
  </si>
  <si>
    <t>LLDPE (available ethylene) MT</t>
  </si>
  <si>
    <t>HDPE (available ethylene) MT</t>
  </si>
  <si>
    <t>PP (available propylene) MT</t>
  </si>
  <si>
    <t>Revenue (Co-Products) INR Cr.</t>
  </si>
  <si>
    <t>Net Revenue Change  INR Cr</t>
  </si>
  <si>
    <t>If OPaL does not go for Phenol</t>
  </si>
  <si>
    <t>If OPaL doesn't go for both PVC &amp; Phenol Projects</t>
  </si>
  <si>
    <t xml:space="preserve">Propane Furnace Addition </t>
  </si>
  <si>
    <t>CAPEX PVC OPTION 1</t>
  </si>
  <si>
    <t>CAPEX PHENOL OPTION 1</t>
  </si>
  <si>
    <t>`</t>
  </si>
  <si>
    <t xml:space="preserve">Coproducts for Propane Furnace Addition: </t>
  </si>
  <si>
    <t xml:space="preserve">Coproducts for Ethane Furnace Addition: </t>
  </si>
  <si>
    <t>Propane Furnace Addition in DFCU</t>
  </si>
  <si>
    <t xml:space="preserve">Propane Sourcing Infrastructure </t>
  </si>
  <si>
    <t>Ethane Furnace Addition Capex in DFCU</t>
  </si>
  <si>
    <t>Ethane Import Facility Build-up</t>
  </si>
  <si>
    <t>Ethane Storage Tank</t>
  </si>
  <si>
    <t>Pipeline &amp; associated facilities</t>
  </si>
  <si>
    <t>Annual Sales Revenue @ 100 Percent Capacity Utilization : OPTION 1</t>
  </si>
  <si>
    <t>Annual Sales Revenue @ 100 Percent Capacity Utilization : OPTION 2</t>
  </si>
  <si>
    <t xml:space="preserve">Chlorine </t>
  </si>
  <si>
    <t>EDC</t>
  </si>
  <si>
    <t>Plant Overhead and Administrative Costs (7.5% of  10 + 15)</t>
  </si>
  <si>
    <t>Research and development costs</t>
  </si>
  <si>
    <t>Basis</t>
  </si>
  <si>
    <t>Plant Overhead and Administrative Costs (7.5% of  33 + 38)</t>
  </si>
  <si>
    <t>Distribution and selling costs (2.5% of selling cost)</t>
  </si>
  <si>
    <t xml:space="preserve">Research and development costs </t>
  </si>
  <si>
    <t>D3 + D16</t>
  </si>
  <si>
    <t>VCM</t>
  </si>
  <si>
    <t>Plant Overhead and Administrative Costs (7.5% of  52+ 58)</t>
  </si>
  <si>
    <t>Plant Overhead and Administrative Costs (7.5% of  74 + 78)</t>
  </si>
  <si>
    <t>Capacity for 350 KTPA PVC Resin and 200 KTPA Phenol + 123 KTPA Acetone Current Price</t>
  </si>
  <si>
    <t>Monthly Feed (assuming Propane Furnace Addition @8500hrs Operations)**</t>
  </si>
  <si>
    <t xml:space="preserve">1. Post submission of interim report, updated price sets for Feed, Products and Utilities considering USD/INR conversion  were provided by OPaL vide Email dated 22th December 2021.
2. All prices are expressed in INR/Tonne
3. The average costs of production for last 45 months are worked from Jan 2018 till Sep 2021 assuming Propane Furnace addition in DFCU @ 8500hrs Operation. To calculate the data for last 72 montths, TechSci estimated the cost of production by considering benchmark feed prices.
4. **Ethylene and Propylene are Co-products, whereas, Benzene, butadiene,CBFS,C9+,HPG are considered as byproducts.
5. During the course of the project, few price basis were derived and captured from TechSci Research internal database.  Pricing for feed, product and utilities are captured through exhaustive primary interviews with domestic and international manufacturers, traders and importers and customers on daily, weekly and monthly and yearly basis.  Two types of prices are captured viz., domestic price and CFR/FOB price with respect to any specific country. Bulk price represents the tanker load price. Retail price means purchase or buying of product or commodity in the open market, traded for immediate settlement on the spot date.  CFR price is arrived at by analyzing product-specific trade deals and contracts for at least five countries and FOB is calculated by considering the export price for up to five domestic manufacturers in a target market. 
6. TechSci also referred benchmark price for Benzene (FOB Korea), 93-95% weight Propylene and Naphtha (Arab Gulf)
</t>
  </si>
  <si>
    <t xml:space="preserve">1. Post submission of interim report, updated price sets for Feed, Products and Utilities considering USD/INR conversion  were provided by OPaL vide Email dated 22th December 2021.
2. All prices are expressed in INR/Tonne
3. The average costs of production for last 45 months are worked from Jan 2018 till Sep 2021 assuming Propane Furnace Addition in DFCU @ 8500hrs Operation. To calculate the data for last 84 montths, TechSci estimated the cost of production by considering benchmark feed prices.
4. Ethylene and Propylene are Co-products, whereas, Benzene, butadiene,CBFS,C9+, HPG are considered as byproducts.
5. During the course of the project, few price basis were derived and captured from TechSci Research internal database.  Pricing for feed, product and utilities are captured through exhaustive primary interviews with domestic and international manufacturers, traders and importers and customers on daily, weekly and monthly and yearly basis.  Two types of prices are captured viz., domestic price and CFR/FOB price with respect to any specific country. Bulk price represents the tanker load price. Retail price means purchase or buying of product or commodity in the open market, traded for immediate settlement on the spot date. CFR price is arrived at by analyzing product-specific trade deals and contracts for at least five countries and FOB is calculated by considering the export price for up to five domestic manufacturers in a target market.
6. The utility requirement for all the configuration of the proposed complex assuming 100% captive generation was prepared and discussed with OPaL.
7. Feedstock prices are “delivered prices at refinery gate” and product prices are “OPaL Net back prices”.
</t>
  </si>
  <si>
    <t>Monthly Feed (assuming Ethane Furnace Addition @8500hrs Operations)**</t>
  </si>
  <si>
    <t xml:space="preserve">1. Post submission of interim report, updated price sets for Feed, Products and Utilities considering USD/INR conversion  were provided by OPaL vide Email dated 22th December 2021.
2. All prices are expressed in INR/Tonne
3. The average costs of production for last 45 months are worked from Jan 2018 till Sep 2021 assuming Ethane Furnace Addition in DFCU @ 8500hrs Operation. To calculate the data for last 84 montths, TechSci estimated the cost of production by considering benchmark feed prices.
4. Ethylene and Propylene are Co-products, whereas, Benzene, butadiene,CBFS,C9+, HPG are considered as byproducts.
5. During the course of the project, few price basis were derived and captured from TechSci Research internal database.  Pricing for feed, product and utilities are captured through exhaustive primary interviews with domestic and international manufacturers, traders and importers and customers on daily, weekly and monthly and yearly basis.  Two types of prices are captured viz., domestic price and CFR/FOB price with respect to any specific country. Bulk price represents the tanker load price. Retail price means purchase or buying of product or commodity in the open market, traded for immediate settlement on the spot date. CFR price is arrived at by analyzing product-specific trade deals and contracts for at least five countries and FOB is calculated by considering the export price for up to five domestic manufacturers in a target market.
6. The utility requirement for all the configuration of the proposed complex assuming 100% captive generation was prepared and discussed with OPaL.
7. Feedstock prices are “delivered prices at refinery gate” and product prices are “OPaL Net back prices”.
</t>
  </si>
  <si>
    <t>Revenue from PVC and or Phenol in INR Cr</t>
  </si>
  <si>
    <t>Revenue (Co-Products + PVC+ Phenol + Acetone)</t>
  </si>
  <si>
    <t>Revenue (Co-Products)</t>
  </si>
  <si>
    <t>Net Revenue Change (Co-Products)</t>
  </si>
  <si>
    <t>Net Revenue Change (Co-Products + PVC+ Phenol + Acetone)</t>
  </si>
  <si>
    <t xml:space="preserve">Option-Ethane Furnace : Capacity of 200 KTPA Phenol and 123 KTPA Acetone capacity </t>
  </si>
  <si>
    <t>Projections of Performance, Profitability and Repayment- Cashflow Option- 1</t>
  </si>
  <si>
    <t>Projections of Performance, Profitability and Repayment Cashflow Option- 1</t>
  </si>
  <si>
    <t>Break Even Point at Optimum Capacity Utilisation (4th Year)- Option 1</t>
  </si>
  <si>
    <t>Projections of Performance, Profitability and Repayment- Current Case</t>
  </si>
  <si>
    <t>Break Even Point at Optimum Capacity Utilisation- Current Case</t>
  </si>
  <si>
    <t>Month</t>
  </si>
  <si>
    <t>Date</t>
  </si>
  <si>
    <t>Average of Propane INR/MT</t>
  </si>
  <si>
    <t>Average of Naphtha  INR/MT</t>
  </si>
  <si>
    <t>Average of Butane</t>
  </si>
  <si>
    <t>USD-INR</t>
  </si>
  <si>
    <t>Average of Propane at OPaL INR/MT</t>
  </si>
  <si>
    <t>Average of Naphtha  at OPaL
Base Case INR/MT</t>
  </si>
  <si>
    <t>Average of Butane at OPaL INR/MT</t>
  </si>
  <si>
    <t>Average of  NAPHTHA FOB ARAB GULF VS  NAPHTHA USD/MT</t>
  </si>
  <si>
    <t>HHUB Price
USD/mmBtu</t>
  </si>
  <si>
    <t>Domestic Natural GAS Price
$/MMBTU</t>
  </si>
  <si>
    <t>MT LNG per 1.95MMSCMD</t>
  </si>
  <si>
    <t>Ethane cost at OPaL INR /MT upto
 1.95 limit 
Base Case</t>
  </si>
  <si>
    <t>Ethane Price (Factory Gate) $/MMBTU above 1.95mmscmd limit
Shale Gas from USA</t>
  </si>
  <si>
    <t>Ethane Price (Factory Gate) $/MT above 1.95mmscmd limit</t>
  </si>
  <si>
    <t>Additional Ethane used in Ethane Furnace Addition</t>
  </si>
  <si>
    <t xml:space="preserve">Percentage of additional ethane used </t>
  </si>
  <si>
    <t>Percenatge of ethane used in base case</t>
  </si>
  <si>
    <t xml:space="preserve">Ethane Price
(Ethane  Furnace Addition) Price taken </t>
  </si>
  <si>
    <t>Naphtha Ethane Furnace CASE</t>
  </si>
  <si>
    <t>Ethane Price (Propane Furnace Addition) Price TAKEN FOR Ethane</t>
  </si>
  <si>
    <t>Propane Furnace-Propane Price</t>
  </si>
  <si>
    <t>Naphtha Propane Furnace CASE</t>
  </si>
  <si>
    <t>Naphtha Price Basis</t>
  </si>
  <si>
    <t>Base CASE Existing Naphtha</t>
  </si>
  <si>
    <t>Hazira</t>
  </si>
  <si>
    <t>Uran</t>
  </si>
  <si>
    <t>External</t>
  </si>
  <si>
    <t>Propane Furnace Case Naphtha</t>
  </si>
  <si>
    <t>Jan</t>
  </si>
  <si>
    <t>Feb</t>
  </si>
  <si>
    <t>Mar</t>
  </si>
  <si>
    <t>Apr</t>
  </si>
  <si>
    <t>May</t>
  </si>
  <si>
    <t>Jun</t>
  </si>
  <si>
    <t>Jul</t>
  </si>
  <si>
    <t>Aug</t>
  </si>
  <si>
    <t>Sep</t>
  </si>
  <si>
    <t>Oct</t>
  </si>
  <si>
    <t>Nov</t>
  </si>
  <si>
    <t>Dec</t>
  </si>
  <si>
    <t>1.Propane Furnace has INR 1164 Cr more revenue than Ethane furnace case when additional ethylene and Propylene are converted to Polyethylene and Polypropylene.
2.For 250 KTPA PE plant, the total capital investment is around 1000 INR Crore and for 120 KTPA PP plant it is not more than 500 INR Crore in case Propane Furnace is selected.
3.Propane is easier for procurement as feed compared to ethane.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</si>
</sst>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 #,##0.00_ ;_ * \-#,##0.00_ ;_ * &quot;-&quot;??_ ;_ @_ "/>
    <numFmt numFmtId="164" formatCode="_(* #,##0.00_);_(* \(#,##0.00\);_(* &quot;-&quot;??_);_(@_)"/>
    <numFmt numFmtId="165" formatCode="_(* #,##0_);_(* \(#,##0\);_(* &quot;-&quot;??_);_(@_)"/>
    <numFmt numFmtId="166" formatCode="_ * #,##0_ ;_ * \-#,##0_ ;_ * &quot;-&quot;??_ ;_ @_ "/>
    <numFmt numFmtId="167" formatCode="0.0"/>
    <numFmt numFmtId="168" formatCode="0.000"/>
    <numFmt numFmtId="169" formatCode="0.0%"/>
    <numFmt numFmtId="170" formatCode="_(* #,##0_);_(* \(#,##0\);_(* &quot;-&quot;_);@_)"/>
    <numFmt numFmtId="171" formatCode="0%_);\(0%\)"/>
    <numFmt numFmtId="172" formatCode="&quot;₹&quot;\ #,##0.00"/>
    <numFmt numFmtId="173" formatCode="&quot;₹&quot;\ #,##0"/>
    <numFmt numFmtId="174" formatCode="0.0000"/>
    <numFmt numFmtId="175" formatCode="_(* #,##0.0000_);_(* \(#,##0.0000\);_(* &quot;-&quot;_);@_)"/>
    <numFmt numFmtId="176" formatCode="_(* #,##0.00_);_(* \(#,##0.00\);_(* &quot;-&quot;_);@_)"/>
    <numFmt numFmtId="177" formatCode="_(* #,##0.0_);_(* \(#,##0.0\);_(* &quot;-&quot;_);@_)"/>
    <numFmt numFmtId="178" formatCode="_(* #,##0.00000_);_(* \(#,##0.00000\);_(* &quot;-&quot;_);@_)"/>
    <numFmt numFmtId="179" formatCode="_(* #,##0.000_);_(* \(#,##0.000\);_(* &quot;-&quot;_);@_)"/>
    <numFmt numFmtId="180" formatCode="_(* #,##0.0000_);_(* \(#,##0.0000\);_(* &quot;-&quot;??_);_(@_)"/>
    <numFmt numFmtId="181" formatCode="#,##0.000"/>
  </numFmts>
  <fonts count="88">
    <font>
      <sz val="11"/>
      <color theme="1"/>
      <name val="Calibri"/>
      <family val="2"/>
      <scheme val="minor"/>
    </font>
    <font>
      <sz val="11"/>
      <color theme="1"/>
      <name val="Calibri"/>
      <family val="2"/>
      <scheme val="minor"/>
    </font>
    <font>
      <b/>
      <sz val="11"/>
      <color theme="1"/>
      <name val="Calibri"/>
      <family val="2"/>
      <scheme val="minor"/>
    </font>
    <font>
      <sz val="10"/>
      <color theme="1"/>
      <name val="Arial"/>
      <family val="2"/>
    </font>
    <font>
      <sz val="10"/>
      <name val="Arial"/>
      <family val="2"/>
    </font>
    <font>
      <sz val="11"/>
      <color theme="0"/>
      <name val="Calibri"/>
      <family val="2"/>
      <scheme val="minor"/>
    </font>
    <font>
      <u/>
      <sz val="11"/>
      <color theme="10"/>
      <name val="Calibri"/>
      <family val="2"/>
      <scheme val="minor"/>
    </font>
    <font>
      <b/>
      <sz val="10"/>
      <name val="Arial"/>
      <family val="2"/>
    </font>
    <font>
      <b/>
      <sz val="10"/>
      <color rgb="FF000000"/>
      <name val="Arial"/>
      <family val="2"/>
    </font>
    <font>
      <sz val="10"/>
      <color rgb="FF000000"/>
      <name val="Arial"/>
      <family val="2"/>
    </font>
    <font>
      <b/>
      <sz val="10"/>
      <color theme="1"/>
      <name val="Arial"/>
      <family val="2"/>
    </font>
    <font>
      <b/>
      <sz val="10"/>
      <color theme="0"/>
      <name val="Arial"/>
      <family val="2"/>
    </font>
    <font>
      <sz val="9"/>
      <color theme="1"/>
      <name val="Palladio Uralic"/>
    </font>
    <font>
      <b/>
      <sz val="11"/>
      <color theme="0"/>
      <name val="Calibri"/>
      <family val="2"/>
      <scheme val="minor"/>
    </font>
    <font>
      <sz val="9"/>
      <color theme="1"/>
      <name val="Calibri"/>
      <family val="2"/>
      <scheme val="minor"/>
    </font>
    <font>
      <b/>
      <sz val="11"/>
      <color theme="3"/>
      <name val="Calibri Light"/>
      <family val="2"/>
      <scheme val="major"/>
    </font>
    <font>
      <b/>
      <sz val="9"/>
      <color theme="3"/>
      <name val="Arial"/>
      <family val="2"/>
    </font>
    <font>
      <b/>
      <sz val="9"/>
      <color theme="3"/>
      <name val="Calibri Light"/>
      <family val="2"/>
      <scheme val="major"/>
    </font>
    <font>
      <sz val="9"/>
      <color theme="3"/>
      <name val="Calibri Light"/>
      <family val="2"/>
      <scheme val="major"/>
    </font>
    <font>
      <sz val="9"/>
      <color rgb="FF006100"/>
      <name val="Arial"/>
      <family val="2"/>
    </font>
    <font>
      <sz val="9"/>
      <color rgb="FF9C0006"/>
      <name val="Arial"/>
      <family val="2"/>
    </font>
    <font>
      <sz val="9"/>
      <color rgb="FF9C6500"/>
      <name val="Arial"/>
      <family val="2"/>
    </font>
    <font>
      <sz val="9"/>
      <color rgb="FF3F3F76"/>
      <name val="Calibri"/>
      <family val="2"/>
      <scheme val="minor"/>
    </font>
    <font>
      <b/>
      <sz val="9"/>
      <color rgb="FF3F3F3F"/>
      <name val="Calibri"/>
      <family val="2"/>
      <scheme val="minor"/>
    </font>
    <font>
      <b/>
      <sz val="9"/>
      <color rgb="FFFA7D00"/>
      <name val="Arial"/>
      <family val="2"/>
    </font>
    <font>
      <sz val="9"/>
      <color rgb="FFFA7D00"/>
      <name val="Calibri"/>
      <family val="2"/>
      <scheme val="minor"/>
    </font>
    <font>
      <b/>
      <sz val="9"/>
      <color theme="0"/>
      <name val="Calibri"/>
      <family val="2"/>
      <scheme val="minor"/>
    </font>
    <font>
      <i/>
      <sz val="9"/>
      <color rgb="FF7F7F7F"/>
      <name val="Calibri"/>
      <family val="2"/>
      <scheme val="minor"/>
    </font>
    <font>
      <b/>
      <sz val="9"/>
      <color theme="1"/>
      <name val="Calibri Light"/>
      <family val="2"/>
      <scheme val="major"/>
    </font>
    <font>
      <b/>
      <sz val="9"/>
      <color theme="4"/>
      <name val="Calibri"/>
      <family val="2"/>
      <scheme val="minor"/>
    </font>
    <font>
      <sz val="8"/>
      <color theme="1"/>
      <name val="Calibri"/>
      <family val="2"/>
      <scheme val="minor"/>
    </font>
    <font>
      <b/>
      <sz val="9"/>
      <color theme="1"/>
      <name val="Calibri"/>
      <family val="2"/>
      <scheme val="minor"/>
    </font>
    <font>
      <b/>
      <sz val="11"/>
      <color theme="4"/>
      <name val="Calibri"/>
      <family val="2"/>
      <scheme val="minor"/>
    </font>
    <font>
      <u/>
      <sz val="8.8000000000000007"/>
      <color theme="10"/>
      <name val="Calibri"/>
      <family val="2"/>
    </font>
    <font>
      <b/>
      <sz val="8"/>
      <color theme="1"/>
      <name val="Arial"/>
      <family val="2"/>
    </font>
    <font>
      <sz val="8"/>
      <color theme="1"/>
      <name val="Arial"/>
      <family val="2"/>
    </font>
    <font>
      <sz val="12"/>
      <color theme="1"/>
      <name val="Calibri"/>
      <family val="2"/>
      <scheme val="minor"/>
    </font>
    <font>
      <sz val="11"/>
      <name val="Arial"/>
      <family val="2"/>
    </font>
    <font>
      <b/>
      <sz val="9"/>
      <name val="Arial"/>
      <family val="2"/>
    </font>
    <font>
      <sz val="10"/>
      <name val="Times New Roman"/>
      <family val="1"/>
      <charset val="204"/>
    </font>
    <font>
      <b/>
      <sz val="10"/>
      <color rgb="FFFF0000"/>
      <name val="Arial"/>
      <family val="2"/>
    </font>
    <font>
      <sz val="10"/>
      <color theme="1"/>
      <name val="Times New Roman"/>
      <family val="1"/>
    </font>
    <font>
      <b/>
      <u/>
      <sz val="10"/>
      <color rgb="FF000000"/>
      <name val="Calibri"/>
      <family val="2"/>
    </font>
    <font>
      <b/>
      <sz val="10"/>
      <color rgb="FF000000"/>
      <name val="Calibri"/>
      <family val="2"/>
    </font>
    <font>
      <b/>
      <u/>
      <sz val="10"/>
      <color theme="1"/>
      <name val="Arial"/>
      <family val="2"/>
    </font>
    <font>
      <sz val="8"/>
      <name val="Calibri"/>
      <family val="2"/>
      <scheme val="minor"/>
    </font>
    <font>
      <b/>
      <sz val="9"/>
      <color theme="1"/>
      <name val="Arial"/>
      <family val="2"/>
    </font>
    <font>
      <sz val="9"/>
      <color theme="1"/>
      <name val="Arial"/>
      <family val="2"/>
    </font>
    <font>
      <sz val="9"/>
      <color rgb="FF000000"/>
      <name val="Arial"/>
      <family val="2"/>
    </font>
    <font>
      <b/>
      <sz val="9"/>
      <color rgb="FF000000"/>
      <name val="Arial"/>
      <family val="2"/>
    </font>
    <font>
      <sz val="9"/>
      <name val="Arial"/>
      <family val="2"/>
    </font>
    <font>
      <sz val="10"/>
      <color theme="0" tint="-0.249977111117893"/>
      <name val="Arial"/>
      <family val="2"/>
    </font>
    <font>
      <sz val="10"/>
      <name val="Arial"/>
      <family val="2"/>
    </font>
    <font>
      <b/>
      <sz val="12"/>
      <name val="Times New Roman"/>
      <family val="1"/>
    </font>
    <font>
      <sz val="12"/>
      <name val="Times New Roman"/>
      <family val="1"/>
    </font>
    <font>
      <b/>
      <sz val="10"/>
      <color indexed="10"/>
      <name val="Arial"/>
      <family val="2"/>
    </font>
    <font>
      <sz val="10"/>
      <color indexed="10"/>
      <name val="Arial"/>
      <family val="2"/>
    </font>
    <font>
      <sz val="12"/>
      <color indexed="10"/>
      <name val="Times New Roman"/>
      <family val="1"/>
    </font>
    <font>
      <sz val="10"/>
      <color indexed="8"/>
      <name val="Arial"/>
      <family val="2"/>
    </font>
    <font>
      <sz val="10"/>
      <name val="Times New Roman"/>
      <family val="1"/>
    </font>
    <font>
      <b/>
      <i/>
      <sz val="10"/>
      <name val="Arial"/>
      <family val="2"/>
    </font>
    <font>
      <b/>
      <sz val="14"/>
      <name val="Calibri"/>
      <family val="2"/>
      <scheme val="minor"/>
    </font>
    <font>
      <b/>
      <sz val="14"/>
      <color theme="1"/>
      <name val="Calibri"/>
      <family val="2"/>
      <scheme val="minor"/>
    </font>
    <font>
      <sz val="11"/>
      <name val="Calibri"/>
      <family val="2"/>
      <scheme val="minor"/>
    </font>
    <font>
      <b/>
      <i/>
      <sz val="12"/>
      <color theme="1"/>
      <name val="Calibri"/>
      <family val="2"/>
      <scheme val="minor"/>
    </font>
    <font>
      <b/>
      <i/>
      <sz val="11"/>
      <color theme="1"/>
      <name val="Calibri"/>
      <family val="2"/>
      <scheme val="minor"/>
    </font>
    <font>
      <b/>
      <sz val="20"/>
      <name val="Calibri"/>
      <family val="2"/>
      <scheme val="minor"/>
    </font>
    <font>
      <i/>
      <sz val="11"/>
      <color theme="1"/>
      <name val="Calibri"/>
      <family val="2"/>
      <scheme val="minor"/>
    </font>
    <font>
      <b/>
      <u/>
      <sz val="12"/>
      <color theme="1"/>
      <name val="Calibri"/>
      <family val="2"/>
      <scheme val="minor"/>
    </font>
    <font>
      <i/>
      <sz val="10"/>
      <color theme="1"/>
      <name val="Calibri"/>
      <family val="2"/>
      <scheme val="minor"/>
    </font>
    <font>
      <i/>
      <u/>
      <sz val="11"/>
      <color theme="1"/>
      <name val="Calibri"/>
      <family val="2"/>
      <scheme val="minor"/>
    </font>
    <font>
      <u/>
      <sz val="11"/>
      <color theme="1"/>
      <name val="Calibri"/>
      <family val="2"/>
      <scheme val="minor"/>
    </font>
    <font>
      <b/>
      <sz val="12"/>
      <color theme="1"/>
      <name val="Calibri"/>
      <family val="2"/>
      <scheme val="minor"/>
    </font>
    <font>
      <i/>
      <u/>
      <sz val="11"/>
      <color theme="10"/>
      <name val="Calibri"/>
      <family val="2"/>
      <scheme val="minor"/>
    </font>
    <font>
      <b/>
      <i/>
      <u/>
      <sz val="12"/>
      <color theme="1"/>
      <name val="Calibri"/>
      <family val="2"/>
      <scheme val="minor"/>
    </font>
    <font>
      <sz val="11"/>
      <color rgb="FF1F497D"/>
      <name val="Calibri"/>
      <family val="2"/>
      <scheme val="minor"/>
    </font>
    <font>
      <b/>
      <sz val="18"/>
      <name val="Calibri"/>
      <family val="2"/>
      <scheme val="minor"/>
    </font>
    <font>
      <b/>
      <sz val="14"/>
      <color theme="0"/>
      <name val="Calibri"/>
      <family val="2"/>
      <scheme val="minor"/>
    </font>
    <font>
      <b/>
      <sz val="12.5"/>
      <color theme="0"/>
      <name val="Calibri"/>
      <family val="2"/>
      <scheme val="minor"/>
    </font>
    <font>
      <sz val="10"/>
      <color theme="0"/>
      <name val="Arial"/>
      <family val="2"/>
    </font>
    <font>
      <b/>
      <sz val="10"/>
      <color theme="1"/>
      <name val=" Arial "/>
    </font>
    <font>
      <sz val="10"/>
      <name val=" Arial "/>
    </font>
    <font>
      <sz val="10"/>
      <color theme="1"/>
      <name val=" Arial "/>
    </font>
    <font>
      <b/>
      <sz val="14"/>
      <color theme="0"/>
      <name val="Arial"/>
      <family val="2"/>
    </font>
    <font>
      <b/>
      <sz val="10"/>
      <color theme="8" tint="-0.499984740745262"/>
      <name val="Arial"/>
      <family val="2"/>
    </font>
    <font>
      <b/>
      <sz val="11"/>
      <name val="Arial"/>
      <family val="2"/>
    </font>
    <font>
      <b/>
      <sz val="11"/>
      <name val="Calibri"/>
      <family val="2"/>
      <scheme val="minor"/>
    </font>
    <font>
      <b/>
      <sz val="10"/>
      <name val=" Arial "/>
    </font>
  </fonts>
  <fills count="38">
    <fill>
      <patternFill patternType="none"/>
    </fill>
    <fill>
      <patternFill patternType="gray125"/>
    </fill>
    <fill>
      <patternFill patternType="solid">
        <fgColor theme="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4"/>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rgb="FFFCD4B6"/>
        <bgColor indexed="64"/>
      </patternFill>
    </fill>
    <fill>
      <patternFill patternType="solid">
        <fgColor rgb="FFE8E6DF"/>
        <bgColor indexed="64"/>
      </patternFill>
    </fill>
    <fill>
      <patternFill patternType="solid">
        <fgColor theme="8" tint="0.79998168889431442"/>
        <bgColor indexed="64"/>
      </patternFill>
    </fill>
    <fill>
      <patternFill patternType="solid">
        <fgColor rgb="FFBFBFBF"/>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6" tint="0.59999389629810485"/>
        <bgColor indexed="64"/>
      </patternFill>
    </fill>
    <fill>
      <patternFill patternType="solid">
        <fgColor indexed="43"/>
        <bgColor indexed="64"/>
      </patternFill>
    </fill>
    <fill>
      <patternFill patternType="solid">
        <fgColor theme="2"/>
        <bgColor indexed="64"/>
      </patternFill>
    </fill>
    <fill>
      <patternFill patternType="solid">
        <fgColor theme="5"/>
        <bgColor indexed="64"/>
      </patternFill>
    </fill>
    <fill>
      <patternFill patternType="solid">
        <fgColor rgb="FFDEDEDE"/>
        <bgColor indexed="64"/>
      </patternFill>
    </fill>
    <fill>
      <patternFill patternType="solid">
        <fgColor rgb="FFFFC000"/>
        <bgColor indexed="64"/>
      </patternFill>
    </fill>
    <fill>
      <patternFill patternType="solid">
        <fgColor theme="0" tint="-0.14999847407452621"/>
        <bgColor indexed="64"/>
      </patternFill>
    </fill>
    <fill>
      <patternFill patternType="solid">
        <fgColor theme="0"/>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rgb="FF002060"/>
        <bgColor indexed="64"/>
      </patternFill>
    </fill>
    <fill>
      <patternFill patternType="solid">
        <fgColor theme="7" tint="0.59999389629810485"/>
        <bgColor indexed="64"/>
      </patternFill>
    </fill>
    <fill>
      <patternFill patternType="solid">
        <fgColor theme="5" tint="0.79998168889431442"/>
        <bgColor indexed="64"/>
      </patternFill>
    </fill>
  </fills>
  <borders count="58">
    <border>
      <left/>
      <right/>
      <top/>
      <bottom/>
      <diagonal/>
    </border>
    <border>
      <left/>
      <right/>
      <top/>
      <bottom style="thin">
        <color auto="1"/>
      </bottom>
      <diagonal/>
    </border>
    <border>
      <left style="thin">
        <color indexed="64"/>
      </left>
      <right style="thin">
        <color indexed="64"/>
      </right>
      <top style="thin">
        <color indexed="64"/>
      </top>
      <bottom style="thin">
        <color indexed="64"/>
      </bottom>
      <diagonal/>
    </border>
    <border>
      <left/>
      <right style="medium">
        <color indexed="64"/>
      </right>
      <top/>
      <bottom/>
      <diagonal/>
    </border>
    <border>
      <left/>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medium">
        <color indexed="64"/>
      </right>
      <top/>
      <bottom style="medium">
        <color indexed="64"/>
      </bottom>
      <diagonal/>
    </border>
    <border>
      <left style="thin">
        <color indexed="64"/>
      </left>
      <right style="thin">
        <color indexed="64"/>
      </right>
      <top/>
      <bottom/>
      <diagonal/>
    </border>
    <border>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thin">
        <color theme="4"/>
      </bottom>
      <diagonal/>
    </border>
    <border>
      <left/>
      <right/>
      <top style="thin">
        <color theme="4"/>
      </top>
      <bottom style="medium">
        <color theme="4"/>
      </bottom>
      <diagonal/>
    </border>
    <border>
      <left/>
      <right/>
      <top style="thin">
        <color theme="4"/>
      </top>
      <bottom/>
      <diagonal/>
    </border>
    <border>
      <left/>
      <right/>
      <top style="medium">
        <color theme="4"/>
      </top>
      <bottom/>
      <diagonal/>
    </border>
    <border>
      <left/>
      <right style="thin">
        <color indexed="64"/>
      </right>
      <top/>
      <bottom/>
      <diagonal/>
    </border>
    <border>
      <left style="thin">
        <color indexed="64"/>
      </left>
      <right/>
      <top/>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thin">
        <color theme="0"/>
      </left>
      <right/>
      <top style="thin">
        <color theme="0"/>
      </top>
      <bottom style="thin">
        <color theme="0"/>
      </bottom>
      <diagonal/>
    </border>
    <border>
      <left style="thin">
        <color indexed="64"/>
      </left>
      <right style="thin">
        <color indexed="64"/>
      </right>
      <top style="thin">
        <color indexed="64"/>
      </top>
      <bottom style="thin">
        <color theme="0"/>
      </bottom>
      <diagonal/>
    </border>
    <border>
      <left/>
      <right style="thin">
        <color theme="0"/>
      </right>
      <top style="thin">
        <color theme="0"/>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theme="0"/>
      </left>
      <right style="thin">
        <color theme="0"/>
      </right>
      <top/>
      <bottom style="thin">
        <color theme="0"/>
      </bottom>
      <diagonal/>
    </border>
    <border>
      <left/>
      <right style="thin">
        <color theme="0"/>
      </right>
      <top style="thin">
        <color theme="0"/>
      </top>
      <bottom/>
      <diagonal/>
    </border>
    <border>
      <left style="thin">
        <color indexed="64"/>
      </left>
      <right style="thin">
        <color theme="0"/>
      </right>
      <top style="thin">
        <color indexed="64"/>
      </top>
      <bottom style="thin">
        <color theme="0"/>
      </bottom>
      <diagonal/>
    </border>
    <border>
      <left style="thin">
        <color theme="0"/>
      </left>
      <right style="thin">
        <color theme="0"/>
      </right>
      <top style="thin">
        <color indexed="64"/>
      </top>
      <bottom style="thin">
        <color theme="0"/>
      </bottom>
      <diagonal/>
    </border>
    <border>
      <left style="thin">
        <color theme="0"/>
      </left>
      <right style="thin">
        <color indexed="64"/>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theme="0"/>
      </left>
      <right style="thin">
        <color indexed="64"/>
      </right>
      <top style="thin">
        <color theme="0"/>
      </top>
      <bottom style="thin">
        <color theme="0"/>
      </bottom>
      <diagonal/>
    </border>
    <border>
      <left style="thin">
        <color indexed="64"/>
      </left>
      <right style="thin">
        <color theme="0"/>
      </right>
      <top style="thin">
        <color theme="0"/>
      </top>
      <bottom style="thin">
        <color indexed="64"/>
      </bottom>
      <diagonal/>
    </border>
    <border>
      <left style="thin">
        <color theme="0"/>
      </left>
      <right style="thin">
        <color theme="0"/>
      </right>
      <top style="thin">
        <color theme="0"/>
      </top>
      <bottom style="thin">
        <color indexed="64"/>
      </bottom>
      <diagonal/>
    </border>
    <border>
      <left style="thin">
        <color theme="0"/>
      </left>
      <right style="thin">
        <color indexed="64"/>
      </right>
      <top style="thin">
        <color theme="0"/>
      </top>
      <bottom style="thin">
        <color indexed="64"/>
      </bottom>
      <diagonal/>
    </border>
    <border>
      <left/>
      <right/>
      <top style="thin">
        <color theme="0"/>
      </top>
      <bottom style="thin">
        <color theme="0"/>
      </bottom>
      <diagonal/>
    </border>
    <border>
      <left/>
      <right style="medium">
        <color indexed="64"/>
      </right>
      <top style="thin">
        <color indexed="64"/>
      </top>
      <bottom/>
      <diagonal/>
    </border>
    <border>
      <left/>
      <right style="medium">
        <color indexed="64"/>
      </right>
      <top/>
      <bottom style="thin">
        <color indexed="64"/>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55">
    <xf numFmtId="0" fontId="0" fillId="0" borderId="0"/>
    <xf numFmtId="164" fontId="1" fillId="0" borderId="0" applyFont="0" applyFill="0" applyBorder="0" applyAlignment="0" applyProtection="0"/>
    <xf numFmtId="0" fontId="1" fillId="0" borderId="0"/>
    <xf numFmtId="9" fontId="1" fillId="0" borderId="0" applyFont="0" applyFill="0" applyBorder="0" applyAlignment="0" applyProtection="0"/>
    <xf numFmtId="0" fontId="5" fillId="2" borderId="0" applyNumberFormat="0" applyBorder="0" applyAlignment="0" applyProtection="0"/>
    <xf numFmtId="0" fontId="6" fillId="0" borderId="0" applyNumberFormat="0" applyFill="0" applyBorder="0" applyAlignment="0" applyProtection="0"/>
    <xf numFmtId="164" fontId="1" fillId="0" borderId="0" applyFont="0" applyFill="0" applyBorder="0" applyAlignment="0" applyProtection="0"/>
    <xf numFmtId="0" fontId="1" fillId="0" borderId="0"/>
    <xf numFmtId="170" fontId="14" fillId="0" borderId="0"/>
    <xf numFmtId="0" fontId="20" fillId="10" borderId="0" applyNumberFormat="0" applyBorder="0" applyAlignment="0" applyProtection="0"/>
    <xf numFmtId="0" fontId="24" fillId="13" borderId="17" applyNumberFormat="0" applyAlignment="0" applyProtection="0"/>
    <xf numFmtId="0" fontId="26" fillId="14" borderId="20" applyNumberFormat="0" applyAlignment="0" applyProtection="0"/>
    <xf numFmtId="43" fontId="14" fillId="0" borderId="0" applyFont="0" applyFill="0" applyBorder="0" applyAlignment="0" applyProtection="0"/>
    <xf numFmtId="0" fontId="27" fillId="0" borderId="0" applyNumberFormat="0" applyFill="0" applyBorder="0" applyAlignment="0" applyProtection="0"/>
    <xf numFmtId="0" fontId="19" fillId="9" borderId="0" applyNumberFormat="0" applyBorder="0" applyAlignment="0" applyProtection="0"/>
    <xf numFmtId="49" fontId="16" fillId="0" borderId="22" applyFill="0" applyProtection="0">
      <alignment horizontal="right" wrapText="1"/>
    </xf>
    <xf numFmtId="49" fontId="17" fillId="0" borderId="0" applyProtection="0">
      <alignment wrapText="1"/>
    </xf>
    <xf numFmtId="49" fontId="18" fillId="0" borderId="23" applyFill="0" applyProtection="0">
      <alignment horizontal="right" wrapText="1"/>
    </xf>
    <xf numFmtId="49" fontId="18" fillId="0" borderId="0" applyProtection="0">
      <alignment wrapText="1"/>
    </xf>
    <xf numFmtId="0" fontId="33" fillId="0" borderId="0" applyNumberFormat="0" applyFill="0" applyBorder="0" applyAlignment="0" applyProtection="0">
      <alignment vertical="top"/>
      <protection locked="0"/>
    </xf>
    <xf numFmtId="0" fontId="22" fillId="12" borderId="17" applyNumberFormat="0" applyAlignment="0" applyProtection="0"/>
    <xf numFmtId="0" fontId="25" fillId="0" borderId="19" applyNumberFormat="0" applyFill="0" applyAlignment="0" applyProtection="0"/>
    <xf numFmtId="0" fontId="21" fillId="11" borderId="0" applyNumberFormat="0" applyBorder="0" applyAlignment="0" applyProtection="0"/>
    <xf numFmtId="0" fontId="1" fillId="0" borderId="0"/>
    <xf numFmtId="0" fontId="14" fillId="15" borderId="21" applyNumberFormat="0" applyAlignment="0" applyProtection="0"/>
    <xf numFmtId="0" fontId="23" fillId="13" borderId="18" applyNumberFormat="0" applyAlignment="0" applyProtection="0"/>
    <xf numFmtId="9" fontId="14" fillId="0" borderId="0" applyFont="0" applyFill="0" applyBorder="0" applyAlignment="0" applyProtection="0"/>
    <xf numFmtId="9" fontId="1" fillId="0" borderId="0" applyFont="0" applyFill="0" applyBorder="0" applyAlignment="0" applyProtection="0"/>
    <xf numFmtId="170" fontId="29" fillId="0" borderId="0" applyNumberFormat="0" applyFill="0" applyBorder="0" applyAlignment="0" applyProtection="0"/>
    <xf numFmtId="170" fontId="14" fillId="16" borderId="0" applyNumberFormat="0" applyFont="0" applyBorder="0" applyAlignment="0" applyProtection="0"/>
    <xf numFmtId="0" fontId="14" fillId="0" borderId="0" applyFill="0" applyBorder="0" applyProtection="0"/>
    <xf numFmtId="170" fontId="14" fillId="17" borderId="0" applyNumberFormat="0" applyFont="0" applyBorder="0" applyAlignment="0" applyProtection="0"/>
    <xf numFmtId="171" fontId="14" fillId="0" borderId="0" applyFill="0" applyBorder="0" applyAlignment="0" applyProtection="0"/>
    <xf numFmtId="0" fontId="30" fillId="0" borderId="0" applyNumberFormat="0" applyAlignment="0" applyProtection="0"/>
    <xf numFmtId="0" fontId="29" fillId="0" borderId="22" applyFill="0" applyProtection="0">
      <alignment horizontal="left" wrapText="1"/>
    </xf>
    <xf numFmtId="0" fontId="29" fillId="0" borderId="0" applyFill="0" applyProtection="0">
      <alignment wrapText="1"/>
    </xf>
    <xf numFmtId="0" fontId="29" fillId="0" borderId="26" applyFill="0" applyProtection="0">
      <alignment wrapText="1"/>
    </xf>
    <xf numFmtId="170" fontId="31" fillId="0" borderId="25" applyNumberFormat="0" applyFill="0" applyAlignment="0" applyProtection="0"/>
    <xf numFmtId="0" fontId="32" fillId="0" borderId="0" applyAlignment="0" applyProtection="0"/>
    <xf numFmtId="0" fontId="31" fillId="0" borderId="24" applyNumberFormat="0" applyFill="0" applyAlignment="0" applyProtection="0"/>
    <xf numFmtId="49" fontId="15" fillId="0" borderId="0" applyAlignment="0" applyProtection="0"/>
    <xf numFmtId="0" fontId="28" fillId="0" borderId="24" applyNumberFormat="0" applyFill="0" applyAlignment="0" applyProtection="0"/>
    <xf numFmtId="0" fontId="4" fillId="0" borderId="0"/>
    <xf numFmtId="43" fontId="1" fillId="0" borderId="0" applyFont="0" applyFill="0" applyBorder="0" applyAlignment="0" applyProtection="0"/>
    <xf numFmtId="0" fontId="4" fillId="0" borderId="0"/>
    <xf numFmtId="0" fontId="14" fillId="0" borderId="0"/>
    <xf numFmtId="170" fontId="14" fillId="0" borderId="0"/>
    <xf numFmtId="9" fontId="14" fillId="0" borderId="0" applyFont="0" applyFill="0" applyBorder="0" applyAlignment="0" applyProtection="0"/>
    <xf numFmtId="0" fontId="36" fillId="0" borderId="0"/>
    <xf numFmtId="0" fontId="4" fillId="0" borderId="0"/>
    <xf numFmtId="0" fontId="39" fillId="0" borderId="0" applyNumberFormat="0" applyFill="0" applyBorder="0" applyProtection="0">
      <alignment vertical="top" wrapText="1"/>
    </xf>
    <xf numFmtId="0" fontId="4" fillId="0" borderId="0"/>
    <xf numFmtId="0" fontId="52" fillId="0" borderId="0"/>
    <xf numFmtId="9" fontId="52" fillId="0" borderId="0" applyFont="0" applyFill="0" applyBorder="0" applyAlignment="0" applyProtection="0"/>
    <xf numFmtId="9" fontId="4" fillId="0" borderId="0" applyFont="0" applyFill="0" applyBorder="0" applyAlignment="0" applyProtection="0"/>
  </cellStyleXfs>
  <cellXfs count="1518">
    <xf numFmtId="0" fontId="0" fillId="0" borderId="0" xfId="0"/>
    <xf numFmtId="0" fontId="3" fillId="0" borderId="0" xfId="0" applyFont="1"/>
    <xf numFmtId="2" fontId="0" fillId="0" borderId="0" xfId="0" applyNumberFormat="1"/>
    <xf numFmtId="0" fontId="0" fillId="0" borderId="0" xfId="0" applyBorder="1"/>
    <xf numFmtId="0" fontId="3" fillId="0" borderId="0" xfId="0" applyFont="1" applyBorder="1"/>
    <xf numFmtId="0" fontId="0" fillId="0" borderId="0" xfId="0"/>
    <xf numFmtId="0" fontId="13" fillId="6" borderId="0" xfId="0" applyFont="1" applyFill="1"/>
    <xf numFmtId="0" fontId="13" fillId="6" borderId="0" xfId="0" applyFont="1" applyFill="1" applyAlignment="1">
      <alignment horizontal="center"/>
    </xf>
    <xf numFmtId="0" fontId="3" fillId="0" borderId="28" xfId="0" applyFont="1" applyBorder="1" applyAlignment="1">
      <alignment horizontal="center"/>
    </xf>
    <xf numFmtId="0" fontId="3" fillId="0" borderId="0" xfId="0" applyFont="1" applyFill="1" applyBorder="1" applyAlignment="1">
      <alignment horizontal="center" wrapText="1"/>
    </xf>
    <xf numFmtId="0" fontId="10" fillId="0" borderId="0" xfId="0" applyFont="1" applyFill="1" applyBorder="1" applyAlignment="1">
      <alignment horizontal="center" wrapText="1"/>
    </xf>
    <xf numFmtId="169" fontId="3" fillId="0" borderId="0" xfId="3" applyNumberFormat="1" applyFont="1" applyFill="1" applyBorder="1" applyAlignment="1">
      <alignment horizontal="center" wrapText="1"/>
    </xf>
    <xf numFmtId="0" fontId="10" fillId="0" borderId="0" xfId="0" applyFont="1" applyFill="1" applyBorder="1" applyAlignment="1">
      <alignment horizontal="center" vertical="center" wrapText="1"/>
    </xf>
    <xf numFmtId="0" fontId="3" fillId="0" borderId="0" xfId="0" applyFont="1" applyFill="1" applyBorder="1" applyAlignment="1">
      <alignment horizontal="center" vertical="center" wrapText="1"/>
    </xf>
    <xf numFmtId="9" fontId="3" fillId="0" borderId="0" xfId="0" applyNumberFormat="1" applyFont="1" applyFill="1" applyBorder="1" applyAlignment="1">
      <alignment horizontal="center" vertical="center" wrapText="1"/>
    </xf>
    <xf numFmtId="0" fontId="10" fillId="0" borderId="28" xfId="0" applyFont="1" applyFill="1" applyBorder="1" applyAlignment="1">
      <alignment horizontal="center" vertical="center" wrapText="1"/>
    </xf>
    <xf numFmtId="0" fontId="3" fillId="0" borderId="28" xfId="0" applyFont="1" applyFill="1" applyBorder="1" applyAlignment="1">
      <alignment horizontal="center" vertical="center" wrapText="1"/>
    </xf>
    <xf numFmtId="0" fontId="3" fillId="0" borderId="12" xfId="0" applyFont="1" applyFill="1" applyBorder="1" applyAlignment="1">
      <alignment horizontal="center" vertical="center" wrapText="1"/>
    </xf>
    <xf numFmtId="0" fontId="10" fillId="0" borderId="1" xfId="0" applyFont="1" applyFill="1" applyBorder="1" applyAlignment="1">
      <alignment horizontal="center" vertical="center" wrapText="1"/>
    </xf>
    <xf numFmtId="9" fontId="3" fillId="0" borderId="0" xfId="0" applyNumberFormat="1" applyFont="1" applyFill="1" applyBorder="1" applyAlignment="1">
      <alignment horizontal="center" vertical="center"/>
    </xf>
    <xf numFmtId="0" fontId="3" fillId="20" borderId="28" xfId="0" applyFont="1" applyFill="1" applyBorder="1" applyAlignment="1">
      <alignment horizontal="center" vertical="center" wrapText="1"/>
    </xf>
    <xf numFmtId="0" fontId="10" fillId="20" borderId="0" xfId="0" applyFont="1" applyFill="1" applyBorder="1" applyAlignment="1">
      <alignment horizontal="center" vertical="center" wrapText="1"/>
    </xf>
    <xf numFmtId="0" fontId="3" fillId="20" borderId="0" xfId="0" applyFont="1" applyFill="1" applyBorder="1" applyAlignment="1">
      <alignment horizontal="center" vertical="center" wrapText="1"/>
    </xf>
    <xf numFmtId="0" fontId="10" fillId="0" borderId="9" xfId="0" applyFont="1" applyFill="1" applyBorder="1" applyAlignment="1">
      <alignment horizontal="center" vertical="center" wrapText="1"/>
    </xf>
    <xf numFmtId="0" fontId="10" fillId="0" borderId="10" xfId="0" applyFont="1" applyFill="1" applyBorder="1" applyAlignment="1">
      <alignment horizontal="center" vertical="center" wrapText="1"/>
    </xf>
    <xf numFmtId="0" fontId="3" fillId="0" borderId="0" xfId="0" applyFont="1" applyFill="1" applyBorder="1"/>
    <xf numFmtId="0" fontId="3" fillId="0" borderId="0" xfId="0" applyFont="1" applyBorder="1" applyAlignment="1">
      <alignment horizontal="center" vertical="center"/>
    </xf>
    <xf numFmtId="165" fontId="4" fillId="0" borderId="0" xfId="1" applyNumberFormat="1" applyFont="1" applyBorder="1" applyAlignment="1">
      <alignment horizontal="center" vertical="center"/>
    </xf>
    <xf numFmtId="1" fontId="3" fillId="0" borderId="0" xfId="0" applyNumberFormat="1" applyFont="1" applyBorder="1" applyAlignment="1">
      <alignment horizontal="center" vertical="center"/>
    </xf>
    <xf numFmtId="165" fontId="3" fillId="0" borderId="0" xfId="0" applyNumberFormat="1" applyFont="1" applyBorder="1" applyAlignment="1">
      <alignment horizontal="center" vertical="center"/>
    </xf>
    <xf numFmtId="0" fontId="3" fillId="21" borderId="0" xfId="0" applyFont="1" applyFill="1" applyBorder="1" applyAlignment="1">
      <alignment horizontal="center" vertical="center"/>
    </xf>
    <xf numFmtId="0" fontId="8" fillId="0" borderId="0" xfId="0" applyFont="1" applyFill="1" applyBorder="1" applyAlignment="1">
      <alignment horizontal="center" vertical="center"/>
    </xf>
    <xf numFmtId="0" fontId="9" fillId="0" borderId="0" xfId="0" applyFont="1" applyFill="1" applyBorder="1" applyAlignment="1">
      <alignment horizontal="center" vertical="center"/>
    </xf>
    <xf numFmtId="1" fontId="9" fillId="0" borderId="0" xfId="0" applyNumberFormat="1" applyFont="1" applyFill="1" applyBorder="1" applyAlignment="1">
      <alignment horizontal="center" vertical="center"/>
    </xf>
    <xf numFmtId="0" fontId="9" fillId="0" borderId="0" xfId="0" applyFont="1" applyFill="1" applyBorder="1" applyAlignment="1">
      <alignment horizontal="left" vertical="center"/>
    </xf>
    <xf numFmtId="9" fontId="9" fillId="0" borderId="0" xfId="0" applyNumberFormat="1" applyFont="1" applyFill="1" applyBorder="1" applyAlignment="1">
      <alignment horizontal="center" vertical="center"/>
    </xf>
    <xf numFmtId="1" fontId="3" fillId="0" borderId="0" xfId="0" applyNumberFormat="1" applyFont="1" applyFill="1" applyBorder="1"/>
    <xf numFmtId="0" fontId="9" fillId="0" borderId="28" xfId="0" applyFont="1" applyFill="1" applyBorder="1" applyAlignment="1">
      <alignment horizontal="center" vertical="center" wrapText="1"/>
    </xf>
    <xf numFmtId="0" fontId="9" fillId="0" borderId="27" xfId="0" applyFont="1" applyFill="1" applyBorder="1" applyAlignment="1">
      <alignment horizontal="center" vertical="center"/>
    </xf>
    <xf numFmtId="0" fontId="8" fillId="0" borderId="28" xfId="0" applyFont="1" applyFill="1" applyBorder="1" applyAlignment="1">
      <alignment horizontal="center" vertical="center" wrapText="1"/>
    </xf>
    <xf numFmtId="0" fontId="8" fillId="0" borderId="12" xfId="0" applyFont="1" applyFill="1" applyBorder="1" applyAlignment="1">
      <alignment horizontal="center" vertical="center" wrapText="1"/>
    </xf>
    <xf numFmtId="0" fontId="8" fillId="0" borderId="1" xfId="0" applyFont="1" applyFill="1" applyBorder="1" applyAlignment="1">
      <alignment horizontal="center" vertical="center"/>
    </xf>
    <xf numFmtId="2" fontId="3" fillId="0" borderId="0" xfId="0" applyNumberFormat="1" applyFont="1" applyBorder="1" applyAlignment="1">
      <alignment horizontal="center"/>
    </xf>
    <xf numFmtId="2" fontId="3" fillId="0" borderId="27" xfId="0" applyNumberFormat="1" applyFont="1" applyBorder="1" applyAlignment="1">
      <alignment horizontal="center"/>
    </xf>
    <xf numFmtId="1" fontId="9" fillId="0" borderId="27" xfId="0" applyNumberFormat="1" applyFont="1" applyFill="1" applyBorder="1" applyAlignment="1">
      <alignment horizontal="center" vertical="center"/>
    </xf>
    <xf numFmtId="1" fontId="8" fillId="0" borderId="27" xfId="0" applyNumberFormat="1" applyFont="1" applyFill="1" applyBorder="1" applyAlignment="1">
      <alignment horizontal="center" vertical="center"/>
    </xf>
    <xf numFmtId="1" fontId="8" fillId="0" borderId="13" xfId="0" applyNumberFormat="1" applyFont="1" applyFill="1" applyBorder="1" applyAlignment="1">
      <alignment horizontal="center" vertical="center"/>
    </xf>
    <xf numFmtId="2" fontId="0" fillId="7" borderId="0" xfId="0" applyNumberFormat="1" applyFill="1" applyAlignment="1">
      <alignment horizontal="left"/>
    </xf>
    <xf numFmtId="2" fontId="0" fillId="7" borderId="0" xfId="0" applyNumberFormat="1" applyFill="1" applyAlignment="1">
      <alignment horizontal="center"/>
    </xf>
    <xf numFmtId="0" fontId="8" fillId="4" borderId="10" xfId="0" applyFont="1" applyFill="1" applyBorder="1" applyAlignment="1">
      <alignment horizontal="center" vertical="center"/>
    </xf>
    <xf numFmtId="0" fontId="8" fillId="4" borderId="11" xfId="0" applyFont="1" applyFill="1" applyBorder="1" applyAlignment="1">
      <alignment horizontal="center" vertical="center"/>
    </xf>
    <xf numFmtId="0" fontId="8" fillId="4" borderId="0" xfId="0" applyFont="1" applyFill="1" applyBorder="1" applyAlignment="1">
      <alignment horizontal="center" vertical="center"/>
    </xf>
    <xf numFmtId="0" fontId="8" fillId="4" borderId="27" xfId="0" applyFont="1" applyFill="1" applyBorder="1" applyAlignment="1">
      <alignment horizontal="center" vertical="center"/>
    </xf>
    <xf numFmtId="1" fontId="3" fillId="0" borderId="27" xfId="0" applyNumberFormat="1" applyFont="1" applyBorder="1" applyAlignment="1">
      <alignment horizontal="center"/>
    </xf>
    <xf numFmtId="1" fontId="3" fillId="0" borderId="13" xfId="0" applyNumberFormat="1" applyFont="1" applyBorder="1" applyAlignment="1">
      <alignment horizontal="center"/>
    </xf>
    <xf numFmtId="0" fontId="3" fillId="22" borderId="0" xfId="0" applyFont="1" applyFill="1" applyBorder="1" applyAlignment="1">
      <alignment horizontal="center" wrapText="1"/>
    </xf>
    <xf numFmtId="9" fontId="3" fillId="22" borderId="0" xfId="3" applyFont="1" applyFill="1" applyBorder="1" applyAlignment="1">
      <alignment horizontal="center" wrapText="1"/>
    </xf>
    <xf numFmtId="0" fontId="10" fillId="20" borderId="27" xfId="0" applyFont="1" applyFill="1" applyBorder="1" applyAlignment="1">
      <alignment horizontal="center" vertical="center" wrapText="1"/>
    </xf>
    <xf numFmtId="4" fontId="10" fillId="0" borderId="11" xfId="0" applyNumberFormat="1" applyFont="1" applyFill="1" applyBorder="1" applyAlignment="1">
      <alignment horizontal="center" vertical="center" wrapText="1"/>
    </xf>
    <xf numFmtId="4" fontId="10" fillId="0" borderId="27" xfId="0" applyNumberFormat="1" applyFont="1" applyFill="1" applyBorder="1" applyAlignment="1">
      <alignment horizontal="center" vertical="center" wrapText="1"/>
    </xf>
    <xf numFmtId="3" fontId="12" fillId="0" borderId="27" xfId="0" applyNumberFormat="1" applyFont="1" applyFill="1" applyBorder="1" applyAlignment="1">
      <alignment horizontal="center" vertical="center" wrapText="1"/>
    </xf>
    <xf numFmtId="3" fontId="3" fillId="0" borderId="27" xfId="0" applyNumberFormat="1" applyFont="1" applyFill="1" applyBorder="1" applyAlignment="1">
      <alignment horizontal="center" vertical="center" wrapText="1"/>
    </xf>
    <xf numFmtId="0" fontId="11" fillId="2" borderId="10" xfId="4" applyFont="1" applyBorder="1" applyAlignment="1">
      <alignment horizontal="center" vertical="center"/>
    </xf>
    <xf numFmtId="0" fontId="11" fillId="2" borderId="10" xfId="4" applyFont="1" applyBorder="1" applyAlignment="1">
      <alignment horizontal="center" vertical="center" wrapText="1"/>
    </xf>
    <xf numFmtId="165" fontId="7" fillId="0" borderId="28" xfId="1" applyNumberFormat="1" applyFont="1" applyBorder="1" applyAlignment="1">
      <alignment horizontal="center" vertical="center"/>
    </xf>
    <xf numFmtId="0" fontId="0" fillId="0" borderId="27" xfId="0" applyBorder="1"/>
    <xf numFmtId="0" fontId="3" fillId="0" borderId="28" xfId="0" applyFont="1" applyBorder="1" applyAlignment="1">
      <alignment horizontal="center" vertical="center"/>
    </xf>
    <xf numFmtId="1" fontId="3" fillId="0" borderId="27" xfId="0" applyNumberFormat="1" applyFont="1" applyBorder="1" applyAlignment="1">
      <alignment horizontal="center" vertical="center"/>
    </xf>
    <xf numFmtId="0" fontId="3" fillId="0" borderId="12" xfId="0" applyFont="1" applyBorder="1" applyAlignment="1">
      <alignment horizontal="center" vertical="center"/>
    </xf>
    <xf numFmtId="165" fontId="4" fillId="0" borderId="1" xfId="1" applyNumberFormat="1" applyFont="1" applyBorder="1" applyAlignment="1">
      <alignment horizontal="center" vertical="center"/>
    </xf>
    <xf numFmtId="0" fontId="3" fillId="0" borderId="1" xfId="0" applyFont="1" applyBorder="1" applyAlignment="1">
      <alignment horizontal="center" vertical="center"/>
    </xf>
    <xf numFmtId="0" fontId="0" fillId="0" borderId="1" xfId="0" applyBorder="1"/>
    <xf numFmtId="1" fontId="3" fillId="0" borderId="1" xfId="0" applyNumberFormat="1" applyFont="1" applyBorder="1" applyAlignment="1">
      <alignment horizontal="center" vertical="center"/>
    </xf>
    <xf numFmtId="0" fontId="0" fillId="0" borderId="0" xfId="0" quotePrefix="1" applyAlignment="1">
      <alignment vertical="center" wrapText="1"/>
    </xf>
    <xf numFmtId="0" fontId="3" fillId="0" borderId="0" xfId="0" applyFont="1" applyAlignment="1">
      <alignment horizontal="center"/>
    </xf>
    <xf numFmtId="0" fontId="3" fillId="0" borderId="0" xfId="0" applyFont="1" applyAlignment="1">
      <alignment vertical="center"/>
    </xf>
    <xf numFmtId="0" fontId="3" fillId="0" borderId="0" xfId="0" applyFont="1" applyBorder="1" applyAlignment="1">
      <alignment horizontal="center"/>
    </xf>
    <xf numFmtId="170" fontId="3" fillId="18" borderId="0" xfId="46" applyFont="1" applyFill="1" applyBorder="1" applyAlignment="1">
      <alignment horizontal="center"/>
    </xf>
    <xf numFmtId="170" fontId="10" fillId="18" borderId="0" xfId="46" applyFont="1" applyFill="1" applyBorder="1" applyAlignment="1"/>
    <xf numFmtId="168" fontId="3" fillId="0" borderId="0" xfId="0" applyNumberFormat="1" applyFont="1" applyBorder="1" applyAlignment="1">
      <alignment horizontal="center"/>
    </xf>
    <xf numFmtId="0" fontId="3" fillId="4" borderId="0" xfId="0" applyFont="1" applyFill="1" applyBorder="1" applyAlignment="1">
      <alignment horizontal="center"/>
    </xf>
    <xf numFmtId="0" fontId="3" fillId="0" borderId="9" xfId="0" applyFont="1" applyBorder="1"/>
    <xf numFmtId="0" fontId="3" fillId="0" borderId="28" xfId="0" applyFont="1" applyBorder="1"/>
    <xf numFmtId="170" fontId="3" fillId="18" borderId="27" xfId="46" applyFont="1" applyFill="1" applyBorder="1"/>
    <xf numFmtId="170" fontId="10" fillId="23" borderId="28" xfId="46" applyFont="1" applyFill="1" applyBorder="1"/>
    <xf numFmtId="0" fontId="3" fillId="0" borderId="27" xfId="0" applyFont="1" applyBorder="1"/>
    <xf numFmtId="170" fontId="3" fillId="18" borderId="28" xfId="46" applyFont="1" applyFill="1" applyBorder="1"/>
    <xf numFmtId="174" fontId="14" fillId="0" borderId="27" xfId="46" applyNumberFormat="1" applyBorder="1" applyAlignment="1">
      <alignment horizontal="center" vertical="center"/>
    </xf>
    <xf numFmtId="170" fontId="10" fillId="4" borderId="28" xfId="46" applyFont="1" applyFill="1" applyBorder="1"/>
    <xf numFmtId="0" fontId="3" fillId="4" borderId="27" xfId="0" applyFont="1" applyFill="1" applyBorder="1"/>
    <xf numFmtId="170" fontId="10" fillId="18" borderId="28" xfId="46" applyFont="1" applyFill="1" applyBorder="1" applyAlignment="1"/>
    <xf numFmtId="170" fontId="10" fillId="18" borderId="27" xfId="46" applyFont="1" applyFill="1" applyBorder="1" applyAlignment="1">
      <alignment horizontal="center"/>
    </xf>
    <xf numFmtId="170" fontId="3" fillId="18" borderId="12" xfId="46" applyFont="1" applyFill="1" applyBorder="1"/>
    <xf numFmtId="168" fontId="3" fillId="0" borderId="1" xfId="0" applyNumberFormat="1" applyFont="1" applyBorder="1" applyAlignment="1">
      <alignment horizontal="center"/>
    </xf>
    <xf numFmtId="170" fontId="10" fillId="0" borderId="0" xfId="46" applyFont="1" applyFill="1" applyBorder="1" applyAlignment="1">
      <alignment horizontal="center"/>
    </xf>
    <xf numFmtId="170" fontId="3" fillId="0" borderId="0" xfId="46" applyFont="1" applyFill="1" applyBorder="1"/>
    <xf numFmtId="174" fontId="14" fillId="0" borderId="0" xfId="46" applyNumberFormat="1" applyFill="1" applyBorder="1" applyAlignment="1">
      <alignment horizontal="center" vertical="center"/>
    </xf>
    <xf numFmtId="1" fontId="3" fillId="0" borderId="0" xfId="0" applyNumberFormat="1" applyFont="1" applyFill="1" applyBorder="1" applyAlignment="1">
      <alignment horizontal="center"/>
    </xf>
    <xf numFmtId="170" fontId="10" fillId="18" borderId="9" xfId="46" applyFont="1" applyFill="1" applyBorder="1" applyAlignment="1">
      <alignment horizontal="center"/>
    </xf>
    <xf numFmtId="170" fontId="10" fillId="18" borderId="10" xfId="46" applyFont="1" applyFill="1" applyBorder="1" applyAlignment="1">
      <alignment horizontal="center"/>
    </xf>
    <xf numFmtId="170" fontId="10" fillId="18" borderId="11" xfId="46" applyFont="1" applyFill="1" applyBorder="1"/>
    <xf numFmtId="3" fontId="10" fillId="0" borderId="27" xfId="0" applyNumberFormat="1" applyFont="1" applyFill="1" applyBorder="1" applyAlignment="1">
      <alignment horizontal="center" vertical="center" wrapText="1"/>
    </xf>
    <xf numFmtId="0" fontId="38" fillId="0" borderId="0" xfId="0" applyFont="1" applyAlignment="1">
      <alignment horizontal="left"/>
    </xf>
    <xf numFmtId="0" fontId="4" fillId="0" borderId="0" xfId="0" applyFont="1"/>
    <xf numFmtId="0" fontId="37" fillId="0" borderId="0" xfId="0" applyFont="1" applyAlignment="1">
      <alignment horizontal="center"/>
    </xf>
    <xf numFmtId="0" fontId="4" fillId="0" borderId="28" xfId="0" applyFont="1" applyBorder="1" applyAlignment="1" applyProtection="1">
      <alignment horizontal="center" vertical="center"/>
      <protection locked="0"/>
    </xf>
    <xf numFmtId="0" fontId="7" fillId="4" borderId="2" xfId="0" applyFont="1" applyFill="1" applyBorder="1" applyAlignment="1">
      <alignment horizontal="center" vertical="center"/>
    </xf>
    <xf numFmtId="0" fontId="7" fillId="4" borderId="2" xfId="0" applyFont="1" applyFill="1" applyBorder="1" applyAlignment="1">
      <alignment vertical="center"/>
    </xf>
    <xf numFmtId="0" fontId="3" fillId="0" borderId="0" xfId="0" applyFont="1" applyBorder="1" applyAlignment="1">
      <alignment horizontal="center"/>
    </xf>
    <xf numFmtId="0" fontId="7" fillId="25" borderId="5" xfId="0" applyFont="1" applyFill="1" applyBorder="1" applyAlignment="1">
      <alignment horizontal="center"/>
    </xf>
    <xf numFmtId="0" fontId="7" fillId="25" borderId="16" xfId="0" applyFont="1" applyFill="1" applyBorder="1" applyAlignment="1">
      <alignment horizontal="center" vertical="center"/>
    </xf>
    <xf numFmtId="3" fontId="7" fillId="25" borderId="16" xfId="0" applyNumberFormat="1" applyFont="1" applyFill="1" applyBorder="1" applyAlignment="1">
      <alignment vertical="center"/>
    </xf>
    <xf numFmtId="4" fontId="7" fillId="25" borderId="8" xfId="0" applyNumberFormat="1" applyFont="1" applyFill="1" applyBorder="1" applyAlignment="1">
      <alignment horizontal="center" vertical="center"/>
    </xf>
    <xf numFmtId="2" fontId="3" fillId="0" borderId="13" xfId="0" applyNumberFormat="1" applyFont="1" applyBorder="1" applyAlignment="1">
      <alignment horizontal="center"/>
    </xf>
    <xf numFmtId="0" fontId="10" fillId="0" borderId="0" xfId="0" applyFont="1" applyFill="1" applyBorder="1" applyAlignment="1">
      <alignment horizontal="center"/>
    </xf>
    <xf numFmtId="0" fontId="41" fillId="0" borderId="0" xfId="0" applyFont="1" applyAlignment="1">
      <alignment vertical="top"/>
    </xf>
    <xf numFmtId="0" fontId="8" fillId="28" borderId="31" xfId="0" applyFont="1" applyFill="1" applyBorder="1" applyAlignment="1">
      <alignment vertical="center"/>
    </xf>
    <xf numFmtId="0" fontId="8" fillId="28" borderId="14" xfId="0" applyFont="1" applyFill="1" applyBorder="1" applyAlignment="1">
      <alignment horizontal="center" vertical="center"/>
    </xf>
    <xf numFmtId="0" fontId="8" fillId="28" borderId="32" xfId="0" applyFont="1" applyFill="1" applyBorder="1" applyAlignment="1">
      <alignment horizontal="center" vertical="center"/>
    </xf>
    <xf numFmtId="0" fontId="3" fillId="0" borderId="31" xfId="0" applyFont="1" applyBorder="1" applyAlignment="1">
      <alignment vertical="center"/>
    </xf>
    <xf numFmtId="0" fontId="9" fillId="0" borderId="14" xfId="0" applyFont="1" applyBorder="1" applyAlignment="1">
      <alignment horizontal="center" vertical="center"/>
    </xf>
    <xf numFmtId="0" fontId="9" fillId="0" borderId="31" xfId="0" applyFont="1" applyBorder="1" applyAlignment="1">
      <alignment vertical="center"/>
    </xf>
    <xf numFmtId="0" fontId="8" fillId="28" borderId="31" xfId="0" applyFont="1" applyFill="1" applyBorder="1" applyAlignment="1">
      <alignment horizontal="center" vertical="center"/>
    </xf>
    <xf numFmtId="0" fontId="8" fillId="28" borderId="14" xfId="0" applyFont="1" applyFill="1" applyBorder="1" applyAlignment="1">
      <alignment horizontal="center" vertical="center" wrapText="1"/>
    </xf>
    <xf numFmtId="0" fontId="8" fillId="28" borderId="32" xfId="0" applyFont="1" applyFill="1" applyBorder="1" applyAlignment="1">
      <alignment horizontal="center" vertical="center" wrapText="1"/>
    </xf>
    <xf numFmtId="0" fontId="41" fillId="0" borderId="0" xfId="0" applyFont="1" applyAlignment="1">
      <alignment vertical="center"/>
    </xf>
    <xf numFmtId="0" fontId="9" fillId="8" borderId="31" xfId="0" applyFont="1" applyFill="1" applyBorder="1" applyAlignment="1">
      <alignment horizontal="center" vertical="center"/>
    </xf>
    <xf numFmtId="0" fontId="8" fillId="8" borderId="14" xfId="0" applyFont="1" applyFill="1" applyBorder="1" applyAlignment="1">
      <alignment vertical="center" wrapText="1"/>
    </xf>
    <xf numFmtId="0" fontId="9" fillId="8" borderId="14" xfId="0" applyFont="1" applyFill="1" applyBorder="1" applyAlignment="1">
      <alignment horizontal="center" vertical="center"/>
    </xf>
    <xf numFmtId="0" fontId="3" fillId="0" borderId="14" xfId="0" applyFont="1" applyBorder="1" applyAlignment="1">
      <alignment horizontal="center" vertical="center"/>
    </xf>
    <xf numFmtId="0" fontId="0" fillId="0" borderId="0" xfId="0" applyAlignment="1">
      <alignment vertical="top"/>
    </xf>
    <xf numFmtId="0" fontId="47" fillId="0" borderId="9" xfId="0" applyFont="1" applyFill="1" applyBorder="1" applyAlignment="1">
      <alignment horizontal="center" vertical="center"/>
    </xf>
    <xf numFmtId="2" fontId="3" fillId="22" borderId="0" xfId="0" applyNumberFormat="1" applyFont="1" applyFill="1" applyBorder="1" applyAlignment="1">
      <alignment horizontal="center"/>
    </xf>
    <xf numFmtId="2" fontId="3" fillId="0" borderId="0" xfId="0" applyNumberFormat="1" applyFont="1" applyFill="1" applyBorder="1" applyAlignment="1">
      <alignment horizontal="center"/>
    </xf>
    <xf numFmtId="0" fontId="10" fillId="4" borderId="0" xfId="0" applyFont="1" applyFill="1" applyBorder="1" applyAlignment="1">
      <alignment horizontal="center" wrapText="1"/>
    </xf>
    <xf numFmtId="2" fontId="10" fillId="0" borderId="0" xfId="0" applyNumberFormat="1" applyFont="1" applyFill="1" applyBorder="1" applyAlignment="1">
      <alignment horizontal="center"/>
    </xf>
    <xf numFmtId="0" fontId="3" fillId="20" borderId="0" xfId="0" applyFont="1" applyFill="1"/>
    <xf numFmtId="0" fontId="3" fillId="20" borderId="0" xfId="0" applyFont="1" applyFill="1" applyAlignment="1">
      <alignment horizontal="center"/>
    </xf>
    <xf numFmtId="0" fontId="51" fillId="0" borderId="0" xfId="0" applyFont="1"/>
    <xf numFmtId="0" fontId="3" fillId="18" borderId="0" xfId="0" applyFont="1" applyFill="1"/>
    <xf numFmtId="176" fontId="3" fillId="0" borderId="0" xfId="0" applyNumberFormat="1" applyFont="1"/>
    <xf numFmtId="177" fontId="51" fillId="0" borderId="0" xfId="0" applyNumberFormat="1" applyFont="1"/>
    <xf numFmtId="0" fontId="10" fillId="0" borderId="0" xfId="0" applyFont="1"/>
    <xf numFmtId="0" fontId="3" fillId="0" borderId="0" xfId="0" applyFont="1" applyAlignment="1">
      <alignment horizontal="left" vertical="center"/>
    </xf>
    <xf numFmtId="178" fontId="3" fillId="0" borderId="0" xfId="0" applyNumberFormat="1" applyFont="1" applyAlignment="1">
      <alignment horizontal="center"/>
    </xf>
    <xf numFmtId="0" fontId="3" fillId="26" borderId="0" xfId="0" applyFont="1" applyFill="1"/>
    <xf numFmtId="1" fontId="14" fillId="0" borderId="27" xfId="46" applyNumberFormat="1" applyBorder="1" applyAlignment="1">
      <alignment horizontal="center" vertical="center"/>
    </xf>
    <xf numFmtId="0" fontId="52" fillId="0" borderId="0" xfId="52"/>
    <xf numFmtId="0" fontId="54" fillId="0" borderId="0" xfId="52" applyFont="1"/>
    <xf numFmtId="2" fontId="53" fillId="0" borderId="0" xfId="52" applyNumberFormat="1" applyFont="1" applyAlignment="1">
      <alignment vertical="center"/>
    </xf>
    <xf numFmtId="2" fontId="55" fillId="0" borderId="0" xfId="52" applyNumberFormat="1" applyFont="1"/>
    <xf numFmtId="2" fontId="52" fillId="0" borderId="0" xfId="52" applyNumberFormat="1"/>
    <xf numFmtId="2" fontId="56" fillId="0" borderId="0" xfId="52" applyNumberFormat="1" applyFont="1"/>
    <xf numFmtId="0" fontId="54" fillId="0" borderId="0" xfId="52" applyFont="1" applyAlignment="1">
      <alignment vertical="center"/>
    </xf>
    <xf numFmtId="2" fontId="54" fillId="0" borderId="0" xfId="52" applyNumberFormat="1" applyFont="1" applyAlignment="1">
      <alignment vertical="center"/>
    </xf>
    <xf numFmtId="2" fontId="57" fillId="0" borderId="0" xfId="52" applyNumberFormat="1" applyFont="1" applyAlignment="1">
      <alignment vertical="center"/>
    </xf>
    <xf numFmtId="2" fontId="58" fillId="0" borderId="0" xfId="52" applyNumberFormat="1" applyFont="1"/>
    <xf numFmtId="167" fontId="52" fillId="0" borderId="0" xfId="52" applyNumberFormat="1"/>
    <xf numFmtId="10" fontId="53" fillId="0" borderId="0" xfId="53" applyNumberFormat="1" applyFont="1" applyAlignment="1">
      <alignment vertical="center"/>
    </xf>
    <xf numFmtId="0" fontId="4" fillId="0" borderId="0" xfId="52" applyFont="1"/>
    <xf numFmtId="2" fontId="7" fillId="0" borderId="0" xfId="52" applyNumberFormat="1" applyFont="1" applyAlignment="1">
      <alignment vertical="center"/>
    </xf>
    <xf numFmtId="0" fontId="4" fillId="0" borderId="0" xfId="42"/>
    <xf numFmtId="0" fontId="7" fillId="0" borderId="0" xfId="42" applyFont="1" applyAlignment="1">
      <alignment horizontal="center"/>
    </xf>
    <xf numFmtId="2" fontId="7" fillId="0" borderId="0" xfId="42" applyNumberFormat="1" applyFont="1"/>
    <xf numFmtId="0" fontId="53" fillId="0" borderId="0" xfId="42" applyFont="1" applyAlignment="1">
      <alignment horizontal="center" vertical="center" wrapText="1"/>
    </xf>
    <xf numFmtId="0" fontId="59" fillId="0" borderId="0" xfId="42" applyFont="1"/>
    <xf numFmtId="3" fontId="7" fillId="0" borderId="0" xfId="42" applyNumberFormat="1" applyFont="1" applyAlignment="1">
      <alignment horizontal="center"/>
    </xf>
    <xf numFmtId="4" fontId="7" fillId="0" borderId="0" xfId="42" applyNumberFormat="1" applyFont="1" applyAlignment="1">
      <alignment horizontal="center"/>
    </xf>
    <xf numFmtId="2" fontId="7" fillId="0" borderId="0" xfId="42" applyNumberFormat="1" applyFont="1" applyAlignment="1">
      <alignment horizontal="center"/>
    </xf>
    <xf numFmtId="2" fontId="7" fillId="0" borderId="0" xfId="42" applyNumberFormat="1" applyFont="1" applyAlignment="1">
      <alignment vertical="center"/>
    </xf>
    <xf numFmtId="0" fontId="7" fillId="0" borderId="0" xfId="42" applyFont="1" applyBorder="1" applyAlignment="1">
      <alignment horizontal="center" vertical="center"/>
    </xf>
    <xf numFmtId="0" fontId="4" fillId="0" borderId="0" xfId="42" applyFont="1"/>
    <xf numFmtId="0" fontId="4" fillId="0" borderId="0" xfId="42" applyFont="1" applyAlignment="1">
      <alignment horizontal="center"/>
    </xf>
    <xf numFmtId="2" fontId="4" fillId="0" borderId="0" xfId="42" applyNumberFormat="1" applyFont="1" applyAlignment="1">
      <alignment vertical="center"/>
    </xf>
    <xf numFmtId="9" fontId="4" fillId="0" borderId="0" xfId="42" applyNumberFormat="1" applyFont="1" applyAlignment="1">
      <alignment vertical="center"/>
    </xf>
    <xf numFmtId="2" fontId="7" fillId="0" borderId="0" xfId="42" applyNumberFormat="1" applyFont="1" applyAlignment="1">
      <alignment horizontal="center" vertical="center"/>
    </xf>
    <xf numFmtId="4" fontId="4" fillId="0" borderId="0" xfId="42" applyNumberFormat="1" applyFont="1"/>
    <xf numFmtId="2" fontId="4" fillId="0" borderId="0" xfId="42" applyNumberFormat="1" applyFont="1"/>
    <xf numFmtId="0" fontId="4" fillId="0" borderId="0" xfId="42" applyFont="1" applyAlignment="1">
      <alignment vertical="center"/>
    </xf>
    <xf numFmtId="0" fontId="7" fillId="0" borderId="0" xfId="42" applyFont="1" applyAlignment="1">
      <alignment horizontal="center" vertical="center"/>
    </xf>
    <xf numFmtId="0" fontId="4" fillId="0" borderId="0" xfId="42" applyFont="1" applyAlignment="1">
      <alignment horizontal="center" vertical="center"/>
    </xf>
    <xf numFmtId="167" fontId="4" fillId="0" borderId="0" xfId="42" applyNumberFormat="1" applyFont="1" applyAlignment="1">
      <alignment horizontal="center" vertical="center"/>
    </xf>
    <xf numFmtId="167" fontId="4" fillId="0" borderId="0" xfId="42" applyNumberFormat="1" applyFont="1" applyAlignment="1">
      <alignment horizontal="center"/>
    </xf>
    <xf numFmtId="2" fontId="4" fillId="0" borderId="0" xfId="42" applyNumberFormat="1" applyFont="1" applyBorder="1" applyAlignment="1">
      <alignment horizontal="center" vertical="center"/>
    </xf>
    <xf numFmtId="2" fontId="7" fillId="0" borderId="0" xfId="42" applyNumberFormat="1" applyFont="1" applyBorder="1" applyAlignment="1">
      <alignment horizontal="center" vertical="center"/>
    </xf>
    <xf numFmtId="3" fontId="4" fillId="0" borderId="0" xfId="42" applyNumberFormat="1" applyFont="1" applyBorder="1" applyAlignment="1">
      <alignment horizontal="center"/>
    </xf>
    <xf numFmtId="169" fontId="4" fillId="0" borderId="0" xfId="42" applyNumberFormat="1" applyFont="1" applyBorder="1" applyAlignment="1">
      <alignment horizontal="center" vertical="center"/>
    </xf>
    <xf numFmtId="3" fontId="4" fillId="0" borderId="0" xfId="42" applyNumberFormat="1" applyFont="1" applyBorder="1" applyAlignment="1">
      <alignment horizontal="center" vertical="center"/>
    </xf>
    <xf numFmtId="170" fontId="34" fillId="0" borderId="0" xfId="46" applyFont="1" applyFill="1" applyBorder="1"/>
    <xf numFmtId="2" fontId="35" fillId="0" borderId="0" xfId="46" applyNumberFormat="1" applyFont="1" applyFill="1" applyBorder="1" applyAlignment="1">
      <alignment horizontal="center"/>
    </xf>
    <xf numFmtId="2" fontId="34" fillId="0" borderId="0" xfId="46" applyNumberFormat="1" applyFont="1" applyFill="1" applyBorder="1" applyAlignment="1">
      <alignment horizontal="center"/>
    </xf>
    <xf numFmtId="170" fontId="35" fillId="0" borderId="0" xfId="46" applyFont="1" applyFill="1" applyBorder="1"/>
    <xf numFmtId="10" fontId="35" fillId="0" borderId="0" xfId="3" applyNumberFormat="1" applyFont="1" applyFill="1" applyBorder="1" applyAlignment="1">
      <alignment horizontal="center"/>
    </xf>
    <xf numFmtId="170" fontId="34" fillId="24" borderId="0" xfId="46" applyFont="1" applyFill="1" applyBorder="1"/>
    <xf numFmtId="170" fontId="34" fillId="24" borderId="0" xfId="46" applyFont="1" applyFill="1" applyBorder="1" applyAlignment="1">
      <alignment horizontal="center" vertical="center" wrapText="1"/>
    </xf>
    <xf numFmtId="175" fontId="34" fillId="24" borderId="0" xfId="46" applyNumberFormat="1" applyFont="1" applyFill="1" applyBorder="1" applyAlignment="1">
      <alignment horizontal="center" vertical="center" wrapText="1"/>
    </xf>
    <xf numFmtId="170" fontId="34" fillId="0" borderId="0" xfId="46" applyFont="1" applyFill="1" applyBorder="1" applyAlignment="1">
      <alignment horizontal="center"/>
    </xf>
    <xf numFmtId="0" fontId="9" fillId="19" borderId="0" xfId="0" applyFont="1" applyFill="1" applyBorder="1" applyAlignment="1">
      <alignment horizontal="center" vertical="center"/>
    </xf>
    <xf numFmtId="17" fontId="9" fillId="19" borderId="0" xfId="0" applyNumberFormat="1" applyFont="1" applyFill="1" applyBorder="1" applyAlignment="1">
      <alignment horizontal="center" vertical="center"/>
    </xf>
    <xf numFmtId="0" fontId="9" fillId="0" borderId="0" xfId="0" applyFont="1" applyBorder="1" applyAlignment="1">
      <alignment horizontal="center" vertical="center" wrapText="1"/>
    </xf>
    <xf numFmtId="173" fontId="9" fillId="8" borderId="0" xfId="0" applyNumberFormat="1" applyFont="1" applyFill="1" applyBorder="1" applyAlignment="1">
      <alignment horizontal="center" vertical="center"/>
    </xf>
    <xf numFmtId="2" fontId="3" fillId="0" borderId="0" xfId="0" applyNumberFormat="1" applyFont="1" applyBorder="1" applyAlignment="1">
      <alignment horizontal="center" vertical="center"/>
    </xf>
    <xf numFmtId="166" fontId="3" fillId="0" borderId="0" xfId="43" applyNumberFormat="1" applyFont="1" applyBorder="1" applyAlignment="1">
      <alignment horizontal="center"/>
    </xf>
    <xf numFmtId="172" fontId="9" fillId="8" borderId="0" xfId="0" applyNumberFormat="1" applyFont="1" applyFill="1" applyBorder="1" applyAlignment="1">
      <alignment horizontal="center" vertical="center"/>
    </xf>
    <xf numFmtId="167" fontId="3" fillId="0" borderId="0" xfId="0" applyNumberFormat="1" applyFont="1" applyBorder="1" applyAlignment="1">
      <alignment horizontal="center"/>
    </xf>
    <xf numFmtId="0" fontId="7" fillId="0" borderId="0" xfId="42" applyFont="1" applyBorder="1" applyAlignment="1">
      <alignment horizontal="center" vertical="center" wrapText="1"/>
    </xf>
    <xf numFmtId="9" fontId="4" fillId="0" borderId="0" xfId="42" applyNumberFormat="1" applyFont="1" applyBorder="1" applyAlignment="1">
      <alignment horizontal="center" vertical="center"/>
    </xf>
    <xf numFmtId="0" fontId="61" fillId="31" borderId="29" xfId="7" applyFont="1" applyFill="1" applyBorder="1"/>
    <xf numFmtId="0" fontId="1" fillId="31" borderId="29" xfId="7" applyFill="1" applyBorder="1"/>
    <xf numFmtId="0" fontId="1" fillId="31" borderId="34" xfId="7" applyFill="1" applyBorder="1"/>
    <xf numFmtId="0" fontId="1" fillId="31" borderId="35" xfId="7" applyFill="1" applyBorder="1"/>
    <xf numFmtId="0" fontId="1" fillId="31" borderId="36" xfId="7" applyFill="1" applyBorder="1"/>
    <xf numFmtId="0" fontId="1" fillId="26" borderId="29" xfId="7" applyFill="1" applyBorder="1" applyAlignment="1">
      <alignment horizontal="left"/>
    </xf>
    <xf numFmtId="0" fontId="1" fillId="26" borderId="29" xfId="7" applyFill="1" applyBorder="1"/>
    <xf numFmtId="0" fontId="2" fillId="31" borderId="29" xfId="7" applyFont="1" applyFill="1" applyBorder="1"/>
    <xf numFmtId="1" fontId="2" fillId="32" borderId="29" xfId="7" applyNumberFormat="1" applyFont="1" applyFill="1" applyBorder="1" applyAlignment="1">
      <alignment horizontal="right"/>
    </xf>
    <xf numFmtId="0" fontId="62" fillId="31" borderId="29" xfId="7" applyFont="1" applyFill="1" applyBorder="1"/>
    <xf numFmtId="9" fontId="1" fillId="27" borderId="37" xfId="7" applyNumberFormat="1" applyFill="1" applyBorder="1" applyAlignment="1">
      <alignment horizontal="center" vertical="center"/>
    </xf>
    <xf numFmtId="0" fontId="1" fillId="31" borderId="29" xfId="7" applyFill="1" applyBorder="1" applyAlignment="1">
      <alignment horizontal="left" vertical="center" wrapText="1"/>
    </xf>
    <xf numFmtId="2" fontId="63" fillId="27" borderId="29" xfId="7" applyNumberFormat="1" applyFont="1" applyFill="1" applyBorder="1" applyAlignment="1">
      <alignment horizontal="right" vertical="center"/>
    </xf>
    <xf numFmtId="0" fontId="64" fillId="31" borderId="29" xfId="7" applyFont="1" applyFill="1" applyBorder="1"/>
    <xf numFmtId="9" fontId="1" fillId="32" borderId="38" xfId="7" applyNumberFormat="1" applyFill="1" applyBorder="1" applyAlignment="1">
      <alignment horizontal="center" vertical="center"/>
    </xf>
    <xf numFmtId="2" fontId="63" fillId="27" borderId="30" xfId="7" applyNumberFormat="1" applyFont="1" applyFill="1" applyBorder="1" applyAlignment="1">
      <alignment horizontal="right" vertical="center"/>
    </xf>
    <xf numFmtId="0" fontId="65" fillId="31" borderId="29" xfId="7" applyFont="1" applyFill="1" applyBorder="1"/>
    <xf numFmtId="0" fontId="1" fillId="31" borderId="39" xfId="7" applyFill="1" applyBorder="1"/>
    <xf numFmtId="0" fontId="1" fillId="31" borderId="34" xfId="7" applyFill="1" applyBorder="1" applyAlignment="1">
      <alignment horizontal="left" vertical="center" wrapText="1"/>
    </xf>
    <xf numFmtId="2" fontId="63" fillId="32" borderId="29" xfId="7" applyNumberFormat="1" applyFont="1" applyFill="1" applyBorder="1" applyAlignment="1">
      <alignment horizontal="right" vertical="center"/>
    </xf>
    <xf numFmtId="0" fontId="2" fillId="31" borderId="29" xfId="7" applyFont="1" applyFill="1" applyBorder="1" applyAlignment="1">
      <alignment horizontal="right"/>
    </xf>
    <xf numFmtId="0" fontId="66" fillId="31" borderId="29" xfId="7" applyFont="1" applyFill="1" applyBorder="1" applyAlignment="1">
      <alignment wrapText="1"/>
    </xf>
    <xf numFmtId="0" fontId="2" fillId="31" borderId="29" xfId="7" applyFont="1" applyFill="1" applyBorder="1" applyAlignment="1">
      <alignment wrapText="1"/>
    </xf>
    <xf numFmtId="0" fontId="63" fillId="31" borderId="34" xfId="7" applyFont="1" applyFill="1" applyBorder="1" applyAlignment="1">
      <alignment horizontal="left" vertical="center" wrapText="1"/>
    </xf>
    <xf numFmtId="0" fontId="1" fillId="31" borderId="30" xfId="7" applyFill="1" applyBorder="1"/>
    <xf numFmtId="0" fontId="1" fillId="31" borderId="40" xfId="7" applyFill="1" applyBorder="1"/>
    <xf numFmtId="0" fontId="1" fillId="31" borderId="29" xfId="7" applyFill="1" applyBorder="1" applyAlignment="1">
      <alignment horizontal="right"/>
    </xf>
    <xf numFmtId="0" fontId="67" fillId="31" borderId="29" xfId="7" applyFont="1" applyFill="1" applyBorder="1" applyAlignment="1">
      <alignment horizontal="right"/>
    </xf>
    <xf numFmtId="0" fontId="1" fillId="31" borderId="41" xfId="7" applyFill="1" applyBorder="1"/>
    <xf numFmtId="0" fontId="1" fillId="31" borderId="42" xfId="7" applyFill="1" applyBorder="1"/>
    <xf numFmtId="0" fontId="1" fillId="31" borderId="43" xfId="7" applyFill="1" applyBorder="1"/>
    <xf numFmtId="0" fontId="67" fillId="31" borderId="36" xfId="7" applyFont="1" applyFill="1" applyBorder="1"/>
    <xf numFmtId="0" fontId="67" fillId="31" borderId="29" xfId="7" applyFont="1" applyFill="1" applyBorder="1"/>
    <xf numFmtId="0" fontId="1" fillId="26" borderId="44" xfId="7" applyFill="1" applyBorder="1" applyAlignment="1">
      <alignment vertical="top" wrapText="1"/>
    </xf>
    <xf numFmtId="0" fontId="1" fillId="26" borderId="29" xfId="7" applyFill="1" applyBorder="1" applyAlignment="1">
      <alignment vertical="top" wrapText="1"/>
    </xf>
    <xf numFmtId="0" fontId="1" fillId="26" borderId="45" xfId="7" applyFill="1" applyBorder="1" applyAlignment="1">
      <alignment vertical="top" wrapText="1"/>
    </xf>
    <xf numFmtId="2" fontId="5" fillId="0" borderId="29" xfId="7" applyNumberFormat="1" applyFont="1" applyBorder="1"/>
    <xf numFmtId="2" fontId="1" fillId="31" borderId="44" xfId="7" applyNumberFormat="1" applyFill="1" applyBorder="1" applyAlignment="1">
      <alignment horizontal="center"/>
    </xf>
    <xf numFmtId="2" fontId="1" fillId="31" borderId="29" xfId="7" applyNumberFormat="1" applyFill="1" applyBorder="1"/>
    <xf numFmtId="2" fontId="1" fillId="31" borderId="45" xfId="7" applyNumberFormat="1" applyFill="1" applyBorder="1"/>
    <xf numFmtId="0" fontId="67" fillId="31" borderId="29" xfId="7" applyFont="1" applyFill="1" applyBorder="1" applyAlignment="1">
      <alignment vertical="center"/>
    </xf>
    <xf numFmtId="0" fontId="1" fillId="26" borderId="44" xfId="7" applyFill="1" applyBorder="1" applyAlignment="1">
      <alignment horizontal="left" vertical="top" wrapText="1"/>
    </xf>
    <xf numFmtId="0" fontId="1" fillId="26" borderId="29" xfId="7" applyFill="1" applyBorder="1" applyAlignment="1">
      <alignment horizontal="left" vertical="top" wrapText="1"/>
    </xf>
    <xf numFmtId="0" fontId="63" fillId="26" borderId="45" xfId="7" applyFont="1" applyFill="1" applyBorder="1" applyAlignment="1">
      <alignment horizontal="left" vertical="top"/>
    </xf>
    <xf numFmtId="0" fontId="68" fillId="31" borderId="29" xfId="7" applyFont="1" applyFill="1" applyBorder="1"/>
    <xf numFmtId="2" fontId="1" fillId="31" borderId="46" xfId="7" applyNumberFormat="1" applyFill="1" applyBorder="1" applyAlignment="1">
      <alignment horizontal="center"/>
    </xf>
    <xf numFmtId="2" fontId="1" fillId="31" borderId="47" xfId="7" applyNumberFormat="1" applyFill="1" applyBorder="1"/>
    <xf numFmtId="2" fontId="2" fillId="0" borderId="47" xfId="7" applyNumberFormat="1" applyFont="1" applyBorder="1"/>
    <xf numFmtId="2" fontId="1" fillId="31" borderId="48" xfId="7" applyNumberFormat="1" applyFill="1" applyBorder="1"/>
    <xf numFmtId="0" fontId="1" fillId="31" borderId="39" xfId="7" applyFill="1" applyBorder="1" applyAlignment="1">
      <alignment horizontal="center"/>
    </xf>
    <xf numFmtId="0" fontId="68" fillId="31" borderId="34" xfId="7" applyFont="1" applyFill="1" applyBorder="1"/>
    <xf numFmtId="0" fontId="69" fillId="31" borderId="36" xfId="7" applyFont="1" applyFill="1" applyBorder="1"/>
    <xf numFmtId="0" fontId="1" fillId="31" borderId="29" xfId="7" applyFill="1" applyBorder="1" applyAlignment="1">
      <alignment horizontal="center"/>
    </xf>
    <xf numFmtId="0" fontId="1" fillId="31" borderId="29" xfId="7" applyFill="1" applyBorder="1" applyAlignment="1">
      <alignment horizontal="center" wrapText="1"/>
    </xf>
    <xf numFmtId="0" fontId="65" fillId="26" borderId="29" xfId="7" applyFont="1" applyFill="1" applyBorder="1"/>
    <xf numFmtId="0" fontId="70" fillId="31" borderId="29" xfId="7" applyFont="1" applyFill="1" applyBorder="1" applyAlignment="1">
      <alignment horizontal="center"/>
    </xf>
    <xf numFmtId="0" fontId="71" fillId="31" borderId="29" xfId="7" applyFont="1" applyFill="1" applyBorder="1" applyAlignment="1">
      <alignment horizontal="center"/>
    </xf>
    <xf numFmtId="0" fontId="1" fillId="31" borderId="29" xfId="7" applyFill="1" applyBorder="1" applyAlignment="1">
      <alignment horizontal="center" vertical="center"/>
    </xf>
    <xf numFmtId="168" fontId="1" fillId="32" borderId="29" xfId="7" applyNumberFormat="1" applyFill="1" applyBorder="1" applyAlignment="1">
      <alignment horizontal="right"/>
    </xf>
    <xf numFmtId="2" fontId="1" fillId="32" borderId="29" xfId="7" applyNumberFormat="1" applyFill="1" applyBorder="1" applyAlignment="1">
      <alignment horizontal="right"/>
    </xf>
    <xf numFmtId="2" fontId="1" fillId="27" borderId="29" xfId="7" applyNumberFormat="1" applyFill="1" applyBorder="1"/>
    <xf numFmtId="2" fontId="1" fillId="27" borderId="29" xfId="7" applyNumberFormat="1" applyFill="1" applyBorder="1" applyAlignment="1">
      <alignment horizontal="right" vertical="center"/>
    </xf>
    <xf numFmtId="0" fontId="67" fillId="31" borderId="29" xfId="7" applyFont="1" applyFill="1" applyBorder="1" applyAlignment="1">
      <alignment horizontal="left"/>
    </xf>
    <xf numFmtId="1" fontId="1" fillId="31" borderId="29" xfId="7" applyNumberFormat="1" applyFill="1" applyBorder="1"/>
    <xf numFmtId="0" fontId="63" fillId="31" borderId="29" xfId="7" applyFont="1" applyFill="1" applyBorder="1"/>
    <xf numFmtId="0" fontId="63" fillId="31" borderId="36" xfId="7" applyFont="1" applyFill="1" applyBorder="1"/>
    <xf numFmtId="0" fontId="63" fillId="31" borderId="34" xfId="7" applyFont="1" applyFill="1" applyBorder="1"/>
    <xf numFmtId="0" fontId="1" fillId="32" borderId="29" xfId="7" applyFill="1" applyBorder="1" applyAlignment="1">
      <alignment horizontal="right"/>
    </xf>
    <xf numFmtId="0" fontId="72" fillId="31" borderId="29" xfId="7" applyFont="1" applyFill="1" applyBorder="1"/>
    <xf numFmtId="2" fontId="1" fillId="31" borderId="39" xfId="7" applyNumberFormat="1" applyFill="1" applyBorder="1" applyAlignment="1">
      <alignment horizontal="center"/>
    </xf>
    <xf numFmtId="2" fontId="2" fillId="27" borderId="29" xfId="7" applyNumberFormat="1" applyFont="1" applyFill="1" applyBorder="1"/>
    <xf numFmtId="2" fontId="1" fillId="31" borderId="29" xfId="7" applyNumberFormat="1" applyFill="1" applyBorder="1" applyAlignment="1">
      <alignment horizontal="right" vertical="center"/>
    </xf>
    <xf numFmtId="168" fontId="1" fillId="32" borderId="29" xfId="7" applyNumberFormat="1" applyFill="1" applyBorder="1"/>
    <xf numFmtId="2" fontId="1" fillId="32" borderId="39" xfId="7" applyNumberFormat="1" applyFill="1" applyBorder="1" applyAlignment="1">
      <alignment horizontal="right"/>
    </xf>
    <xf numFmtId="2" fontId="1" fillId="31" borderId="29" xfId="7" applyNumberFormat="1" applyFill="1" applyBorder="1" applyAlignment="1">
      <alignment horizontal="center"/>
    </xf>
    <xf numFmtId="0" fontId="65" fillId="0" borderId="29" xfId="7" applyFont="1" applyBorder="1"/>
    <xf numFmtId="0" fontId="63" fillId="0" borderId="34" xfId="7" applyFont="1" applyBorder="1"/>
    <xf numFmtId="0" fontId="63" fillId="0" borderId="36" xfId="7" applyFont="1" applyBorder="1"/>
    <xf numFmtId="2" fontId="63" fillId="32" borderId="39" xfId="7" applyNumberFormat="1" applyFont="1" applyFill="1" applyBorder="1" applyAlignment="1">
      <alignment horizontal="right"/>
    </xf>
    <xf numFmtId="0" fontId="1" fillId="0" borderId="29" xfId="7" applyBorder="1"/>
    <xf numFmtId="168" fontId="2" fillId="31" borderId="29" xfId="7" applyNumberFormat="1" applyFont="1" applyFill="1" applyBorder="1"/>
    <xf numFmtId="0" fontId="73" fillId="31" borderId="29" xfId="19" applyFont="1" applyFill="1" applyBorder="1" applyAlignment="1" applyProtection="1"/>
    <xf numFmtId="2" fontId="67" fillId="31" borderId="29" xfId="7" applyNumberFormat="1" applyFont="1" applyFill="1" applyBorder="1"/>
    <xf numFmtId="2" fontId="2" fillId="29" borderId="29" xfId="7" applyNumberFormat="1" applyFont="1" applyFill="1" applyBorder="1"/>
    <xf numFmtId="0" fontId="1" fillId="31" borderId="39" xfId="7" applyFill="1" applyBorder="1" applyAlignment="1">
      <alignment horizontal="center" wrapText="1"/>
    </xf>
    <xf numFmtId="0" fontId="36" fillId="31" borderId="29" xfId="7" applyFont="1" applyFill="1" applyBorder="1"/>
    <xf numFmtId="0" fontId="63" fillId="32" borderId="29" xfId="7" applyFont="1" applyFill="1" applyBorder="1" applyAlignment="1">
      <alignment horizontal="right"/>
    </xf>
    <xf numFmtId="0" fontId="1" fillId="31" borderId="30" xfId="7" applyFill="1" applyBorder="1" applyAlignment="1">
      <alignment horizontal="center"/>
    </xf>
    <xf numFmtId="2" fontId="2" fillId="31" borderId="29" xfId="7" applyNumberFormat="1" applyFont="1" applyFill="1" applyBorder="1"/>
    <xf numFmtId="0" fontId="63" fillId="32" borderId="29" xfId="7" applyFont="1" applyFill="1" applyBorder="1"/>
    <xf numFmtId="168" fontId="1" fillId="31" borderId="29" xfId="7" applyNumberFormat="1" applyFill="1" applyBorder="1"/>
    <xf numFmtId="2" fontId="1" fillId="27" borderId="29" xfId="7" applyNumberFormat="1" applyFill="1" applyBorder="1" applyAlignment="1">
      <alignment horizontal="right"/>
    </xf>
    <xf numFmtId="168" fontId="2" fillId="0" borderId="29" xfId="7" applyNumberFormat="1" applyFont="1" applyBorder="1"/>
    <xf numFmtId="0" fontId="1" fillId="31" borderId="0" xfId="7" applyFill="1"/>
    <xf numFmtId="2" fontId="1" fillId="32" borderId="29" xfId="7" applyNumberFormat="1" applyFill="1" applyBorder="1"/>
    <xf numFmtId="168" fontId="1" fillId="0" borderId="29" xfId="7" applyNumberFormat="1" applyBorder="1"/>
    <xf numFmtId="2" fontId="1" fillId="0" borderId="29" xfId="7" applyNumberFormat="1" applyBorder="1" applyAlignment="1">
      <alignment horizontal="right"/>
    </xf>
    <xf numFmtId="0" fontId="67" fillId="0" borderId="29" xfId="7" applyFont="1" applyBorder="1"/>
    <xf numFmtId="2" fontId="1" fillId="0" borderId="29" xfId="7" applyNumberFormat="1" applyBorder="1"/>
    <xf numFmtId="10" fontId="2" fillId="27" borderId="29" xfId="47" applyNumberFormat="1" applyFont="1" applyFill="1" applyBorder="1"/>
    <xf numFmtId="10" fontId="2" fillId="27" borderId="29" xfId="47" applyNumberFormat="1" applyFont="1" applyFill="1" applyBorder="1" applyAlignment="1">
      <alignment horizontal="right"/>
    </xf>
    <xf numFmtId="10" fontId="2" fillId="0" borderId="29" xfId="27" applyNumberFormat="1" applyFont="1" applyFill="1" applyBorder="1"/>
    <xf numFmtId="1" fontId="2" fillId="0" borderId="29" xfId="7" applyNumberFormat="1" applyFont="1" applyBorder="1"/>
    <xf numFmtId="3" fontId="1" fillId="18" borderId="29" xfId="7" applyNumberFormat="1" applyFill="1" applyBorder="1"/>
    <xf numFmtId="0" fontId="1" fillId="32" borderId="29" xfId="7" applyFill="1" applyBorder="1" applyAlignment="1">
      <alignment horizontal="center"/>
    </xf>
    <xf numFmtId="0" fontId="1" fillId="27" borderId="29" xfId="7" applyFill="1" applyBorder="1" applyAlignment="1">
      <alignment horizontal="center"/>
    </xf>
    <xf numFmtId="0" fontId="3" fillId="0" borderId="9" xfId="0" applyFont="1" applyBorder="1" applyAlignment="1">
      <alignment horizontal="center"/>
    </xf>
    <xf numFmtId="1" fontId="3" fillId="0" borderId="11" xfId="0" applyNumberFormat="1" applyFont="1" applyBorder="1" applyAlignment="1">
      <alignment horizontal="center"/>
    </xf>
    <xf numFmtId="0" fontId="3" fillId="0" borderId="13" xfId="0" applyFont="1" applyBorder="1" applyAlignment="1">
      <alignment horizontal="center"/>
    </xf>
    <xf numFmtId="0" fontId="3" fillId="0" borderId="0" xfId="0" applyFont="1" applyBorder="1" applyAlignment="1">
      <alignment vertical="top"/>
    </xf>
    <xf numFmtId="0" fontId="9" fillId="0" borderId="0" xfId="0" applyFont="1" applyBorder="1" applyAlignment="1">
      <alignment horizontal="right" vertical="top" wrapText="1"/>
    </xf>
    <xf numFmtId="0" fontId="3" fillId="0" borderId="28" xfId="0" applyFont="1" applyFill="1" applyBorder="1" applyAlignment="1">
      <alignment horizontal="center"/>
    </xf>
    <xf numFmtId="2" fontId="9" fillId="0" borderId="27" xfId="0" applyNumberFormat="1" applyFont="1" applyFill="1" applyBorder="1" applyAlignment="1">
      <alignment horizontal="center" vertical="center"/>
    </xf>
    <xf numFmtId="2" fontId="8" fillId="0" borderId="27" xfId="0" applyNumberFormat="1" applyFont="1" applyFill="1" applyBorder="1" applyAlignment="1">
      <alignment horizontal="center" vertical="center"/>
    </xf>
    <xf numFmtId="2" fontId="9" fillId="0" borderId="0" xfId="0" applyNumberFormat="1" applyFont="1" applyFill="1" applyBorder="1" applyAlignment="1">
      <alignment horizontal="center" vertical="center"/>
    </xf>
    <xf numFmtId="2" fontId="8" fillId="0" borderId="13" xfId="0" applyNumberFormat="1" applyFont="1" applyFill="1" applyBorder="1" applyAlignment="1">
      <alignment horizontal="center" vertical="center"/>
    </xf>
    <xf numFmtId="1" fontId="3" fillId="0" borderId="28" xfId="0" applyNumberFormat="1" applyFont="1" applyBorder="1" applyAlignment="1">
      <alignment horizontal="left"/>
    </xf>
    <xf numFmtId="0" fontId="3" fillId="0" borderId="0" xfId="0" applyFont="1" applyAlignment="1">
      <alignment horizontal="left"/>
    </xf>
    <xf numFmtId="168" fontId="3" fillId="0" borderId="0" xfId="0" applyNumberFormat="1" applyFont="1" applyAlignment="1">
      <alignment horizontal="center"/>
    </xf>
    <xf numFmtId="165" fontId="3" fillId="0" borderId="1" xfId="1" applyNumberFormat="1" applyFont="1" applyBorder="1" applyAlignment="1"/>
    <xf numFmtId="0" fontId="7" fillId="4" borderId="0" xfId="0" applyNumberFormat="1" applyFont="1" applyFill="1" applyBorder="1" applyAlignment="1">
      <alignment horizontal="centerContinuous" vertical="center"/>
    </xf>
    <xf numFmtId="0" fontId="4" fillId="4" borderId="0" xfId="0" applyNumberFormat="1" applyFont="1" applyFill="1" applyBorder="1" applyAlignment="1">
      <alignment horizontal="centerContinuous" vertical="center"/>
    </xf>
    <xf numFmtId="0" fontId="4" fillId="0" borderId="0" xfId="0" applyNumberFormat="1" applyFont="1" applyBorder="1"/>
    <xf numFmtId="0" fontId="3" fillId="18" borderId="7" xfId="0" applyNumberFormat="1" applyFont="1" applyFill="1" applyBorder="1" applyAlignment="1">
      <alignment horizontal="center" vertical="center"/>
    </xf>
    <xf numFmtId="0" fontId="4" fillId="0" borderId="15" xfId="1" applyNumberFormat="1" applyFont="1" applyBorder="1" applyAlignment="1">
      <alignment horizontal="center" vertical="center" wrapText="1"/>
    </xf>
    <xf numFmtId="0" fontId="3" fillId="0" borderId="15" xfId="43" applyNumberFormat="1" applyFont="1" applyBorder="1" applyAlignment="1">
      <alignment horizontal="center"/>
    </xf>
    <xf numFmtId="0" fontId="4" fillId="0" borderId="15" xfId="0" applyNumberFormat="1" applyFont="1" applyBorder="1" applyAlignment="1">
      <alignment horizontal="center" vertical="center" wrapText="1"/>
    </xf>
    <xf numFmtId="0" fontId="4" fillId="0" borderId="7" xfId="0" applyNumberFormat="1" applyFont="1" applyBorder="1" applyAlignment="1">
      <alignment horizontal="center" vertical="center" wrapText="1"/>
    </xf>
    <xf numFmtId="0" fontId="4" fillId="0" borderId="7" xfId="1" applyNumberFormat="1" applyFont="1" applyBorder="1" applyAlignment="1">
      <alignment horizontal="center"/>
    </xf>
    <xf numFmtId="0" fontId="4" fillId="0" borderId="7" xfId="0" applyNumberFormat="1" applyFont="1" applyBorder="1" applyAlignment="1">
      <alignment horizontal="center"/>
    </xf>
    <xf numFmtId="0" fontId="4" fillId="0" borderId="15" xfId="1" applyNumberFormat="1" applyFont="1" applyBorder="1" applyAlignment="1">
      <alignment horizontal="center"/>
    </xf>
    <xf numFmtId="0" fontId="4" fillId="0" borderId="15" xfId="0" applyNumberFormat="1" applyFont="1" applyBorder="1" applyAlignment="1">
      <alignment horizontal="center"/>
    </xf>
    <xf numFmtId="0" fontId="4" fillId="0" borderId="6" xfId="0" applyNumberFormat="1" applyFont="1" applyBorder="1" applyAlignment="1">
      <alignment horizontal="center" vertical="center" wrapText="1"/>
    </xf>
    <xf numFmtId="0" fontId="4" fillId="0" borderId="6" xfId="1" applyNumberFormat="1" applyFont="1" applyBorder="1" applyAlignment="1">
      <alignment horizontal="center"/>
    </xf>
    <xf numFmtId="0" fontId="4" fillId="0" borderId="0" xfId="1" applyNumberFormat="1" applyFont="1" applyBorder="1" applyAlignment="1">
      <alignment horizontal="center" vertical="center" wrapText="1"/>
    </xf>
    <xf numFmtId="0" fontId="3" fillId="0" borderId="15" xfId="1" applyNumberFormat="1" applyFont="1" applyFill="1" applyBorder="1" applyAlignment="1">
      <alignment horizontal="center"/>
    </xf>
    <xf numFmtId="0" fontId="3" fillId="0" borderId="15" xfId="0" applyNumberFormat="1" applyFont="1" applyFill="1" applyBorder="1" applyAlignment="1">
      <alignment horizontal="center"/>
    </xf>
    <xf numFmtId="0" fontId="3" fillId="0" borderId="0" xfId="0" applyNumberFormat="1" applyFont="1"/>
    <xf numFmtId="1" fontId="4" fillId="0" borderId="27" xfId="1" applyNumberFormat="1" applyFont="1" applyBorder="1" applyAlignment="1">
      <alignment horizontal="center" vertical="center" wrapText="1"/>
    </xf>
    <xf numFmtId="1" fontId="4" fillId="0" borderId="3" xfId="1" applyNumberFormat="1" applyFont="1" applyFill="1" applyBorder="1" applyAlignment="1">
      <alignment horizontal="center" vertical="center" wrapText="1"/>
    </xf>
    <xf numFmtId="0" fontId="3" fillId="0" borderId="0" xfId="0" applyFont="1" applyAlignment="1">
      <alignment horizontal="center"/>
    </xf>
    <xf numFmtId="0" fontId="3" fillId="0" borderId="12" xfId="0" applyFont="1" applyBorder="1" applyAlignment="1">
      <alignment horizontal="left"/>
    </xf>
    <xf numFmtId="0" fontId="3" fillId="0" borderId="1" xfId="0" applyFont="1" applyBorder="1" applyAlignment="1">
      <alignment horizontal="left"/>
    </xf>
    <xf numFmtId="0" fontId="3" fillId="0" borderId="0" xfId="0" applyFont="1" applyAlignment="1"/>
    <xf numFmtId="165" fontId="3" fillId="0" borderId="0" xfId="1" applyNumberFormat="1" applyFont="1" applyAlignment="1"/>
    <xf numFmtId="1" fontId="3" fillId="0" borderId="15" xfId="0" applyNumberFormat="1" applyFont="1" applyBorder="1" applyAlignment="1">
      <alignment horizontal="left"/>
    </xf>
    <xf numFmtId="165" fontId="3" fillId="0" borderId="15" xfId="1" applyNumberFormat="1" applyFont="1" applyBorder="1" applyAlignment="1"/>
    <xf numFmtId="0" fontId="3" fillId="0" borderId="1" xfId="0" applyFont="1" applyBorder="1" applyAlignment="1"/>
    <xf numFmtId="1" fontId="3" fillId="0" borderId="15" xfId="0" applyNumberFormat="1" applyFont="1" applyBorder="1" applyAlignment="1"/>
    <xf numFmtId="1" fontId="3" fillId="0" borderId="15" xfId="0" applyNumberFormat="1" applyFont="1" applyBorder="1" applyAlignment="1">
      <alignment horizontal="center"/>
    </xf>
    <xf numFmtId="1" fontId="8" fillId="20" borderId="15" xfId="0" applyNumberFormat="1" applyFont="1" applyFill="1" applyBorder="1" applyAlignment="1">
      <alignment horizontal="center" vertical="center" wrapText="1"/>
    </xf>
    <xf numFmtId="1" fontId="8" fillId="20" borderId="6" xfId="0" applyNumberFormat="1" applyFont="1" applyFill="1" applyBorder="1" applyAlignment="1">
      <alignment horizontal="center" vertical="center" wrapText="1"/>
    </xf>
    <xf numFmtId="1" fontId="8" fillId="20" borderId="7" xfId="0" applyNumberFormat="1" applyFont="1" applyFill="1" applyBorder="1" applyAlignment="1">
      <alignment horizontal="center" vertical="center" wrapText="1"/>
    </xf>
    <xf numFmtId="0" fontId="7" fillId="20" borderId="28" xfId="0" applyNumberFormat="1" applyFont="1" applyFill="1" applyBorder="1" applyAlignment="1">
      <alignment horizontal="center" vertical="center" textRotation="90" wrapText="1"/>
    </xf>
    <xf numFmtId="0" fontId="3" fillId="0" borderId="0" xfId="0" applyFont="1" applyBorder="1" applyAlignment="1">
      <alignment horizontal="left"/>
    </xf>
    <xf numFmtId="175" fontId="3" fillId="0" borderId="0" xfId="0" applyNumberFormat="1" applyFont="1" applyBorder="1" applyAlignment="1">
      <alignment horizontal="center"/>
    </xf>
    <xf numFmtId="179" fontId="3" fillId="0" borderId="0" xfId="0" applyNumberFormat="1" applyFont="1" applyBorder="1" applyAlignment="1">
      <alignment horizontal="center"/>
    </xf>
    <xf numFmtId="175" fontId="14" fillId="0" borderId="0" xfId="46" applyNumberFormat="1" applyBorder="1" applyAlignment="1">
      <alignment horizontal="center"/>
    </xf>
    <xf numFmtId="179" fontId="14" fillId="0" borderId="0" xfId="46" applyNumberFormat="1" applyBorder="1" applyAlignment="1">
      <alignment horizontal="center"/>
    </xf>
    <xf numFmtId="1" fontId="3" fillId="0" borderId="27" xfId="0" applyNumberFormat="1" applyFont="1" applyFill="1" applyBorder="1" applyAlignment="1">
      <alignment horizontal="center" vertical="center"/>
    </xf>
    <xf numFmtId="0" fontId="46" fillId="3" borderId="0" xfId="0" applyFont="1" applyFill="1" applyAlignment="1">
      <alignment horizontal="center" vertical="center"/>
    </xf>
    <xf numFmtId="0" fontId="46" fillId="3" borderId="7" xfId="0" applyFont="1" applyFill="1" applyBorder="1" applyAlignment="1">
      <alignment horizontal="center" vertical="center"/>
    </xf>
    <xf numFmtId="14" fontId="49" fillId="3" borderId="9" xfId="0" applyNumberFormat="1" applyFont="1" applyFill="1" applyBorder="1" applyAlignment="1">
      <alignment horizontal="center" vertical="center"/>
    </xf>
    <xf numFmtId="14" fontId="49" fillId="3" borderId="7" xfId="0" applyNumberFormat="1" applyFont="1" applyFill="1" applyBorder="1" applyAlignment="1">
      <alignment horizontal="center" vertical="center"/>
    </xf>
    <xf numFmtId="1" fontId="46" fillId="3" borderId="7" xfId="0" applyNumberFormat="1" applyFont="1" applyFill="1" applyBorder="1" applyAlignment="1">
      <alignment horizontal="center" vertical="center"/>
    </xf>
    <xf numFmtId="0" fontId="47" fillId="0" borderId="9" xfId="0" applyFont="1" applyBorder="1" applyAlignment="1">
      <alignment horizontal="center"/>
    </xf>
    <xf numFmtId="0" fontId="47" fillId="0" borderId="7" xfId="0" applyFont="1" applyBorder="1" applyAlignment="1">
      <alignment horizontal="center"/>
    </xf>
    <xf numFmtId="0" fontId="47" fillId="0" borderId="10" xfId="0" applyFont="1" applyBorder="1" applyAlignment="1">
      <alignment horizontal="center"/>
    </xf>
    <xf numFmtId="1" fontId="47" fillId="0" borderId="7" xfId="0" applyNumberFormat="1" applyFont="1" applyBorder="1" applyAlignment="1">
      <alignment horizontal="center"/>
    </xf>
    <xf numFmtId="1" fontId="46" fillId="3" borderId="0" xfId="0" applyNumberFormat="1" applyFont="1" applyFill="1" applyBorder="1" applyAlignment="1">
      <alignment horizontal="center"/>
    </xf>
    <xf numFmtId="0" fontId="47" fillId="0" borderId="28" xfId="0" applyFont="1" applyBorder="1" applyAlignment="1">
      <alignment horizontal="center"/>
    </xf>
    <xf numFmtId="0" fontId="47" fillId="0" borderId="15" xfId="0" applyFont="1" applyBorder="1" applyAlignment="1">
      <alignment horizontal="center"/>
    </xf>
    <xf numFmtId="0" fontId="47" fillId="0" borderId="0" xfId="0" applyFont="1" applyBorder="1" applyAlignment="1">
      <alignment horizontal="center"/>
    </xf>
    <xf numFmtId="1" fontId="47" fillId="0" borderId="15" xfId="0" applyNumberFormat="1" applyFont="1" applyBorder="1" applyAlignment="1">
      <alignment horizontal="center"/>
    </xf>
    <xf numFmtId="1" fontId="47" fillId="0" borderId="0" xfId="0" applyNumberFormat="1" applyFont="1" applyBorder="1" applyAlignment="1">
      <alignment horizontal="center"/>
    </xf>
    <xf numFmtId="168" fontId="46" fillId="0" borderId="0" xfId="0" applyNumberFormat="1" applyFont="1" applyBorder="1" applyAlignment="1">
      <alignment horizontal="center"/>
    </xf>
    <xf numFmtId="1" fontId="46" fillId="0" borderId="0" xfId="0" applyNumberFormat="1" applyFont="1" applyBorder="1" applyAlignment="1">
      <alignment horizontal="center"/>
    </xf>
    <xf numFmtId="0" fontId="47" fillId="0" borderId="12" xfId="0" applyFont="1" applyBorder="1" applyAlignment="1">
      <alignment horizontal="center"/>
    </xf>
    <xf numFmtId="0" fontId="47" fillId="0" borderId="6" xfId="0" applyFont="1" applyBorder="1" applyAlignment="1">
      <alignment horizontal="center"/>
    </xf>
    <xf numFmtId="0" fontId="47" fillId="0" borderId="1" xfId="0" applyFont="1" applyBorder="1" applyAlignment="1">
      <alignment horizontal="center"/>
    </xf>
    <xf numFmtId="1" fontId="47" fillId="0" borderId="6" xfId="0" applyNumberFormat="1" applyFont="1" applyBorder="1" applyAlignment="1">
      <alignment horizontal="center"/>
    </xf>
    <xf numFmtId="0" fontId="47" fillId="0" borderId="11" xfId="0" applyFont="1" applyBorder="1" applyAlignment="1">
      <alignment horizontal="center"/>
    </xf>
    <xf numFmtId="0" fontId="47" fillId="0" borderId="27" xfId="0" applyFont="1" applyBorder="1" applyAlignment="1">
      <alignment horizontal="center"/>
    </xf>
    <xf numFmtId="0" fontId="47" fillId="0" borderId="13" xfId="0" applyFont="1" applyBorder="1" applyAlignment="1">
      <alignment horizontal="center"/>
    </xf>
    <xf numFmtId="0" fontId="47" fillId="4" borderId="9" xfId="0" applyFont="1" applyFill="1" applyBorder="1" applyAlignment="1">
      <alignment horizontal="center"/>
    </xf>
    <xf numFmtId="0" fontId="47" fillId="4" borderId="7" xfId="0" applyFont="1" applyFill="1" applyBorder="1" applyAlignment="1">
      <alignment horizontal="center"/>
    </xf>
    <xf numFmtId="0" fontId="47" fillId="4" borderId="28" xfId="0" applyFont="1" applyFill="1" applyBorder="1" applyAlignment="1">
      <alignment horizontal="center"/>
    </xf>
    <xf numFmtId="0" fontId="47" fillId="4" borderId="15" xfId="0" applyFont="1" applyFill="1" applyBorder="1" applyAlignment="1">
      <alignment horizontal="center"/>
    </xf>
    <xf numFmtId="0" fontId="47" fillId="4" borderId="12" xfId="0" applyFont="1" applyFill="1" applyBorder="1" applyAlignment="1">
      <alignment horizontal="center"/>
    </xf>
    <xf numFmtId="0" fontId="47" fillId="4" borderId="6" xfId="0" applyFont="1" applyFill="1" applyBorder="1" applyAlignment="1">
      <alignment horizontal="center"/>
    </xf>
    <xf numFmtId="0" fontId="47" fillId="0" borderId="7" xfId="0" applyFont="1" applyFill="1" applyBorder="1" applyAlignment="1">
      <alignment horizontal="center"/>
    </xf>
    <xf numFmtId="0" fontId="47" fillId="0" borderId="15" xfId="0" applyFont="1" applyFill="1" applyBorder="1" applyAlignment="1">
      <alignment horizontal="center"/>
    </xf>
    <xf numFmtId="1" fontId="46" fillId="0" borderId="15" xfId="43" applyNumberFormat="1" applyFont="1" applyFill="1" applyBorder="1" applyAlignment="1">
      <alignment horizontal="center"/>
    </xf>
    <xf numFmtId="0" fontId="47" fillId="0" borderId="6" xfId="0" applyFont="1" applyFill="1" applyBorder="1" applyAlignment="1">
      <alignment horizontal="center"/>
    </xf>
    <xf numFmtId="174" fontId="47" fillId="0" borderId="6" xfId="0" applyNumberFormat="1" applyFont="1" applyBorder="1" applyAlignment="1">
      <alignment horizontal="center"/>
    </xf>
    <xf numFmtId="14" fontId="49" fillId="3" borderId="10" xfId="0" applyNumberFormat="1" applyFont="1" applyFill="1" applyBorder="1" applyAlignment="1">
      <alignment horizontal="center" vertical="center"/>
    </xf>
    <xf numFmtId="1" fontId="47" fillId="4" borderId="7" xfId="0" applyNumberFormat="1" applyFont="1" applyFill="1" applyBorder="1" applyAlignment="1">
      <alignment horizontal="center"/>
    </xf>
    <xf numFmtId="2" fontId="48" fillId="0" borderId="10" xfId="0" applyNumberFormat="1" applyFont="1" applyBorder="1" applyAlignment="1">
      <alignment horizontal="center" vertical="top" wrapText="1"/>
    </xf>
    <xf numFmtId="2" fontId="47" fillId="0" borderId="11" xfId="0" applyNumberFormat="1" applyFont="1" applyBorder="1" applyAlignment="1">
      <alignment horizontal="center" vertical="top"/>
    </xf>
    <xf numFmtId="1" fontId="47" fillId="4" borderId="15" xfId="0" applyNumberFormat="1" applyFont="1" applyFill="1" applyBorder="1" applyAlignment="1">
      <alignment horizontal="center"/>
    </xf>
    <xf numFmtId="2" fontId="48" fillId="0" borderId="0" xfId="0" applyNumberFormat="1" applyFont="1" applyBorder="1" applyAlignment="1">
      <alignment horizontal="center" vertical="top" wrapText="1"/>
    </xf>
    <xf numFmtId="2" fontId="47" fillId="0" borderId="27" xfId="0" applyNumberFormat="1" applyFont="1" applyBorder="1" applyAlignment="1">
      <alignment horizontal="center" vertical="top"/>
    </xf>
    <xf numFmtId="1" fontId="50" fillId="4" borderId="15" xfId="46" applyNumberFormat="1" applyFont="1" applyFill="1" applyBorder="1" applyAlignment="1">
      <alignment horizontal="center" vertical="center"/>
    </xf>
    <xf numFmtId="2" fontId="47" fillId="0" borderId="0" xfId="0" applyNumberFormat="1" applyFont="1" applyBorder="1" applyAlignment="1">
      <alignment horizontal="center" vertical="top" wrapText="1"/>
    </xf>
    <xf numFmtId="2" fontId="47" fillId="0" borderId="0" xfId="0" applyNumberFormat="1" applyFont="1" applyBorder="1" applyAlignment="1">
      <alignment horizontal="center" vertical="top"/>
    </xf>
    <xf numFmtId="0" fontId="47" fillId="3" borderId="28" xfId="0" applyFont="1" applyFill="1" applyBorder="1" applyAlignment="1">
      <alignment horizontal="center"/>
    </xf>
    <xf numFmtId="0" fontId="47" fillId="3" borderId="15" xfId="0" applyFont="1" applyFill="1" applyBorder="1" applyAlignment="1">
      <alignment horizontal="center"/>
    </xf>
    <xf numFmtId="0" fontId="47" fillId="3" borderId="0" xfId="0" applyFont="1" applyFill="1" applyBorder="1" applyAlignment="1">
      <alignment horizontal="center"/>
    </xf>
    <xf numFmtId="2" fontId="47" fillId="0" borderId="1" xfId="0" applyNumberFormat="1" applyFont="1" applyBorder="1" applyAlignment="1">
      <alignment horizontal="center" vertical="top" wrapText="1"/>
    </xf>
    <xf numFmtId="2" fontId="48" fillId="0" borderId="1" xfId="0" applyNumberFormat="1" applyFont="1" applyBorder="1" applyAlignment="1">
      <alignment horizontal="center" vertical="top" wrapText="1"/>
    </xf>
    <xf numFmtId="2" fontId="47" fillId="0" borderId="13" xfId="0" applyNumberFormat="1" applyFont="1" applyBorder="1" applyAlignment="1">
      <alignment horizontal="center" vertical="top"/>
    </xf>
    <xf numFmtId="1" fontId="47" fillId="0" borderId="10" xfId="0" applyNumberFormat="1" applyFont="1" applyBorder="1" applyAlignment="1">
      <alignment horizontal="center"/>
    </xf>
    <xf numFmtId="0" fontId="47" fillId="0" borderId="2" xfId="0" applyFont="1" applyBorder="1" applyAlignment="1">
      <alignment horizontal="center" vertical="center"/>
    </xf>
    <xf numFmtId="0" fontId="47" fillId="0" borderId="5" xfId="0" applyFont="1" applyBorder="1" applyAlignment="1">
      <alignment horizontal="center" vertical="center"/>
    </xf>
    <xf numFmtId="1" fontId="47" fillId="0" borderId="16" xfId="0" applyNumberFormat="1" applyFont="1" applyBorder="1" applyAlignment="1">
      <alignment horizontal="center" vertical="center"/>
    </xf>
    <xf numFmtId="0" fontId="47" fillId="0" borderId="6" xfId="0" applyFont="1" applyBorder="1" applyAlignment="1">
      <alignment horizontal="center" vertical="center"/>
    </xf>
    <xf numFmtId="0" fontId="47" fillId="0" borderId="12" xfId="0" applyFont="1" applyBorder="1" applyAlignment="1">
      <alignment horizontal="center" vertical="center"/>
    </xf>
    <xf numFmtId="1" fontId="47" fillId="0" borderId="1" xfId="0" applyNumberFormat="1" applyFont="1" applyBorder="1" applyAlignment="1">
      <alignment horizontal="center" vertical="center"/>
    </xf>
    <xf numFmtId="0" fontId="47" fillId="0" borderId="7" xfId="0" applyFont="1" applyBorder="1" applyAlignment="1">
      <alignment horizontal="center" vertical="center"/>
    </xf>
    <xf numFmtId="0" fontId="47" fillId="0" borderId="9" xfId="0" applyFont="1" applyBorder="1" applyAlignment="1">
      <alignment horizontal="center" vertical="center"/>
    </xf>
    <xf numFmtId="0" fontId="47" fillId="0" borderId="15" xfId="0" applyFont="1" applyBorder="1" applyAlignment="1">
      <alignment horizontal="center" vertical="center"/>
    </xf>
    <xf numFmtId="0" fontId="47" fillId="0" borderId="28" xfId="0" applyFont="1" applyBorder="1" applyAlignment="1">
      <alignment horizontal="center" vertical="center"/>
    </xf>
    <xf numFmtId="0" fontId="47" fillId="0" borderId="7" xfId="0" applyFont="1" applyFill="1" applyBorder="1" applyAlignment="1">
      <alignment horizontal="center" vertical="center"/>
    </xf>
    <xf numFmtId="1" fontId="46" fillId="0" borderId="15" xfId="0" applyNumberFormat="1" applyFont="1" applyBorder="1" applyAlignment="1">
      <alignment horizontal="center"/>
    </xf>
    <xf numFmtId="1" fontId="46" fillId="0" borderId="7" xfId="0" applyNumberFormat="1" applyFont="1" applyBorder="1" applyAlignment="1">
      <alignment horizontal="center"/>
    </xf>
    <xf numFmtId="1" fontId="49" fillId="4" borderId="28" xfId="0" applyNumberFormat="1" applyFont="1" applyFill="1" applyBorder="1" applyAlignment="1">
      <alignment horizontal="center" vertical="center" wrapText="1"/>
    </xf>
    <xf numFmtId="165" fontId="46" fillId="4" borderId="15" xfId="1" applyNumberFormat="1" applyFont="1" applyFill="1" applyBorder="1" applyAlignment="1">
      <alignment horizontal="center" vertical="center"/>
    </xf>
    <xf numFmtId="1" fontId="46" fillId="4" borderId="15" xfId="0" applyNumberFormat="1" applyFont="1" applyFill="1" applyBorder="1" applyAlignment="1">
      <alignment horizontal="center" vertical="center"/>
    </xf>
    <xf numFmtId="0" fontId="47" fillId="0" borderId="0" xfId="0" applyFont="1" applyAlignment="1">
      <alignment horizontal="center"/>
    </xf>
    <xf numFmtId="1" fontId="47" fillId="0" borderId="9" xfId="0" applyNumberFormat="1" applyFont="1" applyBorder="1" applyAlignment="1">
      <alignment horizontal="center"/>
    </xf>
    <xf numFmtId="165" fontId="47" fillId="0" borderId="7" xfId="1" applyNumberFormat="1" applyFont="1" applyBorder="1" applyAlignment="1">
      <alignment horizontal="center"/>
    </xf>
    <xf numFmtId="1" fontId="47" fillId="0" borderId="28" xfId="0" applyNumberFormat="1" applyFont="1" applyBorder="1" applyAlignment="1">
      <alignment horizontal="center"/>
    </xf>
    <xf numFmtId="165" fontId="47" fillId="0" borderId="15" xfId="1" applyNumberFormat="1" applyFont="1" applyBorder="1" applyAlignment="1">
      <alignment horizontal="center"/>
    </xf>
    <xf numFmtId="1" fontId="47" fillId="0" borderId="12" xfId="0" applyNumberFormat="1" applyFont="1" applyBorder="1" applyAlignment="1">
      <alignment horizontal="center" vertical="center" wrapText="1"/>
    </xf>
    <xf numFmtId="1" fontId="48" fillId="0" borderId="10" xfId="0" applyNumberFormat="1" applyFont="1" applyBorder="1" applyAlignment="1">
      <alignment horizontal="center" vertical="center" wrapText="1"/>
    </xf>
    <xf numFmtId="1" fontId="48" fillId="0" borderId="7" xfId="0" applyNumberFormat="1" applyFont="1" applyBorder="1" applyAlignment="1">
      <alignment horizontal="center" vertical="center" wrapText="1"/>
    </xf>
    <xf numFmtId="165" fontId="48" fillId="0" borderId="7" xfId="1" applyNumberFormat="1" applyFont="1" applyBorder="1" applyAlignment="1">
      <alignment horizontal="center" vertical="center" wrapText="1"/>
    </xf>
    <xf numFmtId="1" fontId="48" fillId="8" borderId="7" xfId="0" applyNumberFormat="1" applyFont="1" applyFill="1" applyBorder="1" applyAlignment="1">
      <alignment horizontal="center" vertical="center"/>
    </xf>
    <xf numFmtId="1" fontId="48" fillId="0" borderId="0" xfId="0" applyNumberFormat="1" applyFont="1" applyBorder="1" applyAlignment="1">
      <alignment horizontal="center" vertical="center" wrapText="1"/>
    </xf>
    <xf numFmtId="165" fontId="48" fillId="0" borderId="15" xfId="1" applyNumberFormat="1" applyFont="1" applyBorder="1" applyAlignment="1">
      <alignment horizontal="center" vertical="center" wrapText="1"/>
    </xf>
    <xf numFmtId="1" fontId="48" fillId="0" borderId="15" xfId="0" applyNumberFormat="1" applyFont="1" applyBorder="1" applyAlignment="1">
      <alignment horizontal="center" vertical="center" wrapText="1"/>
    </xf>
    <xf numFmtId="1" fontId="48" fillId="8" borderId="15" xfId="0" applyNumberFormat="1" applyFont="1" applyFill="1" applyBorder="1" applyAlignment="1">
      <alignment horizontal="center" vertical="center"/>
    </xf>
    <xf numFmtId="1" fontId="48" fillId="0" borderId="1" xfId="0" applyNumberFormat="1" applyFont="1" applyBorder="1" applyAlignment="1">
      <alignment horizontal="center" vertical="center" wrapText="1"/>
    </xf>
    <xf numFmtId="1" fontId="48" fillId="0" borderId="6" xfId="0" applyNumberFormat="1" applyFont="1" applyBorder="1" applyAlignment="1">
      <alignment horizontal="center" vertical="center" wrapText="1"/>
    </xf>
    <xf numFmtId="165" fontId="48" fillId="0" borderId="6" xfId="1" applyNumberFormat="1" applyFont="1" applyBorder="1" applyAlignment="1">
      <alignment horizontal="center" vertical="center" wrapText="1"/>
    </xf>
    <xf numFmtId="1" fontId="48" fillId="8" borderId="6" xfId="0" applyNumberFormat="1" applyFont="1" applyFill="1" applyBorder="1" applyAlignment="1">
      <alignment horizontal="center" vertical="center"/>
    </xf>
    <xf numFmtId="1" fontId="50" fillId="4" borderId="9" xfId="0" applyNumberFormat="1" applyFont="1" applyFill="1" applyBorder="1" applyAlignment="1">
      <alignment horizontal="center"/>
    </xf>
    <xf numFmtId="1" fontId="50" fillId="4" borderId="7" xfId="0" applyNumberFormat="1" applyFont="1" applyFill="1" applyBorder="1" applyAlignment="1">
      <alignment horizontal="center" vertical="center"/>
    </xf>
    <xf numFmtId="1" fontId="50" fillId="4" borderId="28" xfId="0" applyNumberFormat="1" applyFont="1" applyFill="1" applyBorder="1" applyAlignment="1">
      <alignment horizontal="center"/>
    </xf>
    <xf numFmtId="1" fontId="50" fillId="4" borderId="15" xfId="0" applyNumberFormat="1" applyFont="1" applyFill="1" applyBorder="1" applyAlignment="1">
      <alignment horizontal="center" vertical="center"/>
    </xf>
    <xf numFmtId="1" fontId="50" fillId="4" borderId="12" xfId="0" applyNumberFormat="1" applyFont="1" applyFill="1" applyBorder="1" applyAlignment="1">
      <alignment horizontal="center"/>
    </xf>
    <xf numFmtId="1" fontId="50" fillId="4" borderId="6" xfId="0" applyNumberFormat="1" applyFont="1" applyFill="1" applyBorder="1" applyAlignment="1">
      <alignment horizontal="center" vertical="center"/>
    </xf>
    <xf numFmtId="1" fontId="50" fillId="0" borderId="9" xfId="0" applyNumberFormat="1" applyFont="1" applyFill="1" applyBorder="1" applyAlignment="1">
      <alignment horizontal="center" vertical="center" wrapText="1"/>
    </xf>
    <xf numFmtId="1" fontId="50" fillId="0" borderId="7" xfId="0" applyNumberFormat="1" applyFont="1" applyFill="1" applyBorder="1" applyAlignment="1">
      <alignment horizontal="center" vertical="center"/>
    </xf>
    <xf numFmtId="1" fontId="50" fillId="0" borderId="9" xfId="0" applyNumberFormat="1" applyFont="1" applyFill="1" applyBorder="1" applyAlignment="1">
      <alignment horizontal="center" vertical="center"/>
    </xf>
    <xf numFmtId="1" fontId="50" fillId="0" borderId="28" xfId="0" applyNumberFormat="1" applyFont="1" applyFill="1" applyBorder="1" applyAlignment="1">
      <alignment horizontal="center" vertical="center" wrapText="1"/>
    </xf>
    <xf numFmtId="1" fontId="50" fillId="0" borderId="15" xfId="0" applyNumberFormat="1" applyFont="1" applyFill="1" applyBorder="1" applyAlignment="1">
      <alignment horizontal="center" vertical="center"/>
    </xf>
    <xf numFmtId="1" fontId="50" fillId="0" borderId="28" xfId="0" applyNumberFormat="1" applyFont="1" applyFill="1" applyBorder="1" applyAlignment="1">
      <alignment horizontal="center" vertical="center"/>
    </xf>
    <xf numFmtId="1" fontId="50" fillId="0" borderId="12" xfId="0" applyNumberFormat="1" applyFont="1" applyFill="1" applyBorder="1" applyAlignment="1">
      <alignment horizontal="center" vertical="center" wrapText="1"/>
    </xf>
    <xf numFmtId="1" fontId="50" fillId="0" borderId="6" xfId="0" applyNumberFormat="1" applyFont="1" applyFill="1" applyBorder="1" applyAlignment="1">
      <alignment horizontal="center" vertical="center"/>
    </xf>
    <xf numFmtId="1" fontId="50" fillId="0" borderId="12" xfId="0" applyNumberFormat="1" applyFont="1" applyFill="1" applyBorder="1" applyAlignment="1">
      <alignment horizontal="center" vertical="center"/>
    </xf>
    <xf numFmtId="1" fontId="48" fillId="0" borderId="9" xfId="0" applyNumberFormat="1" applyFont="1" applyBorder="1" applyAlignment="1">
      <alignment horizontal="center" vertical="center" wrapText="1"/>
    </xf>
    <xf numFmtId="1" fontId="47" fillId="0" borderId="7" xfId="0" applyNumberFormat="1" applyFont="1" applyBorder="1" applyAlignment="1">
      <alignment horizontal="center" vertical="center"/>
    </xf>
    <xf numFmtId="1" fontId="47" fillId="0" borderId="9" xfId="0" applyNumberFormat="1" applyFont="1" applyBorder="1" applyAlignment="1">
      <alignment horizontal="center" vertical="center"/>
    </xf>
    <xf numFmtId="1" fontId="48" fillId="0" borderId="28" xfId="0" applyNumberFormat="1" applyFont="1" applyBorder="1" applyAlignment="1">
      <alignment horizontal="center" vertical="center" wrapText="1"/>
    </xf>
    <xf numFmtId="1" fontId="47" fillId="0" borderId="15" xfId="0" applyNumberFormat="1" applyFont="1" applyBorder="1" applyAlignment="1">
      <alignment horizontal="center" vertical="center"/>
    </xf>
    <xf numFmtId="1" fontId="47" fillId="0" borderId="28" xfId="0" applyNumberFormat="1" applyFont="1" applyBorder="1" applyAlignment="1">
      <alignment horizontal="center" vertical="center"/>
    </xf>
    <xf numFmtId="1" fontId="47" fillId="0" borderId="28" xfId="0" applyNumberFormat="1" applyFont="1" applyBorder="1" applyAlignment="1">
      <alignment horizontal="center" wrapText="1"/>
    </xf>
    <xf numFmtId="1" fontId="46" fillId="0" borderId="28" xfId="43" applyNumberFormat="1" applyFont="1" applyFill="1" applyBorder="1" applyAlignment="1">
      <alignment horizontal="center"/>
    </xf>
    <xf numFmtId="0" fontId="48" fillId="0" borderId="28" xfId="0" applyFont="1" applyBorder="1" applyAlignment="1">
      <alignment horizontal="center" vertical="center" wrapText="1"/>
    </xf>
    <xf numFmtId="0" fontId="48" fillId="0" borderId="12" xfId="0" applyFont="1" applyBorder="1" applyAlignment="1">
      <alignment horizontal="center" vertical="center" wrapText="1"/>
    </xf>
    <xf numFmtId="1" fontId="47" fillId="0" borderId="6" xfId="0" applyNumberFormat="1" applyFont="1" applyBorder="1" applyAlignment="1">
      <alignment horizontal="center" vertical="center"/>
    </xf>
    <xf numFmtId="1" fontId="47" fillId="0" borderId="12" xfId="0" applyNumberFormat="1" applyFont="1" applyBorder="1" applyAlignment="1">
      <alignment horizontal="center" vertical="center"/>
    </xf>
    <xf numFmtId="1" fontId="50" fillId="4" borderId="28" xfId="46" applyNumberFormat="1" applyFont="1" applyFill="1" applyBorder="1" applyAlignment="1">
      <alignment horizontal="center" vertical="center"/>
    </xf>
    <xf numFmtId="1" fontId="50" fillId="4" borderId="28" xfId="46" applyNumberFormat="1" applyFont="1" applyFill="1" applyBorder="1" applyAlignment="1">
      <alignment horizontal="center" vertical="center" wrapText="1"/>
    </xf>
    <xf numFmtId="0" fontId="47" fillId="3" borderId="15" xfId="0" applyFont="1" applyFill="1" applyBorder="1" applyAlignment="1">
      <alignment horizontal="center" vertical="center"/>
    </xf>
    <xf numFmtId="1" fontId="47" fillId="3" borderId="28" xfId="0" applyNumberFormat="1" applyFont="1" applyFill="1" applyBorder="1" applyAlignment="1">
      <alignment horizontal="center" wrapText="1"/>
    </xf>
    <xf numFmtId="1" fontId="50" fillId="3" borderId="15" xfId="46" applyNumberFormat="1" applyFont="1" applyFill="1" applyBorder="1" applyAlignment="1">
      <alignment horizontal="center" vertical="center"/>
    </xf>
    <xf numFmtId="1" fontId="50" fillId="3" borderId="28" xfId="46" applyNumberFormat="1" applyFont="1" applyFill="1" applyBorder="1" applyAlignment="1">
      <alignment horizontal="center" vertical="center"/>
    </xf>
    <xf numFmtId="1" fontId="47" fillId="0" borderId="9" xfId="0" applyNumberFormat="1" applyFont="1" applyBorder="1" applyAlignment="1">
      <alignment horizontal="center" wrapText="1"/>
    </xf>
    <xf numFmtId="165" fontId="47" fillId="0" borderId="7" xfId="1" applyNumberFormat="1" applyFont="1" applyFill="1" applyBorder="1" applyAlignment="1">
      <alignment horizontal="center"/>
    </xf>
    <xf numFmtId="1" fontId="47" fillId="0" borderId="7" xfId="43" applyNumberFormat="1" applyFont="1" applyFill="1" applyBorder="1" applyAlignment="1">
      <alignment horizontal="center"/>
    </xf>
    <xf numFmtId="165" fontId="47" fillId="0" borderId="15" xfId="1" applyNumberFormat="1" applyFont="1" applyFill="1" applyBorder="1" applyAlignment="1">
      <alignment horizontal="center"/>
    </xf>
    <xf numFmtId="1" fontId="47" fillId="0" borderId="15" xfId="43" applyNumberFormat="1" applyFont="1" applyFill="1" applyBorder="1" applyAlignment="1">
      <alignment horizontal="center"/>
    </xf>
    <xf numFmtId="1" fontId="50" fillId="0" borderId="5" xfId="46" applyNumberFormat="1" applyFont="1" applyBorder="1" applyAlignment="1">
      <alignment horizontal="center" vertical="center" wrapText="1"/>
    </xf>
    <xf numFmtId="165" fontId="47" fillId="0" borderId="2" xfId="1" applyNumberFormat="1" applyFont="1" applyFill="1" applyBorder="1" applyAlignment="1">
      <alignment horizontal="center"/>
    </xf>
    <xf numFmtId="1" fontId="47" fillId="0" borderId="2" xfId="43" applyNumberFormat="1" applyFont="1" applyFill="1" applyBorder="1" applyAlignment="1">
      <alignment horizontal="center"/>
    </xf>
    <xf numFmtId="165" fontId="47" fillId="0" borderId="6" xfId="1" applyNumberFormat="1" applyFont="1" applyFill="1" applyBorder="1" applyAlignment="1">
      <alignment horizontal="center" vertical="center"/>
    </xf>
    <xf numFmtId="1" fontId="47" fillId="0" borderId="6" xfId="43" applyNumberFormat="1" applyFont="1" applyFill="1" applyBorder="1" applyAlignment="1">
      <alignment horizontal="center" vertical="center"/>
    </xf>
    <xf numFmtId="0" fontId="47" fillId="0" borderId="0" xfId="0" applyFont="1" applyAlignment="1">
      <alignment horizontal="center" vertical="center"/>
    </xf>
    <xf numFmtId="0" fontId="47" fillId="0" borderId="10" xfId="0" applyFont="1" applyBorder="1" applyAlignment="1">
      <alignment horizontal="center" vertical="center"/>
    </xf>
    <xf numFmtId="0" fontId="47" fillId="0" borderId="0" xfId="0" applyFont="1" applyBorder="1" applyAlignment="1">
      <alignment horizontal="center" vertical="center"/>
    </xf>
    <xf numFmtId="180" fontId="48" fillId="0" borderId="15" xfId="1" applyNumberFormat="1" applyFont="1" applyBorder="1" applyAlignment="1">
      <alignment horizontal="center" vertical="center" wrapText="1"/>
    </xf>
    <xf numFmtId="168" fontId="48" fillId="0" borderId="15" xfId="0" applyNumberFormat="1" applyFont="1" applyBorder="1" applyAlignment="1">
      <alignment horizontal="center" vertical="center" wrapText="1"/>
    </xf>
    <xf numFmtId="1" fontId="48" fillId="0" borderId="12" xfId="0" applyNumberFormat="1" applyFont="1" applyBorder="1" applyAlignment="1">
      <alignment horizontal="center" vertical="center" wrapText="1"/>
    </xf>
    <xf numFmtId="0" fontId="47" fillId="0" borderId="10" xfId="0" applyNumberFormat="1" applyFont="1" applyBorder="1" applyAlignment="1">
      <alignment horizontal="center"/>
    </xf>
    <xf numFmtId="0" fontId="47" fillId="0" borderId="7" xfId="0" applyNumberFormat="1" applyFont="1" applyBorder="1" applyAlignment="1">
      <alignment horizontal="center"/>
    </xf>
    <xf numFmtId="1" fontId="47" fillId="0" borderId="7" xfId="1" applyNumberFormat="1" applyFont="1" applyBorder="1" applyAlignment="1">
      <alignment horizontal="center"/>
    </xf>
    <xf numFmtId="0" fontId="14" fillId="0" borderId="6" xfId="0" applyFont="1" applyBorder="1" applyAlignment="1">
      <alignment horizontal="center"/>
    </xf>
    <xf numFmtId="1" fontId="47" fillId="0" borderId="0" xfId="48" applyNumberFormat="1" applyFont="1" applyBorder="1" applyAlignment="1">
      <alignment horizontal="center"/>
    </xf>
    <xf numFmtId="1" fontId="47" fillId="0" borderId="15" xfId="48" applyNumberFormat="1" applyFont="1" applyBorder="1" applyAlignment="1">
      <alignment horizontal="center"/>
    </xf>
    <xf numFmtId="1" fontId="46" fillId="0" borderId="9" xfId="0" applyNumberFormat="1" applyFont="1" applyBorder="1" applyAlignment="1">
      <alignment horizontal="center"/>
    </xf>
    <xf numFmtId="1" fontId="50" fillId="0" borderId="28" xfId="48" applyNumberFormat="1" applyFont="1" applyBorder="1" applyAlignment="1">
      <alignment horizontal="center" vertical="center" wrapText="1"/>
    </xf>
    <xf numFmtId="1" fontId="47" fillId="0" borderId="12" xfId="0" applyNumberFormat="1" applyFont="1" applyBorder="1" applyAlignment="1">
      <alignment horizontal="center"/>
    </xf>
    <xf numFmtId="0" fontId="4" fillId="0" borderId="0" xfId="44"/>
    <xf numFmtId="0" fontId="54" fillId="0" borderId="0" xfId="44" applyFont="1"/>
    <xf numFmtId="2" fontId="4" fillId="0" borderId="0" xfId="44" applyNumberFormat="1"/>
    <xf numFmtId="0" fontId="54" fillId="0" borderId="0" xfId="44" applyFont="1" applyAlignment="1">
      <alignment vertical="center"/>
    </xf>
    <xf numFmtId="167" fontId="4" fillId="0" borderId="0" xfId="44" applyNumberFormat="1"/>
    <xf numFmtId="0" fontId="7" fillId="0" borderId="2" xfId="0" applyFont="1" applyBorder="1" applyAlignment="1">
      <alignment horizontal="center" vertical="center"/>
    </xf>
    <xf numFmtId="0" fontId="4" fillId="0" borderId="2" xfId="0" applyFont="1" applyBorder="1" applyAlignment="1">
      <alignment vertical="center"/>
    </xf>
    <xf numFmtId="10" fontId="4" fillId="0" borderId="2" xfId="54" applyNumberFormat="1" applyFont="1" applyBorder="1" applyAlignment="1">
      <alignment horizontal="center" vertical="center"/>
    </xf>
    <xf numFmtId="10" fontId="4" fillId="0" borderId="2" xfId="0" applyNumberFormat="1" applyFont="1" applyBorder="1" applyAlignment="1">
      <alignment horizontal="center" vertical="center"/>
    </xf>
    <xf numFmtId="0" fontId="75" fillId="0" borderId="0" xfId="0" applyFont="1" applyAlignment="1">
      <alignment vertical="center"/>
    </xf>
    <xf numFmtId="1" fontId="9" fillId="20" borderId="7" xfId="0" applyNumberFormat="1" applyFont="1" applyFill="1" applyBorder="1" applyAlignment="1">
      <alignment horizontal="center" vertical="center" wrapText="1"/>
    </xf>
    <xf numFmtId="165" fontId="3" fillId="20" borderId="7" xfId="1" applyNumberFormat="1" applyFont="1" applyFill="1" applyBorder="1" applyAlignment="1">
      <alignment horizontal="center"/>
    </xf>
    <xf numFmtId="1" fontId="3" fillId="20" borderId="7" xfId="0" applyNumberFormat="1" applyFont="1" applyFill="1" applyBorder="1" applyAlignment="1">
      <alignment horizontal="center"/>
    </xf>
    <xf numFmtId="1" fontId="3" fillId="20" borderId="11" xfId="0" applyNumberFormat="1" applyFont="1" applyFill="1" applyBorder="1" applyAlignment="1">
      <alignment horizontal="center"/>
    </xf>
    <xf numFmtId="1" fontId="9" fillId="20" borderId="15" xfId="0" applyNumberFormat="1" applyFont="1" applyFill="1" applyBorder="1" applyAlignment="1">
      <alignment horizontal="center" vertical="center" wrapText="1"/>
    </xf>
    <xf numFmtId="165" fontId="3" fillId="20" borderId="15" xfId="1" applyNumberFormat="1" applyFont="1" applyFill="1" applyBorder="1" applyAlignment="1">
      <alignment horizontal="center"/>
    </xf>
    <xf numFmtId="1" fontId="3" fillId="20" borderId="15" xfId="0" applyNumberFormat="1" applyFont="1" applyFill="1" applyBorder="1" applyAlignment="1">
      <alignment horizontal="center"/>
    </xf>
    <xf numFmtId="1" fontId="3" fillId="20" borderId="27" xfId="0" applyNumberFormat="1" applyFont="1" applyFill="1" applyBorder="1" applyAlignment="1">
      <alignment horizontal="center"/>
    </xf>
    <xf numFmtId="1" fontId="9" fillId="20" borderId="6" xfId="0" applyNumberFormat="1" applyFont="1" applyFill="1" applyBorder="1" applyAlignment="1">
      <alignment horizontal="center" vertical="center" wrapText="1"/>
    </xf>
    <xf numFmtId="165" fontId="3" fillId="20" borderId="6" xfId="1" applyNumberFormat="1" applyFont="1" applyFill="1" applyBorder="1" applyAlignment="1">
      <alignment horizontal="center"/>
    </xf>
    <xf numFmtId="1" fontId="3" fillId="20" borderId="6" xfId="0" applyNumberFormat="1" applyFont="1" applyFill="1" applyBorder="1" applyAlignment="1">
      <alignment horizontal="center"/>
    </xf>
    <xf numFmtId="1" fontId="3" fillId="20" borderId="13" xfId="0" applyNumberFormat="1" applyFont="1" applyFill="1" applyBorder="1" applyAlignment="1">
      <alignment horizontal="center"/>
    </xf>
    <xf numFmtId="1" fontId="4" fillId="0" borderId="27" xfId="0" applyNumberFormat="1" applyFont="1" applyBorder="1" applyAlignment="1">
      <alignment horizontal="center" vertical="center" wrapText="1"/>
    </xf>
    <xf numFmtId="0" fontId="11" fillId="0" borderId="28" xfId="0" applyNumberFormat="1" applyFont="1" applyFill="1" applyBorder="1" applyAlignment="1">
      <alignment vertical="center" textRotation="90"/>
    </xf>
    <xf numFmtId="1" fontId="4" fillId="0" borderId="3" xfId="0" applyNumberFormat="1" applyFont="1" applyFill="1" applyBorder="1" applyAlignment="1">
      <alignment horizontal="center" vertical="center" wrapText="1"/>
    </xf>
    <xf numFmtId="1" fontId="4" fillId="0" borderId="27" xfId="0" applyNumberFormat="1" applyFont="1" applyFill="1" applyBorder="1" applyAlignment="1">
      <alignment horizontal="center" vertical="center" wrapText="1"/>
    </xf>
    <xf numFmtId="0" fontId="50" fillId="0" borderId="0" xfId="42" applyFont="1" applyBorder="1"/>
    <xf numFmtId="0" fontId="38" fillId="0" borderId="0" xfId="42" applyFont="1" applyBorder="1" applyAlignment="1">
      <alignment horizontal="center" vertical="center"/>
    </xf>
    <xf numFmtId="0" fontId="38" fillId="0" borderId="0" xfId="42" applyFont="1" applyBorder="1" applyAlignment="1">
      <alignment horizontal="center"/>
    </xf>
    <xf numFmtId="0" fontId="50" fillId="0" borderId="0" xfId="42" applyFont="1" applyBorder="1" applyAlignment="1">
      <alignment vertical="center"/>
    </xf>
    <xf numFmtId="2" fontId="50" fillId="0" borderId="0" xfId="42" applyNumberFormat="1" applyFont="1" applyBorder="1" applyAlignment="1">
      <alignment vertical="center"/>
    </xf>
    <xf numFmtId="2" fontId="38" fillId="0" borderId="0" xfId="42" applyNumberFormat="1" applyFont="1" applyBorder="1" applyAlignment="1">
      <alignment vertical="center"/>
    </xf>
    <xf numFmtId="0" fontId="38" fillId="0" borderId="0" xfId="42" applyFont="1" applyBorder="1"/>
    <xf numFmtId="2" fontId="38" fillId="0" borderId="0" xfId="42" applyNumberFormat="1" applyFont="1" applyBorder="1"/>
    <xf numFmtId="2" fontId="50" fillId="0" borderId="0" xfId="42" applyNumberFormat="1" applyFont="1" applyBorder="1"/>
    <xf numFmtId="167" fontId="50" fillId="0" borderId="0" xfId="42" applyNumberFormat="1" applyFont="1" applyBorder="1"/>
    <xf numFmtId="4" fontId="10" fillId="0" borderId="13" xfId="0" applyNumberFormat="1" applyFont="1" applyFill="1" applyBorder="1" applyAlignment="1">
      <alignment horizontal="center" vertical="center" wrapText="1"/>
    </xf>
    <xf numFmtId="4" fontId="12" fillId="0" borderId="27" xfId="0" applyNumberFormat="1" applyFont="1" applyFill="1" applyBorder="1" applyAlignment="1">
      <alignment horizontal="center" vertical="center" wrapText="1"/>
    </xf>
    <xf numFmtId="4" fontId="3" fillId="0" borderId="27" xfId="0" applyNumberFormat="1" applyFont="1" applyFill="1" applyBorder="1" applyAlignment="1">
      <alignment horizontal="center" vertical="center" wrapText="1"/>
    </xf>
    <xf numFmtId="2" fontId="3" fillId="0" borderId="0" xfId="0" applyNumberFormat="1" applyFont="1" applyFill="1" applyBorder="1"/>
    <xf numFmtId="0" fontId="4" fillId="0" borderId="10" xfId="1" applyNumberFormat="1" applyFont="1" applyBorder="1" applyAlignment="1">
      <alignment horizontal="center"/>
    </xf>
    <xf numFmtId="0" fontId="4" fillId="0" borderId="0" xfId="1" applyNumberFormat="1" applyFont="1" applyBorder="1" applyAlignment="1">
      <alignment horizontal="center"/>
    </xf>
    <xf numFmtId="0" fontId="4" fillId="0" borderId="28" xfId="1" applyNumberFormat="1" applyFont="1" applyBorder="1" applyAlignment="1">
      <alignment horizontal="center"/>
    </xf>
    <xf numFmtId="0" fontId="4" fillId="0" borderId="1" xfId="1" applyNumberFormat="1" applyFont="1" applyBorder="1" applyAlignment="1">
      <alignment horizontal="center" vertical="center" wrapText="1"/>
    </xf>
    <xf numFmtId="0" fontId="4" fillId="0" borderId="9" xfId="1" applyNumberFormat="1" applyFont="1" applyBorder="1" applyAlignment="1">
      <alignment horizontal="center"/>
    </xf>
    <xf numFmtId="0" fontId="9" fillId="0" borderId="0" xfId="0" applyFont="1" applyAlignment="1">
      <alignment horizontal="center" vertical="top" wrapText="1"/>
    </xf>
    <xf numFmtId="0" fontId="47" fillId="0" borderId="1" xfId="0" applyNumberFormat="1" applyFont="1" applyBorder="1" applyAlignment="1">
      <alignment horizontal="center"/>
    </xf>
    <xf numFmtId="1" fontId="48" fillId="0" borderId="11" xfId="0" applyNumberFormat="1" applyFont="1" applyBorder="1" applyAlignment="1">
      <alignment horizontal="center" vertical="center" wrapText="1"/>
    </xf>
    <xf numFmtId="1" fontId="48" fillId="0" borderId="27" xfId="0" applyNumberFormat="1" applyFont="1" applyBorder="1" applyAlignment="1">
      <alignment horizontal="center" vertical="center" wrapText="1"/>
    </xf>
    <xf numFmtId="1" fontId="48" fillId="0" borderId="13" xfId="0" applyNumberFormat="1" applyFont="1" applyBorder="1" applyAlignment="1">
      <alignment horizontal="center" vertical="center" wrapText="1"/>
    </xf>
    <xf numFmtId="1" fontId="47" fillId="0" borderId="15" xfId="1" applyNumberFormat="1" applyFont="1" applyBorder="1" applyAlignment="1">
      <alignment horizontal="center"/>
    </xf>
    <xf numFmtId="1" fontId="48" fillId="0" borderId="7" xfId="1" applyNumberFormat="1" applyFont="1" applyBorder="1" applyAlignment="1">
      <alignment horizontal="center" vertical="center" wrapText="1"/>
    </xf>
    <xf numFmtId="1" fontId="48" fillId="0" borderId="15" xfId="1" applyNumberFormat="1" applyFont="1" applyBorder="1" applyAlignment="1">
      <alignment horizontal="center" vertical="center" wrapText="1"/>
    </xf>
    <xf numFmtId="1" fontId="48" fillId="0" borderId="6" xfId="1" applyNumberFormat="1" applyFont="1" applyBorder="1" applyAlignment="1">
      <alignment horizontal="center" vertical="center" wrapText="1"/>
    </xf>
    <xf numFmtId="1" fontId="50" fillId="0" borderId="7" xfId="1" applyNumberFormat="1" applyFont="1" applyFill="1" applyBorder="1" applyAlignment="1">
      <alignment horizontal="center" vertical="center"/>
    </xf>
    <xf numFmtId="1" fontId="50" fillId="0" borderId="15" xfId="1" applyNumberFormat="1" applyFont="1" applyFill="1" applyBorder="1" applyAlignment="1">
      <alignment horizontal="center" vertical="center"/>
    </xf>
    <xf numFmtId="1" fontId="50" fillId="0" borderId="6" xfId="1" applyNumberFormat="1" applyFont="1" applyFill="1" applyBorder="1" applyAlignment="1">
      <alignment horizontal="center" vertical="center"/>
    </xf>
    <xf numFmtId="1" fontId="50" fillId="4" borderId="7" xfId="1" applyNumberFormat="1" applyFont="1" applyFill="1" applyBorder="1" applyAlignment="1">
      <alignment horizontal="center" vertical="center"/>
    </xf>
    <xf numFmtId="1" fontId="50" fillId="4" borderId="15" xfId="1" applyNumberFormat="1" applyFont="1" applyFill="1" applyBorder="1" applyAlignment="1">
      <alignment horizontal="center" vertical="center"/>
    </xf>
    <xf numFmtId="1" fontId="50" fillId="4" borderId="6" xfId="1" applyNumberFormat="1" applyFont="1" applyFill="1" applyBorder="1" applyAlignment="1">
      <alignment horizontal="center" vertical="center"/>
    </xf>
    <xf numFmtId="1" fontId="47" fillId="0" borderId="7" xfId="1" applyNumberFormat="1" applyFont="1" applyBorder="1" applyAlignment="1">
      <alignment horizontal="center" vertical="center"/>
    </xf>
    <xf numFmtId="1" fontId="47" fillId="0" borderId="15" xfId="1" applyNumberFormat="1" applyFont="1" applyBorder="1" applyAlignment="1">
      <alignment horizontal="center" vertical="center"/>
    </xf>
    <xf numFmtId="1" fontId="46" fillId="0" borderId="15" xfId="1" applyNumberFormat="1" applyFont="1" applyFill="1" applyBorder="1" applyAlignment="1">
      <alignment horizontal="center"/>
    </xf>
    <xf numFmtId="1" fontId="47" fillId="0" borderId="6" xfId="1" applyNumberFormat="1" applyFont="1" applyBorder="1" applyAlignment="1">
      <alignment horizontal="center" vertical="center"/>
    </xf>
    <xf numFmtId="1" fontId="50" fillId="3" borderId="15" xfId="1" applyNumberFormat="1" applyFont="1" applyFill="1" applyBorder="1" applyAlignment="1">
      <alignment horizontal="center" vertical="center"/>
    </xf>
    <xf numFmtId="0" fontId="0" fillId="4" borderId="0" xfId="0" applyFill="1"/>
    <xf numFmtId="0" fontId="10" fillId="4" borderId="7" xfId="0" applyFont="1" applyFill="1" applyBorder="1" applyAlignment="1">
      <alignment horizontal="center"/>
    </xf>
    <xf numFmtId="0" fontId="10" fillId="4" borderId="9" xfId="0" applyFont="1" applyFill="1" applyBorder="1" applyAlignment="1">
      <alignment horizontal="center"/>
    </xf>
    <xf numFmtId="0" fontId="10" fillId="4" borderId="11" xfId="0" applyFont="1" applyFill="1" applyBorder="1" applyAlignment="1">
      <alignment horizontal="center"/>
    </xf>
    <xf numFmtId="0" fontId="3" fillId="0" borderId="7" xfId="0" applyFont="1" applyBorder="1" applyAlignment="1">
      <alignment horizontal="left"/>
    </xf>
    <xf numFmtId="0" fontId="3" fillId="0" borderId="15" xfId="0" applyFont="1" applyBorder="1" applyAlignment="1">
      <alignment horizontal="center"/>
    </xf>
    <xf numFmtId="0" fontId="3" fillId="0" borderId="15" xfId="0" applyFont="1" applyBorder="1" applyAlignment="1">
      <alignment horizontal="left"/>
    </xf>
    <xf numFmtId="0" fontId="3" fillId="0" borderId="7" xfId="0" applyFont="1" applyBorder="1" applyAlignment="1">
      <alignment horizontal="center"/>
    </xf>
    <xf numFmtId="0" fontId="3" fillId="0" borderId="15" xfId="0" applyFont="1" applyFill="1" applyBorder="1" applyAlignment="1">
      <alignment horizontal="center"/>
    </xf>
    <xf numFmtId="0" fontId="10" fillId="0" borderId="6" xfId="0" applyFont="1" applyFill="1" applyBorder="1" applyAlignment="1">
      <alignment horizontal="center"/>
    </xf>
    <xf numFmtId="0" fontId="3" fillId="0" borderId="27" xfId="0" applyFont="1" applyBorder="1" applyAlignment="1">
      <alignment horizontal="center"/>
    </xf>
    <xf numFmtId="0" fontId="3" fillId="0" borderId="27" xfId="0" applyFont="1" applyBorder="1" applyAlignment="1">
      <alignment horizontal="left"/>
    </xf>
    <xf numFmtId="0" fontId="0" fillId="0" borderId="27" xfId="0" applyBorder="1" applyAlignment="1">
      <alignment horizontal="center"/>
    </xf>
    <xf numFmtId="0" fontId="3" fillId="0" borderId="27" xfId="0" applyFont="1" applyFill="1" applyBorder="1" applyAlignment="1">
      <alignment horizontal="left"/>
    </xf>
    <xf numFmtId="0" fontId="3" fillId="0" borderId="11" xfId="0" applyFont="1" applyBorder="1" applyAlignment="1">
      <alignment horizontal="left"/>
    </xf>
    <xf numFmtId="0" fontId="0" fillId="0" borderId="28" xfId="0" applyBorder="1"/>
    <xf numFmtId="0" fontId="0" fillId="0" borderId="7" xfId="0" applyBorder="1"/>
    <xf numFmtId="0" fontId="0" fillId="0" borderId="6" xfId="0" applyBorder="1"/>
    <xf numFmtId="0" fontId="2" fillId="0" borderId="28" xfId="0" applyFont="1" applyBorder="1"/>
    <xf numFmtId="0" fontId="0" fillId="0" borderId="12" xfId="0" applyBorder="1" applyAlignment="1">
      <alignment horizontal="center"/>
    </xf>
    <xf numFmtId="0" fontId="3" fillId="0" borderId="0" xfId="0" applyFont="1" applyFill="1" applyBorder="1" applyAlignment="1">
      <alignment horizontal="center"/>
    </xf>
    <xf numFmtId="1" fontId="3" fillId="0" borderId="15" xfId="0" applyNumberFormat="1" applyFont="1" applyBorder="1" applyAlignment="1">
      <alignment horizontal="center" vertical="center"/>
    </xf>
    <xf numFmtId="1" fontId="3" fillId="0" borderId="7" xfId="0" applyNumberFormat="1" applyFont="1" applyBorder="1" applyAlignment="1">
      <alignment horizontal="center"/>
    </xf>
    <xf numFmtId="1" fontId="3" fillId="0" borderId="15" xfId="0" applyNumberFormat="1" applyFont="1" applyFill="1" applyBorder="1" applyAlignment="1">
      <alignment horizontal="center" vertical="center"/>
    </xf>
    <xf numFmtId="0" fontId="0" fillId="0" borderId="28" xfId="0" applyFill="1" applyBorder="1" applyAlignment="1">
      <alignment horizontal="center"/>
    </xf>
    <xf numFmtId="0" fontId="3" fillId="0" borderId="11" xfId="0" applyFont="1" applyBorder="1" applyAlignment="1">
      <alignment horizontal="center"/>
    </xf>
    <xf numFmtId="0" fontId="3" fillId="0" borderId="2" xfId="0" applyFont="1" applyFill="1" applyBorder="1" applyAlignment="1">
      <alignment horizontal="center"/>
    </xf>
    <xf numFmtId="0" fontId="0" fillId="0" borderId="27" xfId="0" applyFill="1" applyBorder="1"/>
    <xf numFmtId="0" fontId="3" fillId="0" borderId="6" xfId="0" applyFont="1" applyFill="1" applyBorder="1" applyAlignment="1">
      <alignment horizontal="left"/>
    </xf>
    <xf numFmtId="0" fontId="47" fillId="0" borderId="2" xfId="0" applyNumberFormat="1" applyFont="1" applyBorder="1" applyAlignment="1">
      <alignment horizontal="center"/>
    </xf>
    <xf numFmtId="0" fontId="47" fillId="0" borderId="6" xfId="0" applyNumberFormat="1" applyFont="1" applyBorder="1" applyAlignment="1">
      <alignment horizontal="center"/>
    </xf>
    <xf numFmtId="168" fontId="48" fillId="0" borderId="28" xfId="0" applyNumberFormat="1" applyFont="1" applyBorder="1" applyAlignment="1">
      <alignment horizontal="center" vertical="center" wrapText="1"/>
    </xf>
    <xf numFmtId="174" fontId="47" fillId="0" borderId="0" xfId="0" applyNumberFormat="1" applyFont="1" applyBorder="1" applyAlignment="1">
      <alignment horizontal="center"/>
    </xf>
    <xf numFmtId="1" fontId="47" fillId="0" borderId="9" xfId="1" applyNumberFormat="1" applyFont="1" applyBorder="1" applyAlignment="1">
      <alignment horizontal="center"/>
    </xf>
    <xf numFmtId="1" fontId="47" fillId="4" borderId="6" xfId="0" applyNumberFormat="1" applyFont="1" applyFill="1" applyBorder="1" applyAlignment="1">
      <alignment horizontal="center"/>
    </xf>
    <xf numFmtId="1" fontId="50" fillId="4" borderId="9" xfId="0" applyNumberFormat="1" applyFont="1" applyFill="1" applyBorder="1" applyAlignment="1">
      <alignment horizontal="center" vertical="center"/>
    </xf>
    <xf numFmtId="1" fontId="50" fillId="4" borderId="28" xfId="0" applyNumberFormat="1" applyFont="1" applyFill="1" applyBorder="1" applyAlignment="1">
      <alignment horizontal="center" vertical="center"/>
    </xf>
    <xf numFmtId="1" fontId="50" fillId="4" borderId="12" xfId="0" applyNumberFormat="1" applyFont="1" applyFill="1" applyBorder="1" applyAlignment="1">
      <alignment horizontal="center" vertical="center"/>
    </xf>
    <xf numFmtId="1" fontId="48" fillId="8" borderId="9" xfId="0" applyNumberFormat="1" applyFont="1" applyFill="1" applyBorder="1" applyAlignment="1">
      <alignment horizontal="center" vertical="center"/>
    </xf>
    <xf numFmtId="1" fontId="48" fillId="8" borderId="28" xfId="0" applyNumberFormat="1" applyFont="1" applyFill="1" applyBorder="1" applyAlignment="1">
      <alignment horizontal="center" vertical="center"/>
    </xf>
    <xf numFmtId="1" fontId="48" fillId="8" borderId="12" xfId="0" applyNumberFormat="1" applyFont="1" applyFill="1" applyBorder="1" applyAlignment="1">
      <alignment horizontal="center" vertical="center"/>
    </xf>
    <xf numFmtId="174" fontId="47" fillId="0" borderId="15" xfId="0" applyNumberFormat="1" applyFont="1" applyBorder="1" applyAlignment="1">
      <alignment horizontal="center"/>
    </xf>
    <xf numFmtId="165" fontId="47" fillId="0" borderId="6" xfId="1" applyNumberFormat="1" applyFont="1" applyBorder="1" applyAlignment="1">
      <alignment horizontal="center" vertical="center"/>
    </xf>
    <xf numFmtId="0" fontId="10" fillId="0" borderId="16" xfId="0" applyFont="1" applyBorder="1" applyAlignment="1">
      <alignment horizontal="center" vertical="center"/>
    </xf>
    <xf numFmtId="0" fontId="3" fillId="0" borderId="2" xfId="0" applyFont="1" applyBorder="1" applyAlignment="1">
      <alignment horizontal="center" vertical="center" wrapText="1"/>
    </xf>
    <xf numFmtId="0" fontId="10" fillId="20" borderId="10" xfId="4" applyFont="1" applyFill="1" applyBorder="1" applyAlignment="1">
      <alignment horizontal="center" vertical="center"/>
    </xf>
    <xf numFmtId="0" fontId="10" fillId="20" borderId="10" xfId="4" applyFont="1" applyFill="1" applyBorder="1" applyAlignment="1">
      <alignment vertical="center"/>
    </xf>
    <xf numFmtId="0" fontId="10" fillId="20" borderId="2" xfId="4" applyNumberFormat="1" applyFont="1" applyFill="1" applyBorder="1" applyAlignment="1">
      <alignment horizontal="center" vertical="center"/>
    </xf>
    <xf numFmtId="0" fontId="10" fillId="20" borderId="5" xfId="4" applyNumberFormat="1" applyFont="1" applyFill="1" applyBorder="1" applyAlignment="1">
      <alignment horizontal="center" vertical="center"/>
    </xf>
    <xf numFmtId="9" fontId="10" fillId="20" borderId="1" xfId="3" applyFont="1" applyFill="1" applyBorder="1" applyAlignment="1">
      <alignment horizontal="center" vertical="center"/>
    </xf>
    <xf numFmtId="9" fontId="10" fillId="20" borderId="1" xfId="3" applyFont="1" applyFill="1" applyBorder="1" applyAlignment="1">
      <alignment vertical="center"/>
    </xf>
    <xf numFmtId="2" fontId="11" fillId="20" borderId="1" xfId="4" applyNumberFormat="1" applyFont="1" applyFill="1" applyBorder="1" applyAlignment="1">
      <alignment horizontal="center" vertical="center"/>
    </xf>
    <xf numFmtId="2" fontId="11" fillId="20" borderId="1" xfId="4" applyNumberFormat="1" applyFont="1" applyFill="1" applyBorder="1" applyAlignment="1">
      <alignment horizontal="center" vertical="center" wrapText="1"/>
    </xf>
    <xf numFmtId="2" fontId="11" fillId="0" borderId="0" xfId="4" applyNumberFormat="1" applyFont="1" applyFill="1" applyBorder="1" applyAlignment="1">
      <alignment horizontal="center" vertical="center"/>
    </xf>
    <xf numFmtId="2" fontId="11" fillId="0" borderId="0" xfId="4" applyNumberFormat="1" applyFont="1" applyFill="1" applyBorder="1" applyAlignment="1">
      <alignment horizontal="center" vertical="center" wrapText="1"/>
    </xf>
    <xf numFmtId="0" fontId="3" fillId="0" borderId="9" xfId="0" applyFont="1" applyFill="1" applyBorder="1" applyAlignment="1">
      <alignment horizontal="center" vertical="center"/>
    </xf>
    <xf numFmtId="0" fontId="10" fillId="0" borderId="10" xfId="0" applyFont="1" applyFill="1" applyBorder="1" applyAlignment="1">
      <alignment horizontal="left" vertical="center"/>
    </xf>
    <xf numFmtId="1" fontId="10" fillId="0" borderId="10" xfId="0" applyNumberFormat="1" applyFont="1" applyFill="1" applyBorder="1" applyAlignment="1">
      <alignment horizontal="center" vertical="center"/>
    </xf>
    <xf numFmtId="3" fontId="9" fillId="0" borderId="10" xfId="0" applyNumberFormat="1" applyFont="1" applyFill="1" applyBorder="1" applyAlignment="1">
      <alignment horizontal="center" vertical="center"/>
    </xf>
    <xf numFmtId="2" fontId="9" fillId="0" borderId="10" xfId="0" applyNumberFormat="1" applyFont="1" applyFill="1" applyBorder="1" applyAlignment="1">
      <alignment horizontal="center" vertical="center"/>
    </xf>
    <xf numFmtId="2" fontId="9" fillId="0" borderId="10" xfId="3" applyNumberFormat="1" applyFont="1" applyFill="1" applyBorder="1" applyAlignment="1">
      <alignment horizontal="center" vertical="center"/>
    </xf>
    <xf numFmtId="0" fontId="10" fillId="0" borderId="12" xfId="0" applyFont="1" applyFill="1" applyBorder="1" applyAlignment="1">
      <alignment horizontal="center" vertical="center"/>
    </xf>
    <xf numFmtId="0" fontId="10" fillId="4" borderId="1" xfId="0" applyFont="1" applyFill="1" applyBorder="1" applyAlignment="1">
      <alignment horizontal="center"/>
    </xf>
    <xf numFmtId="1" fontId="10" fillId="4" borderId="1" xfId="0" applyNumberFormat="1" applyFont="1" applyFill="1" applyBorder="1" applyAlignment="1">
      <alignment horizontal="center"/>
    </xf>
    <xf numFmtId="3" fontId="8" fillId="4" borderId="1" xfId="0" applyNumberFormat="1" applyFont="1" applyFill="1" applyBorder="1" applyAlignment="1">
      <alignment horizontal="center" vertical="center"/>
    </xf>
    <xf numFmtId="2" fontId="8" fillId="0" borderId="1" xfId="0" applyNumberFormat="1" applyFont="1" applyFill="1" applyBorder="1" applyAlignment="1">
      <alignment horizontal="center" vertical="center"/>
    </xf>
    <xf numFmtId="0" fontId="3" fillId="0" borderId="12" xfId="0" applyFont="1" applyFill="1" applyBorder="1" applyAlignment="1">
      <alignment horizontal="center" vertical="center"/>
    </xf>
    <xf numFmtId="0" fontId="7" fillId="0" borderId="0" xfId="0" applyFont="1" applyFill="1" applyBorder="1" applyAlignment="1">
      <alignment horizontal="center" vertical="center"/>
    </xf>
    <xf numFmtId="3" fontId="9" fillId="0" borderId="1" xfId="0" applyNumberFormat="1" applyFont="1" applyFill="1" applyBorder="1" applyAlignment="1">
      <alignment horizontal="center" vertical="center"/>
    </xf>
    <xf numFmtId="10" fontId="9" fillId="0" borderId="1" xfId="3" applyNumberFormat="1" applyFont="1" applyFill="1" applyBorder="1" applyAlignment="1">
      <alignment horizontal="center" vertical="center"/>
    </xf>
    <xf numFmtId="10" fontId="9" fillId="0" borderId="12" xfId="3" applyNumberFormat="1" applyFont="1" applyFill="1" applyBorder="1" applyAlignment="1">
      <alignment horizontal="center" vertical="center"/>
    </xf>
    <xf numFmtId="10" fontId="9" fillId="0" borderId="13" xfId="3" applyNumberFormat="1" applyFont="1" applyFill="1" applyBorder="1" applyAlignment="1">
      <alignment horizontal="center" vertical="center"/>
    </xf>
    <xf numFmtId="0" fontId="10" fillId="0" borderId="9" xfId="0" applyFont="1" applyFill="1" applyBorder="1" applyAlignment="1">
      <alignment horizontal="center" vertical="center"/>
    </xf>
    <xf numFmtId="0" fontId="10" fillId="0" borderId="10" xfId="0" applyFont="1" applyFill="1" applyBorder="1" applyAlignment="1">
      <alignment horizontal="center" vertical="center"/>
    </xf>
    <xf numFmtId="3" fontId="8" fillId="0" borderId="10" xfId="0" applyNumberFormat="1" applyFont="1" applyFill="1" applyBorder="1" applyAlignment="1">
      <alignment horizontal="center" vertical="center"/>
    </xf>
    <xf numFmtId="2" fontId="8" fillId="0" borderId="10" xfId="0" applyNumberFormat="1" applyFont="1" applyFill="1" applyBorder="1" applyAlignment="1">
      <alignment horizontal="center" vertical="center"/>
    </xf>
    <xf numFmtId="2" fontId="8" fillId="0" borderId="9" xfId="0" applyNumberFormat="1" applyFont="1" applyFill="1" applyBorder="1" applyAlignment="1">
      <alignment horizontal="center" vertical="center"/>
    </xf>
    <xf numFmtId="2" fontId="8" fillId="0" borderId="11" xfId="0" applyNumberFormat="1" applyFont="1" applyFill="1" applyBorder="1" applyAlignment="1">
      <alignment horizontal="center" vertical="center"/>
    </xf>
    <xf numFmtId="0" fontId="3" fillId="0" borderId="28" xfId="0" applyFont="1" applyFill="1" applyBorder="1" applyAlignment="1">
      <alignment horizontal="center" vertical="center"/>
    </xf>
    <xf numFmtId="0" fontId="4" fillId="0" borderId="0" xfId="0" applyFont="1" applyFill="1" applyBorder="1" applyAlignment="1">
      <alignment horizontal="center" vertical="center"/>
    </xf>
    <xf numFmtId="3" fontId="9" fillId="0" borderId="0" xfId="0" applyNumberFormat="1" applyFont="1" applyFill="1" applyBorder="1" applyAlignment="1">
      <alignment horizontal="center" vertical="center"/>
    </xf>
    <xf numFmtId="2" fontId="9" fillId="0" borderId="0" xfId="6" applyNumberFormat="1" applyFont="1" applyFill="1" applyBorder="1" applyAlignment="1">
      <alignment horizontal="center" vertical="center"/>
    </xf>
    <xf numFmtId="3" fontId="9" fillId="0" borderId="9" xfId="0" applyNumberFormat="1" applyFont="1" applyFill="1" applyBorder="1" applyAlignment="1">
      <alignment horizontal="center" vertical="center"/>
    </xf>
    <xf numFmtId="0" fontId="3" fillId="0" borderId="0" xfId="0" applyFont="1" applyFill="1" applyBorder="1" applyAlignment="1">
      <alignment horizontal="center" vertical="center"/>
    </xf>
    <xf numFmtId="169" fontId="9" fillId="0" borderId="28" xfId="3" applyNumberFormat="1" applyFont="1" applyFill="1" applyBorder="1" applyAlignment="1">
      <alignment horizontal="center" vertical="center"/>
    </xf>
    <xf numFmtId="0" fontId="10" fillId="0" borderId="1" xfId="0" applyFont="1" applyFill="1" applyBorder="1" applyAlignment="1">
      <alignment horizontal="center" vertical="center"/>
    </xf>
    <xf numFmtId="3" fontId="8" fillId="0" borderId="12" xfId="0" applyNumberFormat="1" applyFont="1" applyFill="1" applyBorder="1" applyAlignment="1">
      <alignment horizontal="center" vertical="center"/>
    </xf>
    <xf numFmtId="2" fontId="8" fillId="0" borderId="12" xfId="0" applyNumberFormat="1" applyFont="1" applyFill="1" applyBorder="1" applyAlignment="1">
      <alignment horizontal="center" vertical="center"/>
    </xf>
    <xf numFmtId="0" fontId="10" fillId="0" borderId="5" xfId="0" applyFont="1" applyFill="1" applyBorder="1" applyAlignment="1">
      <alignment horizontal="center" vertical="center"/>
    </xf>
    <xf numFmtId="0" fontId="10" fillId="0" borderId="16" xfId="0" applyFont="1" applyFill="1" applyBorder="1" applyAlignment="1">
      <alignment horizontal="center" vertical="center"/>
    </xf>
    <xf numFmtId="3" fontId="8" fillId="0" borderId="16" xfId="0" applyNumberFormat="1" applyFont="1" applyFill="1" applyBorder="1" applyAlignment="1">
      <alignment horizontal="center" vertical="center"/>
    </xf>
    <xf numFmtId="2" fontId="8" fillId="0" borderId="16" xfId="0" applyNumberFormat="1" applyFont="1" applyFill="1" applyBorder="1" applyAlignment="1">
      <alignment horizontal="center" vertical="center"/>
    </xf>
    <xf numFmtId="2" fontId="8" fillId="0" borderId="5" xfId="0" applyNumberFormat="1" applyFont="1" applyFill="1" applyBorder="1" applyAlignment="1">
      <alignment horizontal="center" vertical="center"/>
    </xf>
    <xf numFmtId="2" fontId="8" fillId="0" borderId="8" xfId="0" applyNumberFormat="1" applyFont="1" applyFill="1" applyBorder="1" applyAlignment="1">
      <alignment horizontal="center" vertical="center"/>
    </xf>
    <xf numFmtId="2" fontId="9" fillId="0" borderId="28" xfId="0" applyNumberFormat="1" applyFont="1" applyFill="1" applyBorder="1" applyAlignment="1">
      <alignment horizontal="center" vertical="center"/>
    </xf>
    <xf numFmtId="0" fontId="10" fillId="0" borderId="0" xfId="0" applyFont="1" applyFill="1" applyBorder="1" applyAlignment="1">
      <alignment horizontal="center" vertical="center"/>
    </xf>
    <xf numFmtId="166" fontId="9" fillId="0" borderId="0" xfId="6" applyNumberFormat="1" applyFont="1" applyFill="1" applyBorder="1" applyAlignment="1">
      <alignment horizontal="center" vertical="center"/>
    </xf>
    <xf numFmtId="2" fontId="9" fillId="0" borderId="28" xfId="6" applyNumberFormat="1" applyFont="1" applyFill="1" applyBorder="1" applyAlignment="1">
      <alignment horizontal="center" vertical="center"/>
    </xf>
    <xf numFmtId="2" fontId="9" fillId="0" borderId="27" xfId="6" applyNumberFormat="1" applyFont="1" applyFill="1" applyBorder="1" applyAlignment="1">
      <alignment horizontal="center" vertical="center"/>
    </xf>
    <xf numFmtId="0" fontId="3" fillId="0" borderId="1" xfId="0" applyFont="1" applyFill="1" applyBorder="1" applyAlignment="1">
      <alignment horizontal="center" vertical="center"/>
    </xf>
    <xf numFmtId="166" fontId="9" fillId="0" borderId="1" xfId="6" applyNumberFormat="1" applyFont="1" applyFill="1" applyBorder="1" applyAlignment="1">
      <alignment horizontal="center" vertical="center"/>
    </xf>
    <xf numFmtId="2" fontId="9" fillId="0" borderId="1" xfId="6" applyNumberFormat="1" applyFont="1" applyFill="1" applyBorder="1" applyAlignment="1">
      <alignment horizontal="center" vertical="center"/>
    </xf>
    <xf numFmtId="2" fontId="9" fillId="0" borderId="12" xfId="6" applyNumberFormat="1" applyFont="1" applyFill="1" applyBorder="1" applyAlignment="1">
      <alignment horizontal="center" vertical="center"/>
    </xf>
    <xf numFmtId="2" fontId="9" fillId="0" borderId="13" xfId="6" applyNumberFormat="1" applyFont="1" applyFill="1" applyBorder="1" applyAlignment="1">
      <alignment horizontal="center" vertical="center"/>
    </xf>
    <xf numFmtId="0" fontId="7" fillId="0" borderId="9" xfId="5" applyFont="1" applyFill="1" applyBorder="1" applyAlignment="1">
      <alignment horizontal="center" vertical="center"/>
    </xf>
    <xf numFmtId="0" fontId="7" fillId="0" borderId="10" xfId="5" applyFont="1" applyFill="1" applyBorder="1" applyAlignment="1">
      <alignment horizontal="center" vertical="center"/>
    </xf>
    <xf numFmtId="2" fontId="8" fillId="0" borderId="10" xfId="6" applyNumberFormat="1" applyFont="1" applyFill="1" applyBorder="1" applyAlignment="1">
      <alignment horizontal="center" vertical="center"/>
    </xf>
    <xf numFmtId="2" fontId="9" fillId="0" borderId="11" xfId="0" applyNumberFormat="1" applyFont="1" applyFill="1" applyBorder="1" applyAlignment="1">
      <alignment horizontal="center" vertical="center"/>
    </xf>
    <xf numFmtId="0" fontId="7" fillId="0" borderId="28" xfId="0" applyFont="1" applyFill="1" applyBorder="1" applyAlignment="1">
      <alignment horizontal="center" vertical="center"/>
    </xf>
    <xf numFmtId="10" fontId="8" fillId="0" borderId="0" xfId="3" applyNumberFormat="1"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2" fontId="7" fillId="0" borderId="1" xfId="6" applyNumberFormat="1" applyFont="1" applyFill="1" applyBorder="1" applyAlignment="1">
      <alignment horizontal="center" vertical="center"/>
    </xf>
    <xf numFmtId="2" fontId="9" fillId="0" borderId="13" xfId="0" applyNumberFormat="1" applyFont="1" applyFill="1" applyBorder="1" applyAlignment="1">
      <alignment horizontal="center" vertical="center"/>
    </xf>
    <xf numFmtId="0" fontId="7" fillId="0" borderId="5" xfId="0" applyFont="1" applyFill="1" applyBorder="1" applyAlignment="1">
      <alignment horizontal="center" vertical="center"/>
    </xf>
    <xf numFmtId="0" fontId="7" fillId="0" borderId="16" xfId="0" applyFont="1" applyFill="1" applyBorder="1" applyAlignment="1">
      <alignment horizontal="center" vertical="center"/>
    </xf>
    <xf numFmtId="2" fontId="9" fillId="0" borderId="8" xfId="0" applyNumberFormat="1" applyFont="1" applyFill="1" applyBorder="1" applyAlignment="1">
      <alignment horizontal="center" vertical="center"/>
    </xf>
    <xf numFmtId="2" fontId="3" fillId="0" borderId="0" xfId="6" applyNumberFormat="1" applyFont="1" applyFill="1" applyBorder="1" applyAlignment="1">
      <alignment horizontal="center"/>
    </xf>
    <xf numFmtId="2" fontId="3" fillId="0" borderId="28" xfId="6" applyNumberFormat="1" applyFont="1" applyFill="1" applyBorder="1" applyAlignment="1">
      <alignment horizontal="center"/>
    </xf>
    <xf numFmtId="2" fontId="3" fillId="0" borderId="27" xfId="6" applyNumberFormat="1" applyFont="1" applyFill="1" applyBorder="1" applyAlignment="1">
      <alignment horizontal="center"/>
    </xf>
    <xf numFmtId="0" fontId="3" fillId="0" borderId="12" xfId="0" applyFont="1" applyFill="1" applyBorder="1" applyAlignment="1">
      <alignment horizontal="center"/>
    </xf>
    <xf numFmtId="0" fontId="10" fillId="0" borderId="1" xfId="0" applyFont="1" applyFill="1" applyBorder="1" applyAlignment="1">
      <alignment horizontal="center"/>
    </xf>
    <xf numFmtId="0" fontId="3" fillId="0" borderId="1" xfId="0" applyFont="1" applyFill="1" applyBorder="1"/>
    <xf numFmtId="3" fontId="9" fillId="0" borderId="1" xfId="0" applyNumberFormat="1" applyFont="1" applyFill="1" applyBorder="1" applyAlignment="1">
      <alignment horizontal="right" vertical="center"/>
    </xf>
    <xf numFmtId="2" fontId="3" fillId="0" borderId="1" xfId="6" applyNumberFormat="1" applyFont="1" applyFill="1" applyBorder="1" applyAlignment="1">
      <alignment horizontal="center"/>
    </xf>
    <xf numFmtId="2" fontId="3" fillId="0" borderId="12" xfId="6" applyNumberFormat="1" applyFont="1" applyFill="1" applyBorder="1" applyAlignment="1">
      <alignment horizontal="center"/>
    </xf>
    <xf numFmtId="2" fontId="3" fillId="0" borderId="13" xfId="6" applyNumberFormat="1" applyFont="1" applyFill="1" applyBorder="1" applyAlignment="1">
      <alignment horizontal="center"/>
    </xf>
    <xf numFmtId="3" fontId="9" fillId="0" borderId="0" xfId="0" applyNumberFormat="1" applyFont="1" applyFill="1" applyBorder="1" applyAlignment="1">
      <alignment horizontal="right" vertical="center"/>
    </xf>
    <xf numFmtId="0" fontId="3" fillId="0" borderId="0" xfId="0" applyFont="1" applyFill="1" applyBorder="1" applyAlignment="1">
      <alignment wrapText="1"/>
    </xf>
    <xf numFmtId="2" fontId="9" fillId="0" borderId="0" xfId="0" applyNumberFormat="1" applyFont="1" applyFill="1" applyBorder="1" applyAlignment="1">
      <alignment horizontal="center" vertical="center" wrapText="1"/>
    </xf>
    <xf numFmtId="0" fontId="3" fillId="0" borderId="0" xfId="0" applyFont="1" applyFill="1" applyBorder="1" applyAlignment="1">
      <alignment horizontal="left"/>
    </xf>
    <xf numFmtId="0" fontId="3" fillId="0" borderId="2" xfId="0" applyFont="1" applyFill="1" applyBorder="1" applyAlignment="1">
      <alignment horizontal="center" vertical="center"/>
    </xf>
    <xf numFmtId="2" fontId="8" fillId="0" borderId="0" xfId="0" applyNumberFormat="1" applyFont="1" applyFill="1" applyBorder="1" applyAlignment="1">
      <alignment horizontal="center" vertical="center"/>
    </xf>
    <xf numFmtId="10" fontId="9" fillId="0" borderId="0" xfId="3" applyNumberFormat="1" applyFont="1" applyFill="1" applyBorder="1" applyAlignment="1">
      <alignment horizontal="center" vertical="center"/>
    </xf>
    <xf numFmtId="167" fontId="0" fillId="0" borderId="0" xfId="0" applyNumberFormat="1" applyAlignment="1">
      <alignment horizontal="center"/>
    </xf>
    <xf numFmtId="0" fontId="2" fillId="4" borderId="0" xfId="0" applyFont="1" applyFill="1" applyAlignment="1">
      <alignment horizontal="center"/>
    </xf>
    <xf numFmtId="0" fontId="4" fillId="0" borderId="9" xfId="0" applyFont="1" applyBorder="1" applyAlignment="1" applyProtection="1">
      <alignment vertical="center"/>
      <protection locked="0"/>
    </xf>
    <xf numFmtId="4" fontId="4" fillId="0" borderId="10" xfId="0" applyNumberFormat="1" applyFont="1" applyBorder="1" applyAlignment="1">
      <alignment horizontal="center" vertical="center"/>
    </xf>
    <xf numFmtId="3" fontId="4" fillId="0" borderId="10" xfId="0" applyNumberFormat="1" applyFont="1" applyFill="1" applyBorder="1" applyAlignment="1" applyProtection="1">
      <alignment horizontal="center" vertical="center"/>
      <protection locked="0"/>
    </xf>
    <xf numFmtId="2" fontId="4" fillId="0" borderId="11" xfId="0" applyNumberFormat="1" applyFont="1" applyBorder="1" applyAlignment="1">
      <alignment horizontal="center" vertical="center"/>
    </xf>
    <xf numFmtId="0" fontId="4" fillId="0" borderId="12" xfId="0" applyFont="1" applyBorder="1" applyAlignment="1" applyProtection="1">
      <alignment vertical="center"/>
      <protection locked="0"/>
    </xf>
    <xf numFmtId="4" fontId="4" fillId="0" borderId="1" xfId="0" applyNumberFormat="1" applyFont="1" applyBorder="1" applyAlignment="1">
      <alignment horizontal="center" vertical="center"/>
    </xf>
    <xf numFmtId="3" fontId="4" fillId="0" borderId="1" xfId="0" applyNumberFormat="1" applyFont="1" applyFill="1" applyBorder="1" applyAlignment="1" applyProtection="1">
      <alignment horizontal="center" vertical="center"/>
      <protection locked="0"/>
    </xf>
    <xf numFmtId="2" fontId="4" fillId="0" borderId="13" xfId="0" applyNumberFormat="1" applyFont="1" applyBorder="1" applyAlignment="1">
      <alignment horizontal="center" vertical="center"/>
    </xf>
    <xf numFmtId="1" fontId="0" fillId="0" borderId="0" xfId="0" applyNumberFormat="1" applyAlignment="1">
      <alignment horizontal="center"/>
    </xf>
    <xf numFmtId="0" fontId="3" fillId="0" borderId="0" xfId="0" applyFont="1" applyAlignment="1">
      <alignment horizontal="center" vertical="center"/>
    </xf>
    <xf numFmtId="0" fontId="3" fillId="0" borderId="0" xfId="0" applyFont="1" applyBorder="1" applyAlignment="1">
      <alignment horizontal="center"/>
    </xf>
    <xf numFmtId="1" fontId="10" fillId="3" borderId="16" xfId="0" applyNumberFormat="1" applyFont="1" applyFill="1" applyBorder="1" applyAlignment="1">
      <alignment horizontal="center"/>
    </xf>
    <xf numFmtId="1" fontId="10" fillId="3" borderId="5" xfId="0" applyNumberFormat="1" applyFont="1" applyFill="1" applyBorder="1" applyAlignment="1">
      <alignment horizontal="center"/>
    </xf>
    <xf numFmtId="1" fontId="10" fillId="3" borderId="8" xfId="0" applyNumberFormat="1" applyFont="1" applyFill="1" applyBorder="1" applyAlignment="1">
      <alignment horizontal="center"/>
    </xf>
    <xf numFmtId="1" fontId="3" fillId="0" borderId="10" xfId="0" applyNumberFormat="1" applyFont="1" applyFill="1" applyBorder="1" applyAlignment="1">
      <alignment horizontal="center"/>
    </xf>
    <xf numFmtId="10" fontId="3" fillId="0" borderId="10" xfId="0" applyNumberFormat="1" applyFont="1" applyFill="1" applyBorder="1" applyAlignment="1">
      <alignment horizontal="center"/>
    </xf>
    <xf numFmtId="10" fontId="3" fillId="0" borderId="9" xfId="0" applyNumberFormat="1" applyFont="1" applyFill="1" applyBorder="1" applyAlignment="1">
      <alignment horizontal="center"/>
    </xf>
    <xf numFmtId="10" fontId="3" fillId="0" borderId="11" xfId="0" applyNumberFormat="1" applyFont="1" applyFill="1" applyBorder="1" applyAlignment="1">
      <alignment horizontal="center"/>
    </xf>
    <xf numFmtId="0" fontId="10" fillId="0" borderId="0" xfId="0" applyFont="1" applyFill="1" applyBorder="1"/>
    <xf numFmtId="2" fontId="10" fillId="20" borderId="12" xfId="0" applyNumberFormat="1" applyFont="1" applyFill="1" applyBorder="1" applyAlignment="1">
      <alignment horizontal="center" vertical="center"/>
    </xf>
    <xf numFmtId="2" fontId="10" fillId="20" borderId="1" xfId="0" applyNumberFormat="1" applyFont="1" applyFill="1" applyBorder="1" applyAlignment="1">
      <alignment horizontal="center" vertical="center"/>
    </xf>
    <xf numFmtId="2" fontId="10" fillId="20" borderId="13" xfId="0" applyNumberFormat="1" applyFont="1" applyFill="1" applyBorder="1" applyAlignment="1">
      <alignment horizontal="center" vertical="center"/>
    </xf>
    <xf numFmtId="2" fontId="10" fillId="0" borderId="28" xfId="0" applyNumberFormat="1" applyFont="1" applyFill="1" applyBorder="1" applyAlignment="1">
      <alignment horizontal="center" vertical="center"/>
    </xf>
    <xf numFmtId="2" fontId="10" fillId="0" borderId="0" xfId="0" applyNumberFormat="1" applyFont="1" applyFill="1" applyBorder="1" applyAlignment="1">
      <alignment horizontal="center" vertical="center"/>
    </xf>
    <xf numFmtId="2" fontId="10" fillId="0" borderId="27" xfId="0" applyNumberFormat="1" applyFont="1" applyFill="1" applyBorder="1" applyAlignment="1">
      <alignment horizontal="center" vertical="center"/>
    </xf>
    <xf numFmtId="2" fontId="3" fillId="0" borderId="9" xfId="0" applyNumberFormat="1" applyFont="1" applyFill="1" applyBorder="1" applyAlignment="1">
      <alignment horizontal="center"/>
    </xf>
    <xf numFmtId="2" fontId="3" fillId="0" borderId="10" xfId="0" applyNumberFormat="1" applyFont="1" applyFill="1" applyBorder="1" applyAlignment="1">
      <alignment horizontal="center"/>
    </xf>
    <xf numFmtId="2" fontId="3" fillId="0" borderId="11" xfId="0" applyNumberFormat="1" applyFont="1" applyFill="1" applyBorder="1" applyAlignment="1">
      <alignment horizontal="center"/>
    </xf>
    <xf numFmtId="2" fontId="3" fillId="0" borderId="1" xfId="0" applyNumberFormat="1" applyFont="1" applyFill="1" applyBorder="1" applyAlignment="1">
      <alignment horizontal="center"/>
    </xf>
    <xf numFmtId="2" fontId="10" fillId="0" borderId="12" xfId="0" applyNumberFormat="1" applyFont="1" applyFill="1" applyBorder="1" applyAlignment="1">
      <alignment horizontal="center"/>
    </xf>
    <xf numFmtId="2" fontId="10" fillId="0" borderId="1" xfId="0" applyNumberFormat="1" applyFont="1" applyFill="1" applyBorder="1" applyAlignment="1">
      <alignment horizontal="center"/>
    </xf>
    <xf numFmtId="2" fontId="10" fillId="0" borderId="13" xfId="0" applyNumberFormat="1" applyFont="1" applyFill="1" applyBorder="1" applyAlignment="1">
      <alignment horizontal="center"/>
    </xf>
    <xf numFmtId="2" fontId="3" fillId="0" borderId="28" xfId="0" applyNumberFormat="1" applyFont="1" applyFill="1" applyBorder="1" applyAlignment="1">
      <alignment horizontal="center"/>
    </xf>
    <xf numFmtId="2" fontId="3" fillId="0" borderId="27" xfId="0" applyNumberFormat="1" applyFont="1" applyFill="1" applyBorder="1" applyAlignment="1">
      <alignment horizontal="center"/>
    </xf>
    <xf numFmtId="0" fontId="7" fillId="0" borderId="0" xfId="0" applyFont="1" applyBorder="1"/>
    <xf numFmtId="2" fontId="8" fillId="0" borderId="0" xfId="0" applyNumberFormat="1" applyFont="1" applyFill="1" applyBorder="1" applyAlignment="1">
      <alignment horizontal="center" vertical="center" wrapText="1"/>
    </xf>
    <xf numFmtId="169" fontId="10" fillId="0" borderId="2" xfId="0" applyNumberFormat="1" applyFont="1" applyFill="1" applyBorder="1" applyAlignment="1" applyProtection="1">
      <alignment horizontal="center" vertical="center"/>
      <protection locked="0"/>
    </xf>
    <xf numFmtId="0" fontId="10" fillId="0" borderId="2" xfId="0" applyFont="1" applyFill="1" applyBorder="1" applyAlignment="1" applyProtection="1">
      <alignment horizontal="center" vertical="center"/>
      <protection locked="0"/>
    </xf>
    <xf numFmtId="0" fontId="2" fillId="4" borderId="12" xfId="0" applyFont="1" applyFill="1" applyBorder="1"/>
    <xf numFmtId="1" fontId="2" fillId="4" borderId="6" xfId="0" applyNumberFormat="1" applyFont="1" applyFill="1" applyBorder="1" applyAlignment="1">
      <alignment horizontal="center"/>
    </xf>
    <xf numFmtId="0" fontId="10" fillId="4" borderId="13" xfId="0" applyFont="1" applyFill="1" applyBorder="1" applyAlignment="1">
      <alignment horizontal="center"/>
    </xf>
    <xf numFmtId="0" fontId="0" fillId="4" borderId="1" xfId="0" applyFill="1" applyBorder="1"/>
    <xf numFmtId="0" fontId="0" fillId="4" borderId="6" xfId="0" applyFill="1" applyBorder="1"/>
    <xf numFmtId="1" fontId="0" fillId="4" borderId="2" xfId="0" applyNumberFormat="1" applyFill="1" applyBorder="1" applyAlignment="1">
      <alignment horizontal="center"/>
    </xf>
    <xf numFmtId="0" fontId="10" fillId="4" borderId="16" xfId="0" applyFont="1" applyFill="1" applyBorder="1" applyAlignment="1">
      <alignment horizontal="left"/>
    </xf>
    <xf numFmtId="0" fontId="2" fillId="4" borderId="2" xfId="0" applyFont="1" applyFill="1" applyBorder="1"/>
    <xf numFmtId="1" fontId="2" fillId="4" borderId="8" xfId="0" applyNumberFormat="1" applyFont="1" applyFill="1" applyBorder="1" applyAlignment="1">
      <alignment horizontal="center"/>
    </xf>
    <xf numFmtId="0" fontId="4" fillId="0" borderId="28" xfId="44" applyBorder="1" applyAlignment="1">
      <alignment vertical="center"/>
    </xf>
    <xf numFmtId="0" fontId="7" fillId="0" borderId="28" xfId="42" applyFont="1" applyBorder="1" applyAlignment="1">
      <alignment horizontal="center" vertical="center"/>
    </xf>
    <xf numFmtId="0" fontId="7" fillId="0" borderId="12" xfId="42" applyFont="1" applyBorder="1" applyAlignment="1">
      <alignment horizontal="center" vertical="center"/>
    </xf>
    <xf numFmtId="2" fontId="4" fillId="0" borderId="27" xfId="42" applyNumberFormat="1" applyBorder="1" applyAlignment="1">
      <alignment horizontal="center" vertical="center"/>
    </xf>
    <xf numFmtId="2" fontId="4" fillId="0" borderId="1" xfId="42" applyNumberFormat="1" applyBorder="1" applyAlignment="1">
      <alignment horizontal="center" vertical="center"/>
    </xf>
    <xf numFmtId="9" fontId="4" fillId="0" borderId="27" xfId="42" applyNumberFormat="1" applyFont="1" applyBorder="1" applyAlignment="1">
      <alignment horizontal="center" vertical="center"/>
    </xf>
    <xf numFmtId="0" fontId="7" fillId="0" borderId="27" xfId="42" applyFont="1" applyBorder="1" applyAlignment="1">
      <alignment horizontal="center" vertical="center"/>
    </xf>
    <xf numFmtId="2" fontId="7" fillId="0" borderId="27" xfId="42" applyNumberFormat="1" applyFont="1" applyBorder="1" applyAlignment="1">
      <alignment horizontal="center" vertical="center"/>
    </xf>
    <xf numFmtId="2" fontId="4" fillId="0" borderId="0" xfId="42" applyNumberFormat="1" applyBorder="1" applyAlignment="1">
      <alignment horizontal="center" vertical="center"/>
    </xf>
    <xf numFmtId="2" fontId="4" fillId="0" borderId="13" xfId="42" applyNumberFormat="1" applyBorder="1" applyAlignment="1">
      <alignment horizontal="center" vertical="center"/>
    </xf>
    <xf numFmtId="2" fontId="8" fillId="0" borderId="0" xfId="0" applyNumberFormat="1" applyFont="1" applyFill="1" applyBorder="1" applyAlignment="1">
      <alignment horizontal="center" vertical="center" wrapText="1"/>
    </xf>
    <xf numFmtId="0" fontId="10" fillId="0" borderId="5" xfId="0" applyFont="1" applyFill="1" applyBorder="1" applyAlignment="1">
      <alignment horizontal="center" vertical="center"/>
    </xf>
    <xf numFmtId="0" fontId="10" fillId="0" borderId="16" xfId="0" applyFont="1" applyFill="1" applyBorder="1" applyAlignment="1">
      <alignment horizontal="center" vertical="center"/>
    </xf>
    <xf numFmtId="2" fontId="4" fillId="0" borderId="27" xfId="42" applyNumberFormat="1" applyFont="1" applyBorder="1" applyAlignment="1">
      <alignment horizontal="center" vertical="center"/>
    </xf>
    <xf numFmtId="0" fontId="4" fillId="30" borderId="2" xfId="44" applyFill="1" applyBorder="1"/>
    <xf numFmtId="0" fontId="4" fillId="0" borderId="7" xfId="44" applyBorder="1" applyAlignment="1">
      <alignment horizontal="center"/>
    </xf>
    <xf numFmtId="0" fontId="7" fillId="0" borderId="9" xfId="0" applyFont="1" applyBorder="1" applyAlignment="1">
      <alignment horizontal="center" vertical="center"/>
    </xf>
    <xf numFmtId="0" fontId="7" fillId="0" borderId="11" xfId="0" applyFont="1" applyBorder="1" applyAlignment="1">
      <alignment horizontal="center" vertical="center"/>
    </xf>
    <xf numFmtId="0" fontId="7" fillId="0" borderId="7" xfId="0" applyFont="1" applyBorder="1" applyAlignment="1">
      <alignment horizontal="center" vertical="center"/>
    </xf>
    <xf numFmtId="0" fontId="4" fillId="0" borderId="15" xfId="44" applyBorder="1" applyAlignment="1">
      <alignment horizontal="center"/>
    </xf>
    <xf numFmtId="0" fontId="4" fillId="0" borderId="28" xfId="0" applyFont="1" applyBorder="1" applyAlignment="1">
      <alignment vertical="center"/>
    </xf>
    <xf numFmtId="2" fontId="4" fillId="0" borderId="27" xfId="54" applyNumberFormat="1" applyFont="1" applyBorder="1" applyAlignment="1">
      <alignment horizontal="center" vertical="center"/>
    </xf>
    <xf numFmtId="0" fontId="4" fillId="0" borderId="15" xfId="0" applyFont="1" applyBorder="1" applyAlignment="1">
      <alignment horizontal="center" vertical="center"/>
    </xf>
    <xf numFmtId="2" fontId="4" fillId="0" borderId="27" xfId="0" applyNumberFormat="1" applyFont="1" applyBorder="1" applyAlignment="1">
      <alignment horizontal="center" vertical="center"/>
    </xf>
    <xf numFmtId="0" fontId="4" fillId="0" borderId="6" xfId="44" applyBorder="1" applyAlignment="1">
      <alignment horizontal="center"/>
    </xf>
    <xf numFmtId="0" fontId="4" fillId="0" borderId="12" xfId="0" applyFont="1" applyBorder="1" applyAlignment="1">
      <alignment vertical="center"/>
    </xf>
    <xf numFmtId="0" fontId="0" fillId="0" borderId="0" xfId="0" applyBorder="1" applyAlignment="1">
      <alignment horizontal="center"/>
    </xf>
    <xf numFmtId="9" fontId="0" fillId="0" borderId="0" xfId="3" applyFont="1"/>
    <xf numFmtId="0" fontId="7" fillId="0" borderId="28" xfId="52" applyFont="1" applyBorder="1" applyAlignment="1">
      <alignment vertical="center"/>
    </xf>
    <xf numFmtId="2" fontId="7" fillId="0" borderId="27" xfId="52" applyNumberFormat="1" applyFont="1" applyBorder="1" applyAlignment="1">
      <alignment horizontal="center" vertical="center"/>
    </xf>
    <xf numFmtId="0" fontId="4" fillId="0" borderId="27" xfId="52" applyFont="1" applyBorder="1" applyAlignment="1">
      <alignment horizontal="center" vertical="center"/>
    </xf>
    <xf numFmtId="2" fontId="4" fillId="0" borderId="27" xfId="52" applyNumberFormat="1" applyFont="1" applyBorder="1" applyAlignment="1">
      <alignment horizontal="center" vertical="center"/>
    </xf>
    <xf numFmtId="0" fontId="7" fillId="0" borderId="28" xfId="52" applyFont="1" applyBorder="1" applyAlignment="1">
      <alignment horizontal="center" vertical="center"/>
    </xf>
    <xf numFmtId="0" fontId="7" fillId="0" borderId="12" xfId="52" applyFont="1" applyBorder="1" applyAlignment="1">
      <alignment vertical="center"/>
    </xf>
    <xf numFmtId="10" fontId="7" fillId="0" borderId="13" xfId="53" applyNumberFormat="1" applyFont="1" applyBorder="1" applyAlignment="1">
      <alignment horizontal="center" vertical="center"/>
    </xf>
    <xf numFmtId="0" fontId="4" fillId="0" borderId="0" xfId="44" applyBorder="1" applyAlignment="1">
      <alignment horizontal="center"/>
    </xf>
    <xf numFmtId="0" fontId="4" fillId="0" borderId="27" xfId="44" applyBorder="1" applyAlignment="1">
      <alignment horizontal="center"/>
    </xf>
    <xf numFmtId="0" fontId="7" fillId="0" borderId="28" xfId="44" applyFont="1" applyBorder="1" applyAlignment="1">
      <alignment vertical="center"/>
    </xf>
    <xf numFmtId="2" fontId="7" fillId="0" borderId="0" xfId="44" applyNumberFormat="1" applyFont="1" applyBorder="1" applyAlignment="1">
      <alignment horizontal="center" vertical="center"/>
    </xf>
    <xf numFmtId="2" fontId="7" fillId="0" borderId="27" xfId="44" applyNumberFormat="1" applyFont="1" applyBorder="1" applyAlignment="1">
      <alignment horizontal="center" vertical="center"/>
    </xf>
    <xf numFmtId="0" fontId="4" fillId="0" borderId="0" xfId="44" applyBorder="1" applyAlignment="1">
      <alignment horizontal="center" vertical="center"/>
    </xf>
    <xf numFmtId="2" fontId="4" fillId="0" borderId="0" xfId="44" applyNumberFormat="1" applyBorder="1" applyAlignment="1">
      <alignment horizontal="center" vertical="center"/>
    </xf>
    <xf numFmtId="2" fontId="4" fillId="0" borderId="27" xfId="44" applyNumberFormat="1" applyBorder="1" applyAlignment="1">
      <alignment horizontal="center" vertical="center"/>
    </xf>
    <xf numFmtId="0" fontId="7" fillId="0" borderId="28" xfId="44" applyFont="1" applyBorder="1" applyAlignment="1">
      <alignment horizontal="center" vertical="center"/>
    </xf>
    <xf numFmtId="2" fontId="4" fillId="0" borderId="0" xfId="44" applyNumberFormat="1" applyBorder="1"/>
    <xf numFmtId="0" fontId="54" fillId="0" borderId="0" xfId="44" applyFont="1" applyBorder="1" applyAlignment="1">
      <alignment vertical="center"/>
    </xf>
    <xf numFmtId="0" fontId="54" fillId="0" borderId="27" xfId="44" applyFont="1" applyBorder="1" applyAlignment="1">
      <alignment vertical="center"/>
    </xf>
    <xf numFmtId="0" fontId="4" fillId="0" borderId="28" xfId="52" applyFont="1" applyBorder="1" applyAlignment="1">
      <alignment vertical="center"/>
    </xf>
    <xf numFmtId="2" fontId="4" fillId="0" borderId="0" xfId="52" applyNumberFormat="1" applyFont="1" applyBorder="1" applyAlignment="1">
      <alignment horizontal="center" vertical="center"/>
    </xf>
    <xf numFmtId="0" fontId="7" fillId="0" borderId="12" xfId="44" applyFont="1" applyBorder="1" applyAlignment="1">
      <alignment vertical="center"/>
    </xf>
    <xf numFmtId="10" fontId="7" fillId="0" borderId="1" xfId="54" applyNumberFormat="1" applyFont="1" applyBorder="1" applyAlignment="1">
      <alignment horizontal="center" vertical="center"/>
    </xf>
    <xf numFmtId="10" fontId="7" fillId="0" borderId="13" xfId="54" applyNumberFormat="1" applyFont="1" applyBorder="1" applyAlignment="1">
      <alignment horizontal="center" vertical="center"/>
    </xf>
    <xf numFmtId="0" fontId="3" fillId="0" borderId="28" xfId="0" applyFont="1" applyBorder="1" applyAlignment="1">
      <alignment horizontal="center"/>
    </xf>
    <xf numFmtId="0" fontId="3" fillId="0" borderId="27" xfId="0" applyFont="1" applyBorder="1" applyAlignment="1">
      <alignment horizontal="center"/>
    </xf>
    <xf numFmtId="0" fontId="38" fillId="0" borderId="28" xfId="42" applyFont="1" applyBorder="1" applyAlignment="1">
      <alignment vertical="center"/>
    </xf>
    <xf numFmtId="0" fontId="38" fillId="0" borderId="27" xfId="42" applyFont="1" applyBorder="1" applyAlignment="1">
      <alignment horizontal="center" vertical="center"/>
    </xf>
    <xf numFmtId="0" fontId="50" fillId="0" borderId="28" xfId="42" applyFont="1" applyBorder="1" applyAlignment="1">
      <alignment vertical="center"/>
    </xf>
    <xf numFmtId="2" fontId="50" fillId="0" borderId="27" xfId="42" applyNumberFormat="1" applyFont="1" applyBorder="1" applyAlignment="1">
      <alignment vertical="center"/>
    </xf>
    <xf numFmtId="0" fontId="38" fillId="0" borderId="28" xfId="42" applyFont="1" applyBorder="1" applyAlignment="1">
      <alignment horizontal="center" vertical="center"/>
    </xf>
    <xf numFmtId="2" fontId="38" fillId="0" borderId="27" xfId="42" applyNumberFormat="1" applyFont="1" applyBorder="1" applyAlignment="1">
      <alignment vertical="center"/>
    </xf>
    <xf numFmtId="0" fontId="38" fillId="0" borderId="12" xfId="42" applyFont="1" applyBorder="1" applyAlignment="1">
      <alignment vertical="center"/>
    </xf>
    <xf numFmtId="2" fontId="38" fillId="0" borderId="1" xfId="42" applyNumberFormat="1" applyFont="1" applyBorder="1" applyAlignment="1">
      <alignment vertical="center"/>
    </xf>
    <xf numFmtId="0" fontId="50" fillId="0" borderId="1" xfId="42" applyFont="1" applyBorder="1" applyAlignment="1">
      <alignment vertical="center"/>
    </xf>
    <xf numFmtId="0" fontId="50" fillId="0" borderId="13" xfId="42" applyFont="1" applyBorder="1" applyAlignment="1">
      <alignment vertical="center"/>
    </xf>
    <xf numFmtId="0" fontId="7" fillId="0" borderId="28" xfId="42" applyFont="1" applyBorder="1" applyAlignment="1">
      <alignment horizontal="center" vertical="center" wrapText="1"/>
    </xf>
    <xf numFmtId="0" fontId="7" fillId="0" borderId="27" xfId="42" applyFont="1" applyBorder="1" applyAlignment="1">
      <alignment horizontal="center" vertical="center" wrapText="1"/>
    </xf>
    <xf numFmtId="0" fontId="4" fillId="0" borderId="28" xfId="42" applyFont="1" applyBorder="1" applyAlignment="1">
      <alignment vertical="center"/>
    </xf>
    <xf numFmtId="9" fontId="7" fillId="0" borderId="1" xfId="42" applyNumberFormat="1" applyFont="1" applyBorder="1" applyAlignment="1">
      <alignment horizontal="center" vertical="center"/>
    </xf>
    <xf numFmtId="2" fontId="7" fillId="0" borderId="13" xfId="42" applyNumberFormat="1" applyFont="1" applyBorder="1" applyAlignment="1">
      <alignment horizontal="center" vertical="center"/>
    </xf>
    <xf numFmtId="3" fontId="4" fillId="0" borderId="12" xfId="42" applyNumberFormat="1" applyFont="1" applyBorder="1" applyAlignment="1">
      <alignment horizontal="center" vertical="center" wrapText="1"/>
    </xf>
    <xf numFmtId="2" fontId="7" fillId="0" borderId="1" xfId="42" applyNumberFormat="1" applyFont="1" applyBorder="1" applyAlignment="1">
      <alignment horizontal="center" vertical="center"/>
    </xf>
    <xf numFmtId="0" fontId="4" fillId="0" borderId="27" xfId="42" applyFont="1" applyBorder="1" applyAlignment="1">
      <alignment horizontal="center"/>
    </xf>
    <xf numFmtId="0" fontId="4" fillId="0" borderId="28" xfId="42" applyFont="1" applyBorder="1" applyAlignment="1">
      <alignment horizontal="center" vertical="center"/>
    </xf>
    <xf numFmtId="3" fontId="4" fillId="0" borderId="28" xfId="42" applyNumberFormat="1" applyFont="1" applyBorder="1" applyAlignment="1">
      <alignment horizontal="center" vertical="center" wrapText="1"/>
    </xf>
    <xf numFmtId="0" fontId="4" fillId="0" borderId="28" xfId="42" applyFont="1" applyBorder="1" applyAlignment="1">
      <alignment horizontal="center" vertical="center" wrapText="1"/>
    </xf>
    <xf numFmtId="4" fontId="7" fillId="0" borderId="27" xfId="42" applyNumberFormat="1" applyFont="1" applyBorder="1" applyAlignment="1">
      <alignment horizontal="center"/>
    </xf>
    <xf numFmtId="3" fontId="7" fillId="0" borderId="13" xfId="42" applyNumberFormat="1" applyFont="1" applyBorder="1" applyAlignment="1">
      <alignment horizontal="center"/>
    </xf>
    <xf numFmtId="0" fontId="35" fillId="0" borderId="9" xfId="0" applyFont="1" applyBorder="1"/>
    <xf numFmtId="0" fontId="35" fillId="0" borderId="10" xfId="0" applyFont="1" applyBorder="1"/>
    <xf numFmtId="0" fontId="35" fillId="0" borderId="11" xfId="0" applyFont="1" applyBorder="1"/>
    <xf numFmtId="0" fontId="35" fillId="0" borderId="28" xfId="0" applyFont="1" applyBorder="1"/>
    <xf numFmtId="0" fontId="35" fillId="0" borderId="0" xfId="0" applyFont="1" applyBorder="1"/>
    <xf numFmtId="0" fontId="35" fillId="0" borderId="27" xfId="0" applyFont="1" applyBorder="1"/>
    <xf numFmtId="0" fontId="35" fillId="0" borderId="12" xfId="0" applyFont="1" applyBorder="1"/>
    <xf numFmtId="0" fontId="3" fillId="0" borderId="1" xfId="0" applyFont="1" applyBorder="1"/>
    <xf numFmtId="0" fontId="3" fillId="0" borderId="13" xfId="0" applyFont="1" applyBorder="1"/>
    <xf numFmtId="0" fontId="10" fillId="3" borderId="0" xfId="0" applyFont="1" applyFill="1" applyAlignment="1">
      <alignment horizontal="center" vertical="center"/>
    </xf>
    <xf numFmtId="0" fontId="10" fillId="3" borderId="7" xfId="0" applyFont="1" applyFill="1" applyBorder="1" applyAlignment="1">
      <alignment horizontal="center" vertical="center"/>
    </xf>
    <xf numFmtId="14" fontId="8" fillId="3" borderId="9" xfId="0" applyNumberFormat="1" applyFont="1" applyFill="1" applyBorder="1" applyAlignment="1">
      <alignment horizontal="center" vertical="center"/>
    </xf>
    <xf numFmtId="14" fontId="8" fillId="3" borderId="7" xfId="0" applyNumberFormat="1" applyFont="1" applyFill="1" applyBorder="1" applyAlignment="1">
      <alignment horizontal="center" vertical="center"/>
    </xf>
    <xf numFmtId="1" fontId="10" fillId="3" borderId="7" xfId="0" applyNumberFormat="1" applyFont="1" applyFill="1" applyBorder="1" applyAlignment="1">
      <alignment horizontal="center" vertical="center"/>
    </xf>
    <xf numFmtId="0" fontId="3" fillId="0" borderId="10" xfId="0" applyFont="1" applyBorder="1" applyAlignment="1">
      <alignment horizontal="center"/>
    </xf>
    <xf numFmtId="1" fontId="3" fillId="0" borderId="9" xfId="0" applyNumberFormat="1" applyFont="1" applyBorder="1" applyAlignment="1">
      <alignment horizontal="center"/>
    </xf>
    <xf numFmtId="1" fontId="3" fillId="0" borderId="7" xfId="1" applyNumberFormat="1" applyFont="1" applyBorder="1" applyAlignment="1">
      <alignment horizontal="center"/>
    </xf>
    <xf numFmtId="1" fontId="10" fillId="3" borderId="0" xfId="0" applyNumberFormat="1" applyFont="1" applyFill="1" applyAlignment="1">
      <alignment horizontal="center"/>
    </xf>
    <xf numFmtId="1" fontId="3" fillId="0" borderId="28" xfId="0" applyNumberFormat="1" applyFont="1" applyBorder="1" applyAlignment="1">
      <alignment horizontal="center"/>
    </xf>
    <xf numFmtId="1" fontId="3" fillId="0" borderId="15" xfId="1" applyNumberFormat="1" applyFont="1" applyBorder="1" applyAlignment="1">
      <alignment horizontal="center"/>
    </xf>
    <xf numFmtId="1" fontId="3" fillId="0" borderId="0" xfId="0" applyNumberFormat="1" applyFont="1" applyAlignment="1">
      <alignment horizontal="center"/>
    </xf>
    <xf numFmtId="168" fontId="10" fillId="0" borderId="0" xfId="0" applyNumberFormat="1" applyFont="1" applyAlignment="1">
      <alignment horizontal="center"/>
    </xf>
    <xf numFmtId="1" fontId="10" fillId="0" borderId="0" xfId="0" applyNumberFormat="1" applyFont="1" applyAlignment="1">
      <alignment horizontal="center"/>
    </xf>
    <xf numFmtId="0" fontId="3" fillId="0" borderId="12" xfId="0" applyFont="1" applyBorder="1" applyAlignment="1">
      <alignment horizontal="center"/>
    </xf>
    <xf numFmtId="0" fontId="3" fillId="0" borderId="6" xfId="0" applyFont="1" applyBorder="1" applyAlignment="1">
      <alignment horizontal="center"/>
    </xf>
    <xf numFmtId="0" fontId="3" fillId="0" borderId="1" xfId="0" applyFont="1" applyBorder="1" applyAlignment="1">
      <alignment horizontal="center"/>
    </xf>
    <xf numFmtId="1" fontId="3" fillId="0" borderId="12" xfId="0" applyNumberFormat="1" applyFont="1" applyBorder="1" applyAlignment="1">
      <alignment horizontal="center" vertical="center" wrapText="1"/>
    </xf>
    <xf numFmtId="1" fontId="3" fillId="0" borderId="6" xfId="0" applyNumberFormat="1" applyFont="1" applyBorder="1" applyAlignment="1">
      <alignment horizontal="center"/>
    </xf>
    <xf numFmtId="1" fontId="3" fillId="0" borderId="12" xfId="0" applyNumberFormat="1" applyFont="1" applyBorder="1" applyAlignment="1">
      <alignment horizontal="center"/>
    </xf>
    <xf numFmtId="1" fontId="9" fillId="0" borderId="10" xfId="0" applyNumberFormat="1" applyFont="1" applyBorder="1" applyAlignment="1">
      <alignment horizontal="center" vertical="center" wrapText="1"/>
    </xf>
    <xf numFmtId="1" fontId="9" fillId="0" borderId="7" xfId="0" applyNumberFormat="1" applyFont="1" applyBorder="1" applyAlignment="1">
      <alignment horizontal="center" vertical="center" wrapText="1"/>
    </xf>
    <xf numFmtId="1" fontId="9" fillId="0" borderId="0" xfId="0" applyNumberFormat="1" applyFont="1" applyAlignment="1">
      <alignment horizontal="center" vertical="center" wrapText="1"/>
    </xf>
    <xf numFmtId="1" fontId="9" fillId="0" borderId="15" xfId="0" applyNumberFormat="1" applyFont="1" applyBorder="1" applyAlignment="1">
      <alignment horizontal="center" vertical="center" wrapText="1"/>
    </xf>
    <xf numFmtId="1" fontId="9" fillId="0" borderId="1" xfId="0" applyNumberFormat="1" applyFont="1" applyBorder="1" applyAlignment="1">
      <alignment horizontal="center" vertical="center" wrapText="1"/>
    </xf>
    <xf numFmtId="1" fontId="9" fillId="0" borderId="6" xfId="0" applyNumberFormat="1" applyFont="1" applyBorder="1" applyAlignment="1">
      <alignment horizontal="center" vertical="center" wrapText="1"/>
    </xf>
    <xf numFmtId="0" fontId="3" fillId="4" borderId="9" xfId="0" applyFont="1" applyFill="1" applyBorder="1" applyAlignment="1">
      <alignment horizontal="center"/>
    </xf>
    <xf numFmtId="0" fontId="3" fillId="4" borderId="7" xfId="0" applyFont="1" applyFill="1" applyBorder="1" applyAlignment="1">
      <alignment horizontal="center"/>
    </xf>
    <xf numFmtId="1" fontId="4" fillId="4" borderId="9" xfId="0" applyNumberFormat="1" applyFont="1" applyFill="1" applyBorder="1" applyAlignment="1">
      <alignment horizontal="center"/>
    </xf>
    <xf numFmtId="1" fontId="4" fillId="4" borderId="15" xfId="0" applyNumberFormat="1" applyFont="1" applyFill="1" applyBorder="1" applyAlignment="1">
      <alignment horizontal="center" vertical="center"/>
    </xf>
    <xf numFmtId="1" fontId="3" fillId="4" borderId="15" xfId="0" applyNumberFormat="1" applyFont="1" applyFill="1" applyBorder="1" applyAlignment="1">
      <alignment horizontal="center"/>
    </xf>
    <xf numFmtId="0" fontId="3" fillId="4" borderId="28" xfId="0" applyFont="1" applyFill="1" applyBorder="1" applyAlignment="1">
      <alignment horizontal="center"/>
    </xf>
    <xf numFmtId="0" fontId="3" fillId="4" borderId="15" xfId="0" applyFont="1" applyFill="1" applyBorder="1" applyAlignment="1">
      <alignment horizontal="center"/>
    </xf>
    <xf numFmtId="1" fontId="4" fillId="4" borderId="28" xfId="0" applyNumberFormat="1" applyFont="1" applyFill="1" applyBorder="1" applyAlignment="1">
      <alignment horizontal="center"/>
    </xf>
    <xf numFmtId="1" fontId="4" fillId="0" borderId="9" xfId="0" applyNumberFormat="1" applyFont="1" applyBorder="1" applyAlignment="1">
      <alignment horizontal="center" vertical="center" wrapText="1"/>
    </xf>
    <xf numFmtId="1" fontId="4" fillId="0" borderId="7" xfId="0" applyNumberFormat="1" applyFont="1" applyBorder="1" applyAlignment="1">
      <alignment horizontal="center" vertical="center"/>
    </xf>
    <xf numFmtId="1" fontId="4" fillId="0" borderId="28" xfId="0" applyNumberFormat="1" applyFont="1" applyBorder="1" applyAlignment="1">
      <alignment horizontal="center" vertical="center" wrapText="1"/>
    </xf>
    <xf numFmtId="1" fontId="4" fillId="0" borderId="15" xfId="0" applyNumberFormat="1" applyFont="1" applyBorder="1" applyAlignment="1">
      <alignment horizontal="center" vertical="center"/>
    </xf>
    <xf numFmtId="1" fontId="4" fillId="0" borderId="12" xfId="0" applyNumberFormat="1" applyFont="1" applyBorder="1" applyAlignment="1">
      <alignment horizontal="center" vertical="center" wrapText="1"/>
    </xf>
    <xf numFmtId="1" fontId="4" fillId="0" borderId="6" xfId="0" applyNumberFormat="1" applyFont="1" applyBorder="1" applyAlignment="1">
      <alignment horizontal="center" vertical="center"/>
    </xf>
    <xf numFmtId="1" fontId="9" fillId="0" borderId="28" xfId="0" applyNumberFormat="1" applyFont="1" applyBorder="1" applyAlignment="1">
      <alignment horizontal="center" vertical="center" wrapText="1"/>
    </xf>
    <xf numFmtId="1" fontId="3" fillId="0" borderId="28" xfId="0" applyNumberFormat="1" applyFont="1" applyBorder="1" applyAlignment="1">
      <alignment horizontal="center" wrapText="1"/>
    </xf>
    <xf numFmtId="1" fontId="10" fillId="0" borderId="15" xfId="1" applyNumberFormat="1" applyFont="1" applyFill="1" applyBorder="1" applyAlignment="1">
      <alignment horizontal="center"/>
    </xf>
    <xf numFmtId="0" fontId="9" fillId="0" borderId="28" xfId="0" applyFont="1" applyBorder="1" applyAlignment="1">
      <alignment horizontal="center" vertical="center" wrapText="1"/>
    </xf>
    <xf numFmtId="1" fontId="3" fillId="0" borderId="15" xfId="1" applyNumberFormat="1" applyFont="1" applyBorder="1" applyAlignment="1">
      <alignment horizontal="center" vertical="center"/>
    </xf>
    <xf numFmtId="174" fontId="3" fillId="0" borderId="6" xfId="0" applyNumberFormat="1" applyFont="1" applyBorder="1" applyAlignment="1">
      <alignment horizontal="center"/>
    </xf>
    <xf numFmtId="0" fontId="9" fillId="0" borderId="12" xfId="0" applyFont="1" applyBorder="1" applyAlignment="1">
      <alignment horizontal="center" vertical="center" wrapText="1"/>
    </xf>
    <xf numFmtId="1" fontId="3" fillId="0" borderId="6" xfId="1" applyNumberFormat="1" applyFont="1" applyBorder="1" applyAlignment="1">
      <alignment horizontal="center" vertical="center"/>
    </xf>
    <xf numFmtId="1" fontId="3" fillId="0" borderId="6" xfId="0" applyNumberFormat="1" applyFont="1" applyBorder="1" applyAlignment="1">
      <alignment horizontal="center" vertical="center"/>
    </xf>
    <xf numFmtId="1" fontId="3" fillId="0" borderId="12" xfId="0" applyNumberFormat="1" applyFont="1" applyBorder="1" applyAlignment="1">
      <alignment horizontal="center" vertical="center"/>
    </xf>
    <xf numFmtId="14" fontId="8" fillId="3" borderId="10" xfId="0" applyNumberFormat="1" applyFont="1" applyFill="1" applyBorder="1" applyAlignment="1">
      <alignment horizontal="center" vertical="center"/>
    </xf>
    <xf numFmtId="1" fontId="4" fillId="4" borderId="28" xfId="46" applyNumberFormat="1" applyFont="1" applyFill="1" applyBorder="1" applyAlignment="1">
      <alignment horizontal="center" vertical="center"/>
    </xf>
    <xf numFmtId="1" fontId="4" fillId="4" borderId="15" xfId="1" applyNumberFormat="1" applyFont="1" applyFill="1" applyBorder="1" applyAlignment="1">
      <alignment horizontal="center" vertical="center"/>
    </xf>
    <xf numFmtId="1" fontId="4" fillId="4" borderId="15" xfId="46" applyNumberFormat="1" applyFont="1" applyFill="1" applyBorder="1" applyAlignment="1">
      <alignment horizontal="center" vertical="center"/>
    </xf>
    <xf numFmtId="1" fontId="3" fillId="4" borderId="7" xfId="0" applyNumberFormat="1" applyFont="1" applyFill="1" applyBorder="1" applyAlignment="1">
      <alignment horizontal="center"/>
    </xf>
    <xf numFmtId="2" fontId="9" fillId="0" borderId="7" xfId="0" applyNumberFormat="1" applyFont="1" applyBorder="1" applyAlignment="1">
      <alignment horizontal="center" vertical="top" wrapText="1"/>
    </xf>
    <xf numFmtId="2" fontId="9" fillId="0" borderId="10" xfId="0" applyNumberFormat="1" applyFont="1" applyBorder="1" applyAlignment="1">
      <alignment horizontal="center" vertical="top" wrapText="1"/>
    </xf>
    <xf numFmtId="2" fontId="3" fillId="0" borderId="11" xfId="0" applyNumberFormat="1" applyFont="1" applyBorder="1" applyAlignment="1">
      <alignment horizontal="center" vertical="top"/>
    </xf>
    <xf numFmtId="0" fontId="3" fillId="0" borderId="0" xfId="0" applyFont="1" applyAlignment="1">
      <alignment vertical="top"/>
    </xf>
    <xf numFmtId="2" fontId="9" fillId="0" borderId="15" xfId="0" applyNumberFormat="1" applyFont="1" applyBorder="1" applyAlignment="1">
      <alignment horizontal="center" vertical="top" wrapText="1"/>
    </xf>
    <xf numFmtId="2" fontId="9" fillId="0" borderId="0" xfId="0" applyNumberFormat="1" applyFont="1" applyAlignment="1">
      <alignment horizontal="center" vertical="top" wrapText="1"/>
    </xf>
    <xf numFmtId="2" fontId="3" fillId="0" borderId="27" xfId="0" applyNumberFormat="1" applyFont="1" applyBorder="1" applyAlignment="1">
      <alignment horizontal="center" vertical="top"/>
    </xf>
    <xf numFmtId="2" fontId="3" fillId="0" borderId="15" xfId="0" applyNumberFormat="1" applyFont="1" applyBorder="1" applyAlignment="1">
      <alignment horizontal="center" vertical="top" wrapText="1"/>
    </xf>
    <xf numFmtId="2" fontId="3" fillId="0" borderId="0" xfId="0" applyNumberFormat="1" applyFont="1" applyAlignment="1">
      <alignment horizontal="center" vertical="top"/>
    </xf>
    <xf numFmtId="1" fontId="4" fillId="4" borderId="28" xfId="46" applyNumberFormat="1" applyFont="1" applyFill="1" applyBorder="1" applyAlignment="1">
      <alignment horizontal="center" vertical="center" wrapText="1"/>
    </xf>
    <xf numFmtId="0" fontId="3" fillId="3" borderId="15" xfId="0" applyFont="1" applyFill="1" applyBorder="1" applyAlignment="1">
      <alignment horizontal="center" vertical="center"/>
    </xf>
    <xf numFmtId="0" fontId="3" fillId="3" borderId="28" xfId="0" applyFont="1" applyFill="1" applyBorder="1" applyAlignment="1">
      <alignment horizontal="center"/>
    </xf>
    <xf numFmtId="0" fontId="3" fillId="3" borderId="15" xfId="0" applyFont="1" applyFill="1" applyBorder="1" applyAlignment="1">
      <alignment horizontal="center"/>
    </xf>
    <xf numFmtId="0" fontId="3" fillId="3" borderId="0" xfId="0" applyFont="1" applyFill="1" applyAlignment="1">
      <alignment horizontal="center"/>
    </xf>
    <xf numFmtId="1" fontId="3" fillId="3" borderId="28" xfId="0" applyNumberFormat="1" applyFont="1" applyFill="1" applyBorder="1" applyAlignment="1">
      <alignment horizontal="center" wrapText="1"/>
    </xf>
    <xf numFmtId="1" fontId="4" fillId="3" borderId="15" xfId="1" applyNumberFormat="1" applyFont="1" applyFill="1" applyBorder="1" applyAlignment="1">
      <alignment horizontal="center" vertical="center"/>
    </xf>
    <xf numFmtId="1" fontId="4" fillId="3" borderId="15" xfId="46" applyNumberFormat="1" applyFont="1" applyFill="1" applyBorder="1" applyAlignment="1">
      <alignment horizontal="center" vertical="center"/>
    </xf>
    <xf numFmtId="1" fontId="4" fillId="3" borderId="28" xfId="46" applyNumberFormat="1" applyFont="1" applyFill="1" applyBorder="1" applyAlignment="1">
      <alignment horizontal="center" vertical="center"/>
    </xf>
    <xf numFmtId="1" fontId="3" fillId="4" borderId="6" xfId="0" applyNumberFormat="1" applyFont="1" applyFill="1" applyBorder="1" applyAlignment="1">
      <alignment horizontal="center"/>
    </xf>
    <xf numFmtId="2" fontId="3" fillId="0" borderId="6" xfId="0" applyNumberFormat="1" applyFont="1" applyBorder="1" applyAlignment="1">
      <alignment horizontal="center" vertical="top" wrapText="1"/>
    </xf>
    <xf numFmtId="2" fontId="9" fillId="0" borderId="1" xfId="0" applyNumberFormat="1" applyFont="1" applyBorder="1" applyAlignment="1">
      <alignment horizontal="center" vertical="top" wrapText="1"/>
    </xf>
    <xf numFmtId="2" fontId="3" fillId="0" borderId="13" xfId="0" applyNumberFormat="1" applyFont="1" applyBorder="1" applyAlignment="1">
      <alignment horizontal="center" vertical="top"/>
    </xf>
    <xf numFmtId="1" fontId="3" fillId="0" borderId="10" xfId="0" applyNumberFormat="1" applyFont="1" applyBorder="1" applyAlignment="1">
      <alignment horizontal="center"/>
    </xf>
    <xf numFmtId="1" fontId="3" fillId="0" borderId="9" xfId="0" applyNumberFormat="1" applyFont="1" applyBorder="1" applyAlignment="1">
      <alignment horizontal="center" wrapText="1"/>
    </xf>
    <xf numFmtId="165" fontId="3" fillId="0" borderId="7" xfId="1" applyNumberFormat="1" applyFont="1" applyFill="1" applyBorder="1" applyAlignment="1">
      <alignment horizontal="center"/>
    </xf>
    <xf numFmtId="1" fontId="3" fillId="0" borderId="7" xfId="43" applyNumberFormat="1" applyFont="1" applyFill="1" applyBorder="1" applyAlignment="1">
      <alignment horizontal="center"/>
    </xf>
    <xf numFmtId="0" fontId="9" fillId="0" borderId="0" xfId="0" applyFont="1" applyAlignment="1">
      <alignment horizontal="right" vertical="top" wrapText="1"/>
    </xf>
    <xf numFmtId="165" fontId="3" fillId="0" borderId="15" xfId="1" applyNumberFormat="1" applyFont="1" applyFill="1" applyBorder="1" applyAlignment="1">
      <alignment horizontal="center"/>
    </xf>
    <xf numFmtId="1" fontId="3" fillId="0" borderId="15" xfId="43" applyNumberFormat="1" applyFont="1" applyFill="1" applyBorder="1" applyAlignment="1">
      <alignment horizontal="center"/>
    </xf>
    <xf numFmtId="0" fontId="3" fillId="0" borderId="2" xfId="0" applyFont="1" applyBorder="1" applyAlignment="1">
      <alignment horizontal="center" vertical="center"/>
    </xf>
    <xf numFmtId="0" fontId="3" fillId="0" borderId="5" xfId="0" applyFont="1" applyBorder="1" applyAlignment="1">
      <alignment horizontal="center" vertical="center"/>
    </xf>
    <xf numFmtId="1" fontId="3" fillId="0" borderId="16" xfId="0" applyNumberFormat="1" applyFont="1" applyBorder="1" applyAlignment="1">
      <alignment horizontal="center" vertical="center"/>
    </xf>
    <xf numFmtId="1" fontId="4" fillId="0" borderId="5" xfId="46" applyNumberFormat="1" applyFont="1" applyBorder="1" applyAlignment="1">
      <alignment horizontal="center" vertical="center" wrapText="1"/>
    </xf>
    <xf numFmtId="165" fontId="3" fillId="0" borderId="2" xfId="1" applyNumberFormat="1" applyFont="1" applyFill="1" applyBorder="1" applyAlignment="1">
      <alignment horizontal="center"/>
    </xf>
    <xf numFmtId="0" fontId="3" fillId="0" borderId="6" xfId="0" applyFont="1" applyBorder="1" applyAlignment="1">
      <alignment horizontal="center" vertical="center"/>
    </xf>
    <xf numFmtId="0" fontId="3" fillId="0" borderId="7" xfId="0" applyFont="1" applyBorder="1" applyAlignment="1">
      <alignment horizontal="center" vertical="center"/>
    </xf>
    <xf numFmtId="0" fontId="3" fillId="0" borderId="9" xfId="0" applyFont="1" applyBorder="1" applyAlignment="1">
      <alignment horizontal="center" vertical="center"/>
    </xf>
    <xf numFmtId="0" fontId="3" fillId="0" borderId="10" xfId="0" applyFont="1" applyBorder="1" applyAlignment="1">
      <alignment horizontal="center" vertical="center"/>
    </xf>
    <xf numFmtId="1" fontId="9" fillId="0" borderId="9" xfId="0" applyNumberFormat="1" applyFont="1" applyBorder="1" applyAlignment="1">
      <alignment horizontal="center" vertical="center" wrapText="1"/>
    </xf>
    <xf numFmtId="165" fontId="9" fillId="0" borderId="7" xfId="1" applyNumberFormat="1" applyFont="1" applyBorder="1" applyAlignment="1">
      <alignment horizontal="center" vertical="center" wrapText="1"/>
    </xf>
    <xf numFmtId="0" fontId="3" fillId="0" borderId="15" xfId="0" applyFont="1" applyBorder="1" applyAlignment="1">
      <alignment horizontal="center" vertical="center"/>
    </xf>
    <xf numFmtId="165" fontId="9" fillId="0" borderId="15" xfId="1" applyNumberFormat="1" applyFont="1" applyBorder="1" applyAlignment="1">
      <alignment horizontal="center" vertical="center" wrapText="1"/>
    </xf>
    <xf numFmtId="9" fontId="3" fillId="0" borderId="0" xfId="3" applyFont="1" applyAlignment="1">
      <alignment horizontal="center"/>
    </xf>
    <xf numFmtId="180" fontId="9" fillId="0" borderId="15" xfId="1" applyNumberFormat="1" applyFont="1" applyBorder="1" applyAlignment="1">
      <alignment horizontal="center" vertical="center" wrapText="1"/>
    </xf>
    <xf numFmtId="168" fontId="9" fillId="0" borderId="15" xfId="0" applyNumberFormat="1" applyFont="1" applyBorder="1" applyAlignment="1">
      <alignment horizontal="center" vertical="center" wrapText="1"/>
    </xf>
    <xf numFmtId="168" fontId="9" fillId="0" borderId="28" xfId="0" applyNumberFormat="1" applyFont="1" applyBorder="1" applyAlignment="1">
      <alignment horizontal="center" vertical="center" wrapText="1"/>
    </xf>
    <xf numFmtId="174" fontId="3" fillId="0" borderId="15" xfId="0" applyNumberFormat="1" applyFont="1" applyBorder="1" applyAlignment="1">
      <alignment horizontal="center"/>
    </xf>
    <xf numFmtId="174" fontId="3" fillId="0" borderId="0" xfId="0" applyNumberFormat="1" applyFont="1" applyAlignment="1">
      <alignment horizontal="center"/>
    </xf>
    <xf numFmtId="1" fontId="9" fillId="0" borderId="12" xfId="0" applyNumberFormat="1" applyFont="1" applyBorder="1" applyAlignment="1">
      <alignment horizontal="center" vertical="center" wrapText="1"/>
    </xf>
    <xf numFmtId="165" fontId="9" fillId="0" borderId="6" xfId="1" applyNumberFormat="1" applyFont="1" applyBorder="1" applyAlignment="1">
      <alignment horizontal="center" vertical="center" wrapText="1"/>
    </xf>
    <xf numFmtId="0" fontId="3" fillId="0" borderId="7" xfId="0" applyFont="1" applyBorder="1"/>
    <xf numFmtId="1" fontId="3" fillId="0" borderId="9" xfId="0" applyNumberFormat="1" applyFont="1" applyBorder="1" applyAlignment="1">
      <alignment horizontal="left"/>
    </xf>
    <xf numFmtId="1" fontId="3" fillId="0" borderId="7" xfId="0" applyNumberFormat="1" applyFont="1" applyBorder="1" applyAlignment="1">
      <alignment horizontal="right"/>
    </xf>
    <xf numFmtId="165" fontId="3" fillId="0" borderId="7" xfId="1" applyNumberFormat="1" applyFont="1" applyBorder="1" applyAlignment="1">
      <alignment horizontal="right"/>
    </xf>
    <xf numFmtId="1" fontId="3" fillId="0" borderId="7" xfId="0" applyNumberFormat="1" applyFont="1" applyBorder="1"/>
    <xf numFmtId="1" fontId="3" fillId="0" borderId="9" xfId="0" applyNumberFormat="1" applyFont="1" applyBorder="1"/>
    <xf numFmtId="0" fontId="3" fillId="0" borderId="6" xfId="0" applyFont="1" applyBorder="1"/>
    <xf numFmtId="1" fontId="4" fillId="0" borderId="12" xfId="0" applyNumberFormat="1" applyFont="1" applyBorder="1" applyAlignment="1">
      <alignment horizontal="left"/>
    </xf>
    <xf numFmtId="165" fontId="9" fillId="0" borderId="6" xfId="1" applyNumberFormat="1" applyFont="1" applyBorder="1" applyAlignment="1">
      <alignment horizontal="right" vertical="center" wrapText="1"/>
    </xf>
    <xf numFmtId="165" fontId="9" fillId="0" borderId="6" xfId="1" applyNumberFormat="1" applyFont="1" applyBorder="1" applyAlignment="1">
      <alignment vertical="center" wrapText="1"/>
    </xf>
    <xf numFmtId="165" fontId="9" fillId="0" borderId="12" xfId="1" applyNumberFormat="1" applyFont="1" applyBorder="1" applyAlignment="1">
      <alignment vertical="center" wrapText="1"/>
    </xf>
    <xf numFmtId="1" fontId="3" fillId="0" borderId="0" xfId="48" applyNumberFormat="1" applyFont="1" applyAlignment="1">
      <alignment horizontal="center"/>
    </xf>
    <xf numFmtId="1" fontId="3" fillId="0" borderId="15" xfId="48" applyNumberFormat="1" applyFont="1" applyBorder="1" applyAlignment="1">
      <alignment horizontal="center"/>
    </xf>
    <xf numFmtId="165" fontId="3" fillId="0" borderId="15" xfId="1" applyNumberFormat="1" applyFont="1" applyBorder="1" applyAlignment="1">
      <alignment horizontal="center"/>
    </xf>
    <xf numFmtId="1" fontId="10" fillId="0" borderId="15" xfId="0" applyNumberFormat="1" applyFont="1" applyBorder="1" applyAlignment="1">
      <alignment horizontal="center"/>
    </xf>
    <xf numFmtId="1" fontId="10" fillId="0" borderId="9" xfId="0" applyNumberFormat="1" applyFont="1" applyBorder="1" applyAlignment="1">
      <alignment horizontal="center"/>
    </xf>
    <xf numFmtId="1" fontId="10" fillId="0" borderId="7" xfId="0" applyNumberFormat="1" applyFont="1" applyBorder="1" applyAlignment="1">
      <alignment horizontal="center"/>
    </xf>
    <xf numFmtId="165" fontId="3" fillId="0" borderId="7" xfId="1" applyNumberFormat="1" applyFont="1" applyBorder="1" applyAlignment="1">
      <alignment horizontal="center"/>
    </xf>
    <xf numFmtId="1" fontId="4" fillId="0" borderId="28" xfId="48" applyNumberFormat="1" applyFont="1" applyBorder="1" applyAlignment="1">
      <alignment horizontal="center" vertical="center" wrapText="1"/>
    </xf>
    <xf numFmtId="165" fontId="3" fillId="0" borderId="6" xfId="1" applyNumberFormat="1" applyFont="1" applyBorder="1" applyAlignment="1">
      <alignment horizontal="center" vertical="center"/>
    </xf>
    <xf numFmtId="1" fontId="8" fillId="4" borderId="28" xfId="0" applyNumberFormat="1" applyFont="1" applyFill="1" applyBorder="1" applyAlignment="1">
      <alignment horizontal="center" vertical="center" wrapText="1"/>
    </xf>
    <xf numFmtId="165" fontId="10" fillId="4" borderId="15" xfId="1" applyNumberFormat="1" applyFont="1" applyFill="1" applyBorder="1" applyAlignment="1">
      <alignment horizontal="center" vertical="center"/>
    </xf>
    <xf numFmtId="1" fontId="10" fillId="4" borderId="15" xfId="0" applyNumberFormat="1" applyFont="1" applyFill="1" applyBorder="1" applyAlignment="1">
      <alignment horizontal="center" vertical="center"/>
    </xf>
    <xf numFmtId="1" fontId="3" fillId="0" borderId="15" xfId="0" applyNumberFormat="1" applyFont="1" applyBorder="1"/>
    <xf numFmtId="1" fontId="3" fillId="0" borderId="9" xfId="0" applyNumberFormat="1" applyFont="1" applyBorder="1" applyAlignment="1">
      <alignment horizontal="center" vertical="center"/>
    </xf>
    <xf numFmtId="1" fontId="3" fillId="0" borderId="11" xfId="0" applyNumberFormat="1" applyFont="1" applyBorder="1" applyAlignment="1">
      <alignment horizontal="center" vertical="center"/>
    </xf>
    <xf numFmtId="1" fontId="3" fillId="0" borderId="28" xfId="0" applyNumberFormat="1" applyFont="1" applyBorder="1" applyAlignment="1">
      <alignment horizontal="center" vertical="center"/>
    </xf>
    <xf numFmtId="2" fontId="3" fillId="0" borderId="27" xfId="0" applyNumberFormat="1" applyFont="1" applyBorder="1" applyAlignment="1">
      <alignment horizontal="center" vertical="center"/>
    </xf>
    <xf numFmtId="2" fontId="3" fillId="0" borderId="13" xfId="0" applyNumberFormat="1" applyFont="1" applyBorder="1" applyAlignment="1">
      <alignment horizontal="center" vertical="center"/>
    </xf>
    <xf numFmtId="1" fontId="9" fillId="0" borderId="11" xfId="0" applyNumberFormat="1" applyFont="1" applyBorder="1" applyAlignment="1">
      <alignment horizontal="center" vertical="center" wrapText="1"/>
    </xf>
    <xf numFmtId="1" fontId="9" fillId="0" borderId="7" xfId="1" applyNumberFormat="1" applyFont="1" applyBorder="1" applyAlignment="1">
      <alignment horizontal="center" vertical="center" wrapText="1"/>
    </xf>
    <xf numFmtId="1" fontId="9" fillId="8" borderId="7" xfId="0" applyNumberFormat="1" applyFont="1" applyFill="1" applyBorder="1" applyAlignment="1">
      <alignment horizontal="center" vertical="center"/>
    </xf>
    <xf numFmtId="1" fontId="9" fillId="8" borderId="9" xfId="0" applyNumberFormat="1" applyFont="1" applyFill="1" applyBorder="1" applyAlignment="1">
      <alignment horizontal="center" vertical="center"/>
    </xf>
    <xf numFmtId="1" fontId="9" fillId="0" borderId="27" xfId="0" applyNumberFormat="1" applyFont="1" applyBorder="1" applyAlignment="1">
      <alignment horizontal="center" vertical="center" wrapText="1"/>
    </xf>
    <xf numFmtId="1" fontId="9" fillId="0" borderId="15" xfId="1" applyNumberFormat="1" applyFont="1" applyBorder="1" applyAlignment="1">
      <alignment horizontal="center" vertical="center" wrapText="1"/>
    </xf>
    <xf numFmtId="1" fontId="9" fillId="8" borderId="15" xfId="0" applyNumberFormat="1" applyFont="1" applyFill="1" applyBorder="1" applyAlignment="1">
      <alignment horizontal="center" vertical="center"/>
    </xf>
    <xf numFmtId="1" fontId="9" fillId="8" borderId="28" xfId="0" applyNumberFormat="1" applyFont="1" applyFill="1" applyBorder="1" applyAlignment="1">
      <alignment horizontal="center" vertical="center"/>
    </xf>
    <xf numFmtId="1" fontId="9" fillId="0" borderId="13" xfId="0" applyNumberFormat="1" applyFont="1" applyBorder="1" applyAlignment="1">
      <alignment horizontal="center" vertical="center" wrapText="1"/>
    </xf>
    <xf numFmtId="1" fontId="9" fillId="0" borderId="6" xfId="1" applyNumberFormat="1" applyFont="1" applyBorder="1" applyAlignment="1">
      <alignment horizontal="center" vertical="center" wrapText="1"/>
    </xf>
    <xf numFmtId="1" fontId="9" fillId="8" borderId="6" xfId="0" applyNumberFormat="1" applyFont="1" applyFill="1" applyBorder="1" applyAlignment="1">
      <alignment horizontal="center" vertical="center"/>
    </xf>
    <xf numFmtId="1" fontId="9" fillId="8" borderId="12" xfId="0" applyNumberFormat="1" applyFont="1" applyFill="1" applyBorder="1" applyAlignment="1">
      <alignment horizontal="center" vertical="center"/>
    </xf>
    <xf numFmtId="1" fontId="3" fillId="0" borderId="2" xfId="43" applyNumberFormat="1" applyFont="1" applyFill="1" applyBorder="1" applyAlignment="1">
      <alignment horizontal="center"/>
    </xf>
    <xf numFmtId="165" fontId="3" fillId="0" borderId="6" xfId="1" applyNumberFormat="1" applyFont="1" applyFill="1" applyBorder="1" applyAlignment="1">
      <alignment horizontal="center" vertical="center"/>
    </xf>
    <xf numFmtId="1" fontId="3" fillId="0" borderId="6" xfId="43" applyNumberFormat="1" applyFont="1" applyFill="1" applyBorder="1" applyAlignment="1">
      <alignment horizontal="center" vertical="center"/>
    </xf>
    <xf numFmtId="170" fontId="34" fillId="4" borderId="0" xfId="46" applyFont="1" applyFill="1" applyBorder="1" applyAlignment="1">
      <alignment horizontal="center"/>
    </xf>
    <xf numFmtId="170" fontId="35" fillId="0" borderId="2" xfId="46" applyFont="1" applyFill="1" applyBorder="1" applyAlignment="1">
      <alignment vertical="center"/>
    </xf>
    <xf numFmtId="0" fontId="35" fillId="0" borderId="2" xfId="0" applyFont="1" applyBorder="1" applyAlignment="1">
      <alignment vertical="center" wrapText="1"/>
    </xf>
    <xf numFmtId="1" fontId="4" fillId="0" borderId="7" xfId="0" applyNumberFormat="1" applyFont="1" applyBorder="1" applyAlignment="1">
      <alignment horizontal="center"/>
    </xf>
    <xf numFmtId="1" fontId="4" fillId="0" borderId="15" xfId="0" applyNumberFormat="1" applyFont="1" applyBorder="1" applyAlignment="1">
      <alignment horizontal="center"/>
    </xf>
    <xf numFmtId="1" fontId="4" fillId="0" borderId="6" xfId="0" applyNumberFormat="1" applyFont="1" applyBorder="1" applyAlignment="1">
      <alignment horizontal="center" vertical="center" wrapText="1"/>
    </xf>
    <xf numFmtId="170" fontId="10" fillId="18" borderId="27" xfId="46" applyFont="1" applyFill="1" applyBorder="1" applyAlignment="1">
      <alignment horizontal="center" wrapText="1"/>
    </xf>
    <xf numFmtId="4" fontId="9" fillId="0" borderId="10" xfId="0" applyNumberFormat="1" applyFont="1" applyFill="1" applyBorder="1" applyAlignment="1">
      <alignment horizontal="center" vertical="center"/>
    </xf>
    <xf numFmtId="0" fontId="3" fillId="0" borderId="0" xfId="0" applyFont="1" applyAlignment="1">
      <alignment horizontal="center" vertical="center"/>
    </xf>
    <xf numFmtId="2" fontId="8" fillId="0" borderId="0" xfId="0" applyNumberFormat="1" applyFont="1" applyFill="1" applyBorder="1" applyAlignment="1">
      <alignment horizontal="center" vertical="center" wrapText="1"/>
    </xf>
    <xf numFmtId="0" fontId="10" fillId="0" borderId="5" xfId="0" applyFont="1" applyFill="1" applyBorder="1" applyAlignment="1">
      <alignment horizontal="center" vertical="center"/>
    </xf>
    <xf numFmtId="0" fontId="10" fillId="0" borderId="16" xfId="0" applyFont="1" applyFill="1" applyBorder="1" applyAlignment="1">
      <alignment horizontal="center" vertical="center"/>
    </xf>
    <xf numFmtId="0" fontId="7" fillId="4" borderId="2" xfId="0" applyFont="1" applyFill="1" applyBorder="1" applyAlignment="1">
      <alignment horizontal="center" vertical="center"/>
    </xf>
    <xf numFmtId="0" fontId="11" fillId="33" borderId="0" xfId="0" applyFont="1" applyFill="1"/>
    <xf numFmtId="0" fontId="10" fillId="33" borderId="0" xfId="0" applyFont="1" applyFill="1" applyAlignment="1">
      <alignment horizontal="center" wrapText="1"/>
    </xf>
    <xf numFmtId="0" fontId="8" fillId="34" borderId="0" xfId="0" applyFont="1" applyFill="1" applyAlignment="1">
      <alignment vertical="center" wrapText="1"/>
    </xf>
    <xf numFmtId="1" fontId="10" fillId="34" borderId="0" xfId="0" applyNumberFormat="1" applyFont="1" applyFill="1" applyAlignment="1">
      <alignment horizontal="center"/>
    </xf>
    <xf numFmtId="0" fontId="0" fillId="0" borderId="0" xfId="0" applyAlignment="1">
      <alignment horizontal="center"/>
    </xf>
    <xf numFmtId="0" fontId="2" fillId="0" borderId="0" xfId="0" applyFont="1" applyAlignment="1">
      <alignment vertical="center" wrapText="1"/>
    </xf>
    <xf numFmtId="3" fontId="10" fillId="0" borderId="13" xfId="0" applyNumberFormat="1" applyFont="1" applyFill="1" applyBorder="1" applyAlignment="1">
      <alignment horizontal="center" vertical="center" wrapText="1"/>
    </xf>
    <xf numFmtId="0" fontId="4" fillId="0" borderId="10" xfId="1" applyNumberFormat="1" applyFont="1" applyBorder="1" applyAlignment="1">
      <alignment horizontal="center" vertical="center" wrapText="1"/>
    </xf>
    <xf numFmtId="1" fontId="4" fillId="0" borderId="15" xfId="0" applyNumberFormat="1" applyFont="1" applyBorder="1" applyAlignment="1">
      <alignment horizontal="center" vertical="center" wrapText="1"/>
    </xf>
    <xf numFmtId="1" fontId="4" fillId="0" borderId="7" xfId="0" applyNumberFormat="1" applyFont="1" applyBorder="1" applyAlignment="1">
      <alignment horizontal="center" vertical="center" wrapText="1"/>
    </xf>
    <xf numFmtId="0" fontId="3" fillId="18" borderId="9" xfId="0" applyNumberFormat="1" applyFont="1" applyFill="1" applyBorder="1" applyAlignment="1">
      <alignment horizontal="center" vertical="center"/>
    </xf>
    <xf numFmtId="0" fontId="3" fillId="18" borderId="11" xfId="0" applyNumberFormat="1" applyFont="1" applyFill="1" applyBorder="1" applyAlignment="1">
      <alignment horizontal="center" vertical="center"/>
    </xf>
    <xf numFmtId="0" fontId="4" fillId="0" borderId="28" xfId="0" applyNumberFormat="1" applyFont="1" applyBorder="1" applyAlignment="1">
      <alignment horizontal="center" vertical="center" wrapText="1"/>
    </xf>
    <xf numFmtId="0" fontId="4" fillId="0" borderId="9" xfId="0" applyNumberFormat="1" applyFont="1" applyBorder="1" applyAlignment="1">
      <alignment horizontal="center" vertical="center" wrapText="1"/>
    </xf>
    <xf numFmtId="0" fontId="11" fillId="5" borderId="7" xfId="0" applyNumberFormat="1" applyFont="1" applyFill="1" applyBorder="1" applyAlignment="1">
      <alignment horizontal="center" vertical="center"/>
    </xf>
    <xf numFmtId="0" fontId="3" fillId="18" borderId="7" xfId="1" applyNumberFormat="1" applyFont="1" applyFill="1" applyBorder="1" applyAlignment="1">
      <alignment horizontal="center" vertical="center"/>
    </xf>
    <xf numFmtId="0" fontId="3" fillId="18" borderId="50" xfId="1" applyNumberFormat="1" applyFont="1" applyFill="1" applyBorder="1" applyAlignment="1">
      <alignment horizontal="center" vertical="center"/>
    </xf>
    <xf numFmtId="0" fontId="3" fillId="18" borderId="50" xfId="0" applyNumberFormat="1" applyFont="1" applyFill="1" applyBorder="1" applyAlignment="1">
      <alignment horizontal="center" vertical="center"/>
    </xf>
    <xf numFmtId="0" fontId="4" fillId="0" borderId="15" xfId="0" applyNumberFormat="1" applyFont="1" applyBorder="1"/>
    <xf numFmtId="0" fontId="4" fillId="0" borderId="6" xfId="0" applyNumberFormat="1" applyFont="1" applyBorder="1"/>
    <xf numFmtId="0" fontId="3" fillId="0" borderId="6" xfId="1" applyNumberFormat="1" applyFont="1" applyFill="1" applyBorder="1" applyAlignment="1">
      <alignment horizontal="center"/>
    </xf>
    <xf numFmtId="1" fontId="4" fillId="0" borderId="51" xfId="1" applyNumberFormat="1" applyFont="1" applyFill="1" applyBorder="1" applyAlignment="1">
      <alignment horizontal="center" vertical="center" wrapText="1"/>
    </xf>
    <xf numFmtId="0" fontId="3" fillId="0" borderId="6" xfId="0" applyNumberFormat="1" applyFont="1" applyFill="1" applyBorder="1" applyAlignment="1">
      <alignment horizontal="center"/>
    </xf>
    <xf numFmtId="1" fontId="4" fillId="0" borderId="13" xfId="0" applyNumberFormat="1" applyFont="1" applyFill="1" applyBorder="1" applyAlignment="1">
      <alignment horizontal="center" vertical="center" wrapText="1"/>
    </xf>
    <xf numFmtId="1" fontId="4" fillId="0" borderId="51" xfId="0" applyNumberFormat="1" applyFont="1" applyFill="1" applyBorder="1" applyAlignment="1">
      <alignment horizontal="center" vertical="center" wrapText="1"/>
    </xf>
    <xf numFmtId="0" fontId="76" fillId="0" borderId="0" xfId="0" applyFont="1" applyAlignment="1">
      <alignment horizontal="center" vertical="center"/>
    </xf>
    <xf numFmtId="0" fontId="0" fillId="7" borderId="0" xfId="0" applyFill="1"/>
    <xf numFmtId="1" fontId="13" fillId="6" borderId="0" xfId="0" applyNumberFormat="1" applyFont="1" applyFill="1" applyAlignment="1">
      <alignment horizontal="center"/>
    </xf>
    <xf numFmtId="1" fontId="0" fillId="7" borderId="0" xfId="0" applyNumberFormat="1" applyFill="1" applyAlignment="1">
      <alignment horizontal="center"/>
    </xf>
    <xf numFmtId="1" fontId="0" fillId="0" borderId="0" xfId="0" applyNumberFormat="1"/>
    <xf numFmtId="169" fontId="0" fillId="7" borderId="0" xfId="0" applyNumberFormat="1" applyFill="1" applyAlignment="1">
      <alignment horizontal="center"/>
    </xf>
    <xf numFmtId="0" fontId="78" fillId="35" borderId="16" xfId="0" applyFont="1" applyFill="1" applyBorder="1" applyAlignment="1">
      <alignment horizontal="right" vertical="center"/>
    </xf>
    <xf numFmtId="0" fontId="77" fillId="35" borderId="5" xfId="0" applyFont="1" applyFill="1" applyBorder="1" applyAlignment="1">
      <alignment horizontal="left" vertical="center"/>
    </xf>
    <xf numFmtId="0" fontId="77" fillId="35" borderId="16" xfId="0" applyFont="1" applyFill="1" applyBorder="1" applyAlignment="1">
      <alignment horizontal="left" vertical="center"/>
    </xf>
    <xf numFmtId="0" fontId="77" fillId="35" borderId="8" xfId="0" applyFont="1" applyFill="1" applyBorder="1" applyAlignment="1">
      <alignment horizontal="left" vertical="center"/>
    </xf>
    <xf numFmtId="0" fontId="77" fillId="35" borderId="5" xfId="0" applyFont="1" applyFill="1" applyBorder="1" applyAlignment="1">
      <alignment horizontal="centerContinuous" vertical="center"/>
    </xf>
    <xf numFmtId="0" fontId="5" fillId="0" borderId="0" xfId="0" applyFont="1"/>
    <xf numFmtId="0" fontId="77" fillId="35" borderId="16" xfId="0" applyFont="1" applyFill="1" applyBorder="1" applyAlignment="1">
      <alignment horizontal="centerContinuous" vertical="center"/>
    </xf>
    <xf numFmtId="0" fontId="72" fillId="0" borderId="0" xfId="0" applyFont="1" applyAlignment="1">
      <alignment horizontal="centerContinuous"/>
    </xf>
    <xf numFmtId="3" fontId="72" fillId="0" borderId="0" xfId="0" applyNumberFormat="1" applyFont="1" applyAlignment="1">
      <alignment horizontal="center"/>
    </xf>
    <xf numFmtId="0" fontId="3" fillId="0" borderId="9" xfId="0" applyFont="1" applyBorder="1" applyAlignment="1">
      <alignment horizontal="center" vertical="center"/>
    </xf>
    <xf numFmtId="0" fontId="3" fillId="0" borderId="28" xfId="0" applyFont="1" applyBorder="1" applyAlignment="1">
      <alignment horizontal="center" vertical="center"/>
    </xf>
    <xf numFmtId="0" fontId="3" fillId="0" borderId="12" xfId="0" applyFont="1" applyBorder="1" applyAlignment="1">
      <alignment horizontal="center" vertical="center"/>
    </xf>
    <xf numFmtId="0" fontId="3" fillId="0" borderId="0" xfId="0" applyFont="1" applyAlignment="1">
      <alignment horizontal="center" vertical="center"/>
    </xf>
    <xf numFmtId="0" fontId="3" fillId="0" borderId="1" xfId="0" applyFont="1" applyBorder="1" applyAlignment="1">
      <alignment horizontal="center" vertical="center"/>
    </xf>
    <xf numFmtId="0" fontId="3" fillId="0" borderId="28" xfId="0" applyFont="1" applyBorder="1" applyAlignment="1">
      <alignment horizontal="center"/>
    </xf>
    <xf numFmtId="0" fontId="10" fillId="0" borderId="1" xfId="0" applyFont="1" applyBorder="1"/>
    <xf numFmtId="10" fontId="3" fillId="0" borderId="10" xfId="0" applyNumberFormat="1" applyFont="1" applyBorder="1" applyAlignment="1">
      <alignment horizontal="center"/>
    </xf>
    <xf numFmtId="0" fontId="10" fillId="20" borderId="28" xfId="4" applyFont="1" applyFill="1" applyBorder="1" applyAlignment="1">
      <alignment vertical="center"/>
    </xf>
    <xf numFmtId="0" fontId="10" fillId="20" borderId="0" xfId="4" applyNumberFormat="1" applyFont="1" applyFill="1" applyBorder="1" applyAlignment="1">
      <alignment horizontal="center" vertical="center"/>
    </xf>
    <xf numFmtId="0" fontId="10" fillId="20" borderId="12" xfId="4" applyFont="1" applyFill="1" applyBorder="1" applyAlignment="1">
      <alignment vertical="center"/>
    </xf>
    <xf numFmtId="2" fontId="10" fillId="0" borderId="0" xfId="0" applyNumberFormat="1" applyFont="1" applyAlignment="1">
      <alignment horizontal="center" vertical="center"/>
    </xf>
    <xf numFmtId="0" fontId="10" fillId="0" borderId="10" xfId="0" applyFont="1" applyBorder="1" applyAlignment="1">
      <alignment horizontal="left" vertical="center"/>
    </xf>
    <xf numFmtId="1" fontId="10" fillId="0" borderId="10" xfId="0" applyNumberFormat="1" applyFont="1" applyBorder="1" applyAlignment="1">
      <alignment horizontal="center" vertical="center"/>
    </xf>
    <xf numFmtId="3" fontId="8" fillId="0" borderId="10" xfId="0" applyNumberFormat="1" applyFont="1" applyBorder="1" applyAlignment="1">
      <alignment horizontal="center" vertical="center"/>
    </xf>
    <xf numFmtId="2" fontId="9" fillId="0" borderId="10" xfId="0" applyNumberFormat="1" applyFont="1" applyBorder="1" applyAlignment="1">
      <alignment horizontal="center" vertical="center"/>
    </xf>
    <xf numFmtId="10" fontId="9" fillId="0" borderId="10" xfId="3" applyNumberFormat="1" applyFont="1" applyFill="1" applyBorder="1" applyAlignment="1">
      <alignment horizontal="center" vertical="center"/>
    </xf>
    <xf numFmtId="2" fontId="3" fillId="0" borderId="10" xfId="0" applyNumberFormat="1" applyFont="1" applyBorder="1" applyAlignment="1">
      <alignment horizontal="center"/>
    </xf>
    <xf numFmtId="0" fontId="10" fillId="0" borderId="0" xfId="0" applyFont="1" applyAlignment="1">
      <alignment horizontal="left" vertical="center"/>
    </xf>
    <xf numFmtId="1" fontId="10" fillId="0" borderId="0" xfId="0" applyNumberFormat="1" applyFont="1" applyAlignment="1">
      <alignment horizontal="center" vertical="center"/>
    </xf>
    <xf numFmtId="3" fontId="8" fillId="0" borderId="0" xfId="0" applyNumberFormat="1" applyFont="1" applyAlignment="1">
      <alignment horizontal="center" vertical="center"/>
    </xf>
    <xf numFmtId="2" fontId="9" fillId="0" borderId="0" xfId="0" applyNumberFormat="1" applyFont="1" applyAlignment="1">
      <alignment horizontal="center" vertical="center"/>
    </xf>
    <xf numFmtId="2" fontId="9" fillId="0" borderId="0" xfId="3" applyNumberFormat="1" applyFont="1" applyFill="1" applyBorder="1" applyAlignment="1">
      <alignment horizontal="center" vertical="center"/>
    </xf>
    <xf numFmtId="2" fontId="3" fillId="0" borderId="0" xfId="0" applyNumberFormat="1" applyFont="1" applyAlignment="1">
      <alignment horizontal="center"/>
    </xf>
    <xf numFmtId="0" fontId="10" fillId="0" borderId="12" xfId="0" applyFont="1" applyBorder="1" applyAlignment="1">
      <alignment horizontal="center" vertical="center"/>
    </xf>
    <xf numFmtId="0" fontId="10" fillId="4" borderId="1" xfId="0" applyFont="1" applyFill="1" applyBorder="1" applyAlignment="1">
      <alignment horizontal="center" vertical="center"/>
    </xf>
    <xf numFmtId="1" fontId="10" fillId="4" borderId="1" xfId="0" applyNumberFormat="1" applyFont="1" applyFill="1" applyBorder="1" applyAlignment="1">
      <alignment horizontal="center" vertical="center"/>
    </xf>
    <xf numFmtId="2" fontId="3" fillId="0" borderId="1" xfId="0" applyNumberFormat="1" applyFont="1" applyBorder="1" applyAlignment="1">
      <alignment horizontal="center"/>
    </xf>
    <xf numFmtId="2" fontId="8" fillId="0" borderId="1" xfId="0" applyNumberFormat="1" applyFont="1" applyBorder="1" applyAlignment="1">
      <alignment horizontal="center" vertical="center"/>
    </xf>
    <xf numFmtId="2" fontId="10" fillId="0" borderId="1" xfId="0" applyNumberFormat="1" applyFont="1" applyBorder="1" applyAlignment="1">
      <alignment horizontal="center"/>
    </xf>
    <xf numFmtId="0" fontId="10" fillId="0" borderId="9" xfId="0" applyFont="1" applyBorder="1" applyAlignment="1">
      <alignment horizontal="center" vertical="center"/>
    </xf>
    <xf numFmtId="0" fontId="10" fillId="0" borderId="10" xfId="0" applyFont="1" applyBorder="1" applyAlignment="1">
      <alignment horizontal="center" vertical="center"/>
    </xf>
    <xf numFmtId="2" fontId="8" fillId="0" borderId="10" xfId="0" applyNumberFormat="1" applyFont="1" applyBorder="1" applyAlignment="1">
      <alignment horizontal="center" vertical="center"/>
    </xf>
    <xf numFmtId="0" fontId="4" fillId="0" borderId="0" xfId="0" applyFont="1" applyAlignment="1">
      <alignment horizontal="center" vertical="center"/>
    </xf>
    <xf numFmtId="181" fontId="9" fillId="0" borderId="0" xfId="0" applyNumberFormat="1" applyFont="1" applyAlignment="1">
      <alignment horizontal="center" vertical="center"/>
    </xf>
    <xf numFmtId="3" fontId="9" fillId="0" borderId="0" xfId="0" applyNumberFormat="1" applyFont="1" applyAlignment="1">
      <alignment horizontal="center" vertical="center"/>
    </xf>
    <xf numFmtId="0" fontId="10" fillId="0" borderId="28" xfId="0" applyFont="1" applyBorder="1" applyAlignment="1">
      <alignment horizontal="center" vertical="center"/>
    </xf>
    <xf numFmtId="0" fontId="10" fillId="0" borderId="0" xfId="0" applyFont="1" applyAlignment="1">
      <alignment horizontal="center" vertical="center"/>
    </xf>
    <xf numFmtId="3" fontId="9" fillId="0" borderId="9" xfId="0" applyNumberFormat="1" applyFont="1" applyBorder="1" applyAlignment="1">
      <alignment horizontal="center" vertical="center"/>
    </xf>
    <xf numFmtId="10" fontId="3" fillId="0" borderId="0" xfId="3" applyNumberFormat="1" applyFont="1" applyFill="1" applyBorder="1" applyAlignment="1">
      <alignment horizontal="center" vertical="center"/>
    </xf>
    <xf numFmtId="2" fontId="3" fillId="0" borderId="0" xfId="0" applyNumberFormat="1" applyFont="1" applyAlignment="1">
      <alignment horizontal="center" vertical="center"/>
    </xf>
    <xf numFmtId="0" fontId="10" fillId="0" borderId="1" xfId="0" applyFont="1" applyBorder="1" applyAlignment="1">
      <alignment horizontal="center" vertical="center"/>
    </xf>
    <xf numFmtId="3" fontId="8" fillId="0" borderId="12" xfId="0" applyNumberFormat="1" applyFont="1" applyBorder="1" applyAlignment="1">
      <alignment horizontal="center" vertical="center"/>
    </xf>
    <xf numFmtId="2" fontId="8" fillId="26" borderId="1" xfId="0" applyNumberFormat="1" applyFont="1" applyFill="1" applyBorder="1" applyAlignment="1">
      <alignment horizontal="center" vertical="center"/>
    </xf>
    <xf numFmtId="0" fontId="79" fillId="0" borderId="28" xfId="0" applyFont="1" applyBorder="1" applyAlignment="1">
      <alignment horizontal="center" vertical="center"/>
    </xf>
    <xf numFmtId="0" fontId="79" fillId="0" borderId="0" xfId="0" applyFont="1" applyAlignment="1">
      <alignment horizontal="center" vertical="center"/>
    </xf>
    <xf numFmtId="3" fontId="79" fillId="0" borderId="0" xfId="0" applyNumberFormat="1" applyFont="1" applyAlignment="1">
      <alignment horizontal="center" vertical="center"/>
    </xf>
    <xf numFmtId="2" fontId="79" fillId="0" borderId="0" xfId="0" applyNumberFormat="1" applyFont="1" applyAlignment="1">
      <alignment horizontal="center" vertical="center"/>
    </xf>
    <xf numFmtId="2" fontId="79" fillId="0" borderId="0" xfId="0" applyNumberFormat="1" applyFont="1" applyAlignment="1">
      <alignment horizontal="center"/>
    </xf>
    <xf numFmtId="0" fontId="79" fillId="0" borderId="0" xfId="0" applyFont="1"/>
    <xf numFmtId="0" fontId="10" fillId="0" borderId="5" xfId="0" applyFont="1" applyBorder="1" applyAlignment="1">
      <alignment horizontal="center" vertical="center"/>
    </xf>
    <xf numFmtId="3" fontId="8" fillId="0" borderId="16" xfId="0" applyNumberFormat="1" applyFont="1" applyBorder="1" applyAlignment="1">
      <alignment horizontal="center" vertical="center"/>
    </xf>
    <xf numFmtId="2" fontId="8" fillId="0" borderId="16" xfId="0" applyNumberFormat="1" applyFont="1" applyBorder="1" applyAlignment="1">
      <alignment horizontal="center" vertical="center"/>
    </xf>
    <xf numFmtId="0" fontId="7" fillId="20" borderId="9" xfId="5" applyFont="1" applyFill="1" applyBorder="1" applyAlignment="1">
      <alignment horizontal="center" vertical="center"/>
    </xf>
    <xf numFmtId="0" fontId="7" fillId="20" borderId="10" xfId="5" applyFont="1" applyFill="1" applyBorder="1" applyAlignment="1">
      <alignment horizontal="center" vertical="center"/>
    </xf>
    <xf numFmtId="2" fontId="8" fillId="20" borderId="10" xfId="6" applyNumberFormat="1" applyFont="1" applyFill="1" applyBorder="1" applyAlignment="1">
      <alignment horizontal="center" vertical="center"/>
    </xf>
    <xf numFmtId="2" fontId="9" fillId="20" borderId="11" xfId="0" applyNumberFormat="1" applyFont="1" applyFill="1" applyBorder="1" applyAlignment="1">
      <alignment horizontal="center" vertical="center"/>
    </xf>
    <xf numFmtId="0" fontId="7" fillId="20" borderId="28" xfId="0" applyFont="1" applyFill="1" applyBorder="1" applyAlignment="1">
      <alignment horizontal="center" vertical="center"/>
    </xf>
    <xf numFmtId="0" fontId="7" fillId="20" borderId="0" xfId="0" applyFont="1" applyFill="1" applyAlignment="1">
      <alignment horizontal="center" vertical="center"/>
    </xf>
    <xf numFmtId="10" fontId="8" fillId="20" borderId="0" xfId="3" applyNumberFormat="1" applyFont="1" applyFill="1" applyBorder="1" applyAlignment="1">
      <alignment horizontal="center" vertical="center"/>
    </xf>
    <xf numFmtId="2" fontId="9" fillId="20" borderId="27" xfId="0" applyNumberFormat="1" applyFont="1" applyFill="1" applyBorder="1" applyAlignment="1">
      <alignment horizontal="center" vertical="center"/>
    </xf>
    <xf numFmtId="0" fontId="7" fillId="20" borderId="12" xfId="0" applyFont="1" applyFill="1" applyBorder="1" applyAlignment="1">
      <alignment horizontal="center" vertical="center"/>
    </xf>
    <xf numFmtId="0" fontId="7" fillId="20" borderId="1" xfId="0" applyFont="1" applyFill="1" applyBorder="1" applyAlignment="1">
      <alignment horizontal="center" vertical="center"/>
    </xf>
    <xf numFmtId="2" fontId="7" fillId="20" borderId="1" xfId="6" applyNumberFormat="1" applyFont="1" applyFill="1" applyBorder="1" applyAlignment="1">
      <alignment horizontal="center"/>
    </xf>
    <xf numFmtId="2" fontId="9" fillId="20" borderId="13" xfId="0" applyNumberFormat="1" applyFont="1" applyFill="1" applyBorder="1" applyAlignment="1">
      <alignment horizontal="center" vertical="center"/>
    </xf>
    <xf numFmtId="0" fontId="7" fillId="20" borderId="5" xfId="0" applyFont="1" applyFill="1" applyBorder="1" applyAlignment="1">
      <alignment horizontal="center" vertical="center"/>
    </xf>
    <xf numFmtId="0" fontId="7" fillId="20" borderId="16" xfId="0" applyFont="1" applyFill="1" applyBorder="1" applyAlignment="1">
      <alignment horizontal="center" vertical="center"/>
    </xf>
    <xf numFmtId="2" fontId="7" fillId="20" borderId="16" xfId="6" applyNumberFormat="1" applyFont="1" applyFill="1" applyBorder="1" applyAlignment="1">
      <alignment horizontal="center"/>
    </xf>
    <xf numFmtId="2" fontId="9" fillId="20" borderId="8" xfId="0" applyNumberFormat="1" applyFont="1" applyFill="1" applyBorder="1" applyAlignment="1">
      <alignment horizontal="center" vertical="center"/>
    </xf>
    <xf numFmtId="2" fontId="3" fillId="0" borderId="10" xfId="6" applyNumberFormat="1" applyFont="1" applyFill="1" applyBorder="1" applyAlignment="1">
      <alignment horizontal="center"/>
    </xf>
    <xf numFmtId="2" fontId="3" fillId="0" borderId="11" xfId="6" applyNumberFormat="1" applyFont="1" applyFill="1" applyBorder="1" applyAlignment="1">
      <alignment horizontal="center"/>
    </xf>
    <xf numFmtId="0" fontId="46" fillId="0" borderId="0" xfId="0" applyFont="1" applyAlignment="1">
      <alignment horizontal="center"/>
    </xf>
    <xf numFmtId="2" fontId="47" fillId="0" borderId="0" xfId="6" applyNumberFormat="1" applyFont="1" applyFill="1" applyBorder="1" applyAlignment="1">
      <alignment horizontal="center"/>
    </xf>
    <xf numFmtId="2" fontId="47" fillId="0" borderId="27" xfId="6" applyNumberFormat="1" applyFont="1" applyFill="1" applyBorder="1" applyAlignment="1">
      <alignment horizontal="center"/>
    </xf>
    <xf numFmtId="0" fontId="46" fillId="0" borderId="1" xfId="0" applyFont="1" applyBorder="1" applyAlignment="1">
      <alignment horizontal="center"/>
    </xf>
    <xf numFmtId="2" fontId="47" fillId="0" borderId="1" xfId="6" applyNumberFormat="1" applyFont="1" applyFill="1" applyBorder="1" applyAlignment="1">
      <alignment horizontal="center"/>
    </xf>
    <xf numFmtId="2" fontId="47" fillId="0" borderId="13" xfId="6" applyNumberFormat="1" applyFont="1" applyFill="1" applyBorder="1" applyAlignment="1">
      <alignment horizontal="center"/>
    </xf>
    <xf numFmtId="2" fontId="8" fillId="0" borderId="0" xfId="0" applyNumberFormat="1" applyFont="1" applyAlignment="1">
      <alignment horizontal="center" vertical="center" wrapText="1"/>
    </xf>
    <xf numFmtId="0" fontId="3" fillId="0" borderId="2" xfId="0" applyFont="1" applyBorder="1" applyAlignment="1">
      <alignment horizontal="left"/>
    </xf>
    <xf numFmtId="169" fontId="10" fillId="0" borderId="2" xfId="0" applyNumberFormat="1" applyFont="1" applyBorder="1" applyAlignment="1" applyProtection="1">
      <alignment horizontal="center"/>
      <protection locked="0"/>
    </xf>
    <xf numFmtId="167" fontId="10" fillId="0" borderId="2" xfId="0" applyNumberFormat="1" applyFont="1" applyBorder="1" applyAlignment="1" applyProtection="1">
      <alignment horizontal="center"/>
      <protection locked="0"/>
    </xf>
    <xf numFmtId="2" fontId="9" fillId="0" borderId="0" xfId="0" applyNumberFormat="1" applyFont="1" applyAlignment="1">
      <alignment horizontal="center" vertical="center" wrapText="1"/>
    </xf>
    <xf numFmtId="0" fontId="3" fillId="0" borderId="10" xfId="0" applyFont="1" applyBorder="1"/>
    <xf numFmtId="169" fontId="3" fillId="0" borderId="0" xfId="3" applyNumberFormat="1" applyFont="1" applyFill="1" applyBorder="1" applyAlignment="1">
      <alignment horizontal="center"/>
    </xf>
    <xf numFmtId="2" fontId="8" fillId="0" borderId="0" xfId="0" applyNumberFormat="1" applyFont="1" applyAlignment="1">
      <alignment horizontal="center" vertical="center"/>
    </xf>
    <xf numFmtId="165" fontId="0" fillId="0" borderId="0" xfId="1" applyNumberFormat="1" applyFont="1"/>
    <xf numFmtId="165" fontId="13" fillId="6" borderId="0" xfId="1" applyNumberFormat="1" applyFont="1" applyFill="1" applyAlignment="1">
      <alignment horizontal="center"/>
    </xf>
    <xf numFmtId="1" fontId="0" fillId="0" borderId="0" xfId="0" quotePrefix="1" applyNumberFormat="1" applyAlignment="1">
      <alignment horizontal="center" vertical="center" wrapText="1"/>
    </xf>
    <xf numFmtId="0" fontId="78" fillId="35" borderId="16" xfId="0" applyFont="1" applyFill="1" applyBorder="1" applyAlignment="1">
      <alignment horizontal="centerContinuous" vertical="center"/>
    </xf>
    <xf numFmtId="3" fontId="72" fillId="0" borderId="0" xfId="0" applyNumberFormat="1" applyFont="1" applyAlignment="1">
      <alignment horizontal="centerContinuous"/>
    </xf>
    <xf numFmtId="0" fontId="0" fillId="0" borderId="0" xfId="0" applyAlignment="1">
      <alignment horizontal="centerContinuous"/>
    </xf>
    <xf numFmtId="0" fontId="72" fillId="0" borderId="0" xfId="0" applyFont="1" applyAlignment="1">
      <alignment horizontal="left" indent="6"/>
    </xf>
    <xf numFmtId="0" fontId="0" fillId="0" borderId="0" xfId="0" quotePrefix="1"/>
    <xf numFmtId="3" fontId="72" fillId="0" borderId="0" xfId="0" quotePrefix="1" applyNumberFormat="1" applyFont="1" applyAlignment="1">
      <alignment horizontal="centerContinuous"/>
    </xf>
    <xf numFmtId="3" fontId="72" fillId="0" borderId="0" xfId="0" quotePrefix="1" applyNumberFormat="1" applyFont="1" applyAlignment="1">
      <alignment horizontal="center"/>
    </xf>
    <xf numFmtId="0" fontId="3" fillId="0" borderId="28" xfId="0" applyFont="1" applyBorder="1" applyAlignment="1">
      <alignment horizontal="center" vertical="center"/>
    </xf>
    <xf numFmtId="9" fontId="4" fillId="0" borderId="15" xfId="3" applyFont="1" applyBorder="1" applyAlignment="1">
      <alignment horizontal="center" vertical="center"/>
    </xf>
    <xf numFmtId="9" fontId="4" fillId="0" borderId="6" xfId="3" applyFont="1" applyBorder="1" applyAlignment="1">
      <alignment horizontal="center" vertical="center"/>
    </xf>
    <xf numFmtId="1" fontId="10" fillId="33" borderId="0" xfId="0" applyNumberFormat="1" applyFont="1" applyFill="1" applyAlignment="1">
      <alignment horizontal="center" vertical="center"/>
    </xf>
    <xf numFmtId="0" fontId="3" fillId="0" borderId="15" xfId="0" applyFont="1" applyBorder="1" applyAlignment="1">
      <alignment horizontal="center" vertical="center"/>
    </xf>
    <xf numFmtId="0" fontId="3" fillId="0" borderId="6" xfId="0" applyFont="1" applyBorder="1" applyAlignment="1">
      <alignment horizontal="center" vertical="center"/>
    </xf>
    <xf numFmtId="0" fontId="3" fillId="0" borderId="7" xfId="0" applyFont="1" applyBorder="1" applyAlignment="1">
      <alignment horizontal="center" vertical="center"/>
    </xf>
    <xf numFmtId="0" fontId="3" fillId="0" borderId="9" xfId="0" applyFont="1" applyBorder="1" applyAlignment="1">
      <alignment horizontal="center" vertical="center"/>
    </xf>
    <xf numFmtId="0" fontId="3" fillId="0" borderId="12" xfId="0" applyFont="1" applyBorder="1" applyAlignment="1">
      <alignment horizontal="center" vertical="center"/>
    </xf>
    <xf numFmtId="0" fontId="3" fillId="0" borderId="28" xfId="0" applyFont="1" applyBorder="1" applyAlignment="1">
      <alignment horizontal="center" vertical="center"/>
    </xf>
    <xf numFmtId="0" fontId="3" fillId="0" borderId="10" xfId="0" applyFont="1" applyBorder="1" applyAlignment="1">
      <alignment horizontal="center" vertical="center"/>
    </xf>
    <xf numFmtId="0" fontId="3" fillId="0" borderId="0" xfId="0" applyFont="1" applyAlignment="1">
      <alignment horizontal="center" vertical="center"/>
    </xf>
    <xf numFmtId="0" fontId="3" fillId="0" borderId="28" xfId="0" applyFont="1" applyBorder="1" applyAlignment="1">
      <alignment horizontal="center"/>
    </xf>
    <xf numFmtId="0" fontId="3" fillId="0" borderId="27" xfId="0" applyFont="1" applyBorder="1" applyAlignment="1">
      <alignment horizontal="center"/>
    </xf>
    <xf numFmtId="0" fontId="3" fillId="0" borderId="9" xfId="0" applyFont="1" applyBorder="1" applyAlignment="1">
      <alignment horizontal="center" vertical="center"/>
    </xf>
    <xf numFmtId="0" fontId="3" fillId="0" borderId="28" xfId="0" applyFont="1" applyBorder="1" applyAlignment="1">
      <alignment horizontal="center" vertical="center"/>
    </xf>
    <xf numFmtId="0" fontId="3" fillId="0" borderId="12" xfId="0" applyFont="1" applyBorder="1" applyAlignment="1">
      <alignment horizontal="center" vertical="center"/>
    </xf>
    <xf numFmtId="0" fontId="3" fillId="0" borderId="0" xfId="0" applyFont="1" applyAlignment="1">
      <alignment horizontal="center" vertical="center"/>
    </xf>
    <xf numFmtId="0" fontId="3" fillId="0" borderId="1" xfId="0" applyFont="1" applyBorder="1" applyAlignment="1">
      <alignment horizontal="center" vertical="center"/>
    </xf>
    <xf numFmtId="2" fontId="8" fillId="0" borderId="0" xfId="0" applyNumberFormat="1" applyFont="1" applyAlignment="1">
      <alignment horizontal="center" vertical="center" wrapText="1"/>
    </xf>
    <xf numFmtId="0" fontId="10" fillId="0" borderId="5" xfId="0" applyFont="1" applyBorder="1" applyAlignment="1">
      <alignment horizontal="center" vertical="center"/>
    </xf>
    <xf numFmtId="0" fontId="10" fillId="0" borderId="16" xfId="0" applyFont="1" applyBorder="1" applyAlignment="1">
      <alignment horizontal="center" vertical="center"/>
    </xf>
    <xf numFmtId="0" fontId="10" fillId="20" borderId="10" xfId="4" applyFont="1" applyFill="1" applyBorder="1" applyAlignment="1">
      <alignment horizontal="center" vertical="center"/>
    </xf>
    <xf numFmtId="0" fontId="3" fillId="0" borderId="28" xfId="0" applyFont="1" applyBorder="1" applyAlignment="1">
      <alignment horizontal="center"/>
    </xf>
    <xf numFmtId="1" fontId="4" fillId="0" borderId="12" xfId="0" applyNumberFormat="1" applyFont="1" applyBorder="1" applyAlignment="1">
      <alignment horizontal="center"/>
    </xf>
    <xf numFmtId="170" fontId="35" fillId="0" borderId="0" xfId="46" applyNumberFormat="1" applyFont="1" applyFill="1" applyBorder="1"/>
    <xf numFmtId="0" fontId="46" fillId="0" borderId="0" xfId="0" applyFont="1"/>
    <xf numFmtId="0" fontId="81" fillId="0" borderId="0" xfId="0" applyFont="1" applyAlignment="1">
      <alignment wrapText="1"/>
    </xf>
    <xf numFmtId="0" fontId="82" fillId="0" borderId="0" xfId="0" applyFont="1" applyAlignment="1">
      <alignment wrapText="1"/>
    </xf>
    <xf numFmtId="1" fontId="82" fillId="0" borderId="0" xfId="0" applyNumberFormat="1" applyFont="1" applyAlignment="1">
      <alignment horizontal="center"/>
    </xf>
    <xf numFmtId="1" fontId="80" fillId="0" borderId="0" xfId="0" applyNumberFormat="1" applyFont="1" applyAlignment="1">
      <alignment horizontal="center"/>
    </xf>
    <xf numFmtId="2" fontId="4" fillId="0" borderId="0" xfId="0" applyNumberFormat="1" applyFont="1" applyAlignment="1">
      <alignment horizontal="center" vertical="center"/>
    </xf>
    <xf numFmtId="1" fontId="0" fillId="7" borderId="0" xfId="0" applyNumberFormat="1" applyFill="1"/>
    <xf numFmtId="0" fontId="10" fillId="0" borderId="0" xfId="0" applyFont="1" applyAlignment="1">
      <alignment horizontal="left"/>
    </xf>
    <xf numFmtId="1" fontId="10" fillId="0" borderId="2" xfId="0" applyNumberFormat="1" applyFont="1" applyBorder="1" applyAlignment="1">
      <alignment horizontal="center"/>
    </xf>
    <xf numFmtId="1" fontId="3" fillId="0" borderId="0" xfId="0" applyNumberFormat="1" applyFont="1"/>
    <xf numFmtId="0" fontId="10" fillId="7" borderId="52" xfId="0" applyFont="1" applyFill="1" applyBorder="1"/>
    <xf numFmtId="0" fontId="84" fillId="7" borderId="52" xfId="0" applyFont="1" applyFill="1" applyBorder="1" applyAlignment="1">
      <alignment horizontal="center"/>
    </xf>
    <xf numFmtId="0" fontId="83" fillId="35" borderId="9" xfId="0" applyFont="1" applyFill="1" applyBorder="1" applyAlignment="1">
      <alignment horizontal="centerContinuous" vertical="center"/>
    </xf>
    <xf numFmtId="0" fontId="85" fillId="0" borderId="0" xfId="0" applyFont="1" applyAlignment="1">
      <alignment horizontal="centerContinuous" vertical="center" wrapText="1"/>
    </xf>
    <xf numFmtId="0" fontId="11" fillId="6" borderId="52" xfId="0" applyFont="1" applyFill="1" applyBorder="1" applyAlignment="1">
      <alignment horizontal="centerContinuous" vertical="center"/>
    </xf>
    <xf numFmtId="0" fontId="11" fillId="6" borderId="53" xfId="0" applyFont="1" applyFill="1" applyBorder="1" applyAlignment="1">
      <alignment horizontal="left"/>
    </xf>
    <xf numFmtId="0" fontId="11" fillId="6" borderId="54" xfId="0" applyFont="1" applyFill="1" applyBorder="1" applyAlignment="1">
      <alignment horizontal="center"/>
    </xf>
    <xf numFmtId="1" fontId="3" fillId="7" borderId="53" xfId="0" applyNumberFormat="1" applyFont="1" applyFill="1" applyBorder="1" applyAlignment="1">
      <alignment horizontal="center"/>
    </xf>
    <xf numFmtId="1" fontId="3" fillId="7" borderId="54" xfId="0" applyNumberFormat="1" applyFont="1" applyFill="1" applyBorder="1" applyAlignment="1">
      <alignment horizontal="center"/>
    </xf>
    <xf numFmtId="0" fontId="10" fillId="0" borderId="55" xfId="0" applyFont="1" applyBorder="1" applyAlignment="1">
      <alignment vertical="center"/>
    </xf>
    <xf numFmtId="1" fontId="3" fillId="0" borderId="56" xfId="0" applyNumberFormat="1" applyFont="1" applyBorder="1" applyAlignment="1">
      <alignment horizontal="center"/>
    </xf>
    <xf numFmtId="1" fontId="3" fillId="0" borderId="57" xfId="0" applyNumberFormat="1" applyFont="1" applyBorder="1" applyAlignment="1">
      <alignment horizontal="center"/>
    </xf>
    <xf numFmtId="1" fontId="10" fillId="0" borderId="55" xfId="0" applyNumberFormat="1" applyFont="1" applyBorder="1" applyAlignment="1">
      <alignment horizontal="center" vertical="center"/>
    </xf>
    <xf numFmtId="0" fontId="3" fillId="0" borderId="28" xfId="0" applyFont="1" applyBorder="1" applyAlignment="1">
      <alignment horizontal="center" vertical="center"/>
    </xf>
    <xf numFmtId="0" fontId="8" fillId="4" borderId="10" xfId="0" applyFont="1" applyFill="1" applyBorder="1" applyAlignment="1">
      <alignment horizontal="center" vertical="center"/>
    </xf>
    <xf numFmtId="0" fontId="7" fillId="4" borderId="2" xfId="0" applyFont="1" applyFill="1" applyBorder="1" applyAlignment="1">
      <alignment horizontal="center" vertical="center"/>
    </xf>
    <xf numFmtId="0" fontId="7" fillId="0" borderId="0" xfId="0" applyFont="1" applyAlignment="1">
      <alignment horizontal="left" vertical="center"/>
    </xf>
    <xf numFmtId="0" fontId="10" fillId="0" borderId="0" xfId="0" applyFont="1" applyAlignment="1">
      <alignment horizontal="left" vertical="center" indent="1"/>
    </xf>
    <xf numFmtId="0" fontId="3" fillId="0" borderId="9" xfId="0" applyFont="1" applyBorder="1" applyAlignment="1">
      <alignment horizontal="center" vertical="center"/>
    </xf>
    <xf numFmtId="0" fontId="3" fillId="0" borderId="12" xfId="0" applyFont="1" applyBorder="1" applyAlignment="1">
      <alignment horizontal="center" vertical="center"/>
    </xf>
    <xf numFmtId="0" fontId="3" fillId="0" borderId="28" xfId="0" applyFont="1" applyBorder="1" applyAlignment="1">
      <alignment horizontal="center" vertical="center"/>
    </xf>
    <xf numFmtId="0" fontId="3" fillId="0" borderId="0" xfId="0" applyFont="1" applyAlignment="1">
      <alignment horizontal="center" vertical="center"/>
    </xf>
    <xf numFmtId="0" fontId="3" fillId="0" borderId="1" xfId="0" applyFont="1" applyBorder="1" applyAlignment="1">
      <alignment horizontal="center" vertical="center"/>
    </xf>
    <xf numFmtId="2" fontId="8" fillId="0" borderId="0" xfId="0" applyNumberFormat="1" applyFont="1" applyAlignment="1">
      <alignment horizontal="center" vertical="center" wrapText="1"/>
    </xf>
    <xf numFmtId="0" fontId="10" fillId="0" borderId="5" xfId="0" applyFont="1" applyBorder="1" applyAlignment="1">
      <alignment horizontal="center" vertical="center"/>
    </xf>
    <xf numFmtId="0" fontId="10" fillId="0" borderId="16" xfId="0" applyFont="1" applyBorder="1" applyAlignment="1">
      <alignment horizontal="center" vertical="center"/>
    </xf>
    <xf numFmtId="0" fontId="10" fillId="20" borderId="10" xfId="4" applyFont="1" applyFill="1" applyBorder="1" applyAlignment="1">
      <alignment horizontal="center" vertical="center"/>
    </xf>
    <xf numFmtId="0" fontId="10" fillId="0" borderId="0" xfId="0" applyFont="1" applyAlignment="1">
      <alignment horizontal="center"/>
    </xf>
    <xf numFmtId="0" fontId="3" fillId="0" borderId="28" xfId="0" applyFont="1" applyBorder="1" applyAlignment="1">
      <alignment horizontal="center"/>
    </xf>
    <xf numFmtId="0" fontId="4" fillId="0" borderId="0" xfId="0" applyFont="1" applyAlignment="1" applyProtection="1">
      <alignment horizontal="center" vertical="center"/>
      <protection locked="0"/>
    </xf>
    <xf numFmtId="4" fontId="4" fillId="0" borderId="0" xfId="0" applyNumberFormat="1" applyFont="1" applyAlignment="1">
      <alignment horizontal="center" vertical="center"/>
    </xf>
    <xf numFmtId="3" fontId="4" fillId="0" borderId="0" xfId="0" applyNumberFormat="1" applyFont="1" applyAlignment="1" applyProtection="1">
      <alignment horizontal="center" vertical="center"/>
      <protection locked="0"/>
    </xf>
    <xf numFmtId="1" fontId="4" fillId="0" borderId="27" xfId="0" applyNumberFormat="1" applyFont="1" applyBorder="1" applyAlignment="1">
      <alignment horizontal="center" vertical="center"/>
    </xf>
    <xf numFmtId="1" fontId="7" fillId="36" borderId="8" xfId="0" applyNumberFormat="1" applyFont="1" applyFill="1" applyBorder="1" applyAlignment="1">
      <alignment horizontal="center" vertical="center"/>
    </xf>
    <xf numFmtId="167" fontId="0" fillId="36" borderId="0" xfId="0" applyNumberFormat="1" applyFill="1" applyAlignment="1">
      <alignment horizontal="center"/>
    </xf>
    <xf numFmtId="1" fontId="7" fillId="25" borderId="8" xfId="0" applyNumberFormat="1" applyFont="1" applyFill="1" applyBorder="1" applyAlignment="1">
      <alignment horizontal="center" vertical="center"/>
    </xf>
    <xf numFmtId="0" fontId="10" fillId="4" borderId="28" xfId="0" applyFont="1" applyFill="1" applyBorder="1" applyAlignment="1">
      <alignment horizontal="center" wrapText="1"/>
    </xf>
    <xf numFmtId="0" fontId="10" fillId="4" borderId="0" xfId="0" applyFont="1" applyFill="1" applyAlignment="1">
      <alignment horizontal="center" wrapText="1"/>
    </xf>
    <xf numFmtId="0" fontId="10" fillId="4" borderId="27" xfId="0" applyFont="1" applyFill="1" applyBorder="1" applyAlignment="1">
      <alignment horizontal="center" wrapText="1"/>
    </xf>
    <xf numFmtId="0" fontId="10" fillId="4" borderId="9" xfId="0" applyFont="1" applyFill="1" applyBorder="1" applyAlignment="1">
      <alignment horizontal="center" vertical="center" wrapText="1"/>
    </xf>
    <xf numFmtId="0" fontId="10" fillId="4" borderId="10" xfId="0" applyFont="1" applyFill="1" applyBorder="1" applyAlignment="1">
      <alignment horizontal="center" vertical="center" wrapText="1"/>
    </xf>
    <xf numFmtId="2" fontId="10" fillId="4" borderId="11" xfId="0" applyNumberFormat="1" applyFont="1" applyFill="1" applyBorder="1" applyAlignment="1">
      <alignment horizontal="center" vertical="center"/>
    </xf>
    <xf numFmtId="0" fontId="3" fillId="4" borderId="12" xfId="0" applyFont="1" applyFill="1" applyBorder="1" applyAlignment="1">
      <alignment horizontal="center" wrapText="1"/>
    </xf>
    <xf numFmtId="0" fontId="8" fillId="4" borderId="1" xfId="0" applyFont="1" applyFill="1" applyBorder="1" applyAlignment="1">
      <alignment horizontal="center" vertical="center"/>
    </xf>
    <xf numFmtId="0" fontId="3" fillId="4" borderId="1" xfId="0" applyFont="1" applyFill="1" applyBorder="1" applyAlignment="1">
      <alignment horizontal="center" wrapText="1"/>
    </xf>
    <xf numFmtId="2" fontId="3" fillId="4" borderId="13" xfId="0" applyNumberFormat="1" applyFont="1" applyFill="1" applyBorder="1" applyAlignment="1">
      <alignment horizontal="center"/>
    </xf>
    <xf numFmtId="0" fontId="9" fillId="37" borderId="28" xfId="0" applyFont="1" applyFill="1" applyBorder="1" applyAlignment="1">
      <alignment horizontal="center" vertical="center"/>
    </xf>
    <xf numFmtId="1" fontId="9" fillId="37" borderId="0" xfId="0" applyNumberFormat="1" applyFont="1" applyFill="1" applyAlignment="1">
      <alignment horizontal="center" vertical="center"/>
    </xf>
    <xf numFmtId="0" fontId="3" fillId="37" borderId="0" xfId="0" applyFont="1" applyFill="1" applyAlignment="1">
      <alignment horizontal="center" wrapText="1"/>
    </xf>
    <xf numFmtId="2" fontId="3" fillId="37" borderId="27" xfId="0" applyNumberFormat="1" applyFont="1" applyFill="1" applyBorder="1" applyAlignment="1">
      <alignment horizontal="center"/>
    </xf>
    <xf numFmtId="164" fontId="0" fillId="0" borderId="0" xfId="1" applyFont="1" applyBorder="1"/>
    <xf numFmtId="0" fontId="0" fillId="37" borderId="0" xfId="0" applyFill="1" applyAlignment="1">
      <alignment horizontal="center"/>
    </xf>
    <xf numFmtId="0" fontId="0" fillId="37" borderId="0" xfId="0" applyFill="1"/>
    <xf numFmtId="0" fontId="0" fillId="37" borderId="27" xfId="0" applyFill="1" applyBorder="1" applyAlignment="1">
      <alignment horizontal="center"/>
    </xf>
    <xf numFmtId="0" fontId="3" fillId="0" borderId="28" xfId="0" applyFont="1" applyBorder="1" applyAlignment="1">
      <alignment horizontal="center" wrapText="1"/>
    </xf>
    <xf numFmtId="0" fontId="3" fillId="0" borderId="0" xfId="0" applyFont="1" applyAlignment="1">
      <alignment horizontal="center" wrapText="1"/>
    </xf>
    <xf numFmtId="0" fontId="3" fillId="22" borderId="28" xfId="0" applyFont="1" applyFill="1" applyBorder="1" applyAlignment="1">
      <alignment horizontal="center" wrapText="1"/>
    </xf>
    <xf numFmtId="0" fontId="3" fillId="22" borderId="0" xfId="0" applyFont="1" applyFill="1" applyAlignment="1">
      <alignment horizontal="center" wrapText="1"/>
    </xf>
    <xf numFmtId="2" fontId="3" fillId="22" borderId="27" xfId="0" applyNumberFormat="1" applyFont="1" applyFill="1" applyBorder="1" applyAlignment="1">
      <alignment horizontal="center"/>
    </xf>
    <xf numFmtId="0" fontId="3" fillId="0" borderId="28" xfId="0" applyFont="1" applyBorder="1" applyAlignment="1">
      <alignment horizontal="center" vertical="top" wrapText="1"/>
    </xf>
    <xf numFmtId="0" fontId="3" fillId="0" borderId="0" xfId="0" applyFont="1" applyAlignment="1">
      <alignment horizontal="center" vertical="top" wrapText="1"/>
    </xf>
    <xf numFmtId="169" fontId="3" fillId="0" borderId="0" xfId="3" applyNumberFormat="1" applyFont="1" applyFill="1" applyBorder="1" applyAlignment="1">
      <alignment horizontal="center" vertical="top" wrapText="1"/>
    </xf>
    <xf numFmtId="0" fontId="10" fillId="0" borderId="1" xfId="0" applyFont="1" applyBorder="1" applyAlignment="1">
      <alignment horizontal="center" wrapText="1"/>
    </xf>
    <xf numFmtId="2" fontId="10" fillId="0" borderId="13" xfId="0" applyNumberFormat="1" applyFont="1" applyBorder="1" applyAlignment="1">
      <alignment horizontal="center"/>
    </xf>
    <xf numFmtId="0" fontId="10" fillId="4" borderId="0" xfId="0" applyFont="1" applyFill="1" applyAlignment="1">
      <alignment horizontal="center" vertical="top" wrapText="1"/>
    </xf>
    <xf numFmtId="0" fontId="10" fillId="4" borderId="27" xfId="0" applyFont="1" applyFill="1" applyBorder="1" applyAlignment="1">
      <alignment horizontal="center" vertical="top" wrapText="1"/>
    </xf>
    <xf numFmtId="0" fontId="10" fillId="4" borderId="9" xfId="0" applyFont="1" applyFill="1" applyBorder="1" applyAlignment="1">
      <alignment horizontal="center" vertical="top" wrapText="1"/>
    </xf>
    <xf numFmtId="2" fontId="10" fillId="4" borderId="11" xfId="0" applyNumberFormat="1" applyFont="1" applyFill="1" applyBorder="1" applyAlignment="1">
      <alignment horizontal="center" vertical="top"/>
    </xf>
    <xf numFmtId="0" fontId="3" fillId="4" borderId="12" xfId="0" applyFont="1" applyFill="1" applyBorder="1" applyAlignment="1">
      <alignment horizontal="center" vertical="top" wrapText="1"/>
    </xf>
    <xf numFmtId="0" fontId="10" fillId="4" borderId="1" xfId="0" applyFont="1" applyFill="1" applyBorder="1" applyAlignment="1">
      <alignment horizontal="center" wrapText="1"/>
    </xf>
    <xf numFmtId="0" fontId="9" fillId="0" borderId="28" xfId="0" applyFont="1" applyBorder="1" applyAlignment="1">
      <alignment horizontal="center" vertical="center"/>
    </xf>
    <xf numFmtId="1" fontId="3" fillId="0" borderId="0" xfId="0" applyNumberFormat="1" applyFont="1" applyAlignment="1">
      <alignment horizontal="center" vertical="top" wrapText="1"/>
    </xf>
    <xf numFmtId="1" fontId="3" fillId="22" borderId="0" xfId="0" applyNumberFormat="1" applyFont="1" applyFill="1" applyAlignment="1">
      <alignment horizontal="center" vertical="top" wrapText="1"/>
    </xf>
    <xf numFmtId="0" fontId="3" fillId="22" borderId="0" xfId="0" applyFont="1" applyFill="1" applyAlignment="1">
      <alignment horizontal="center" vertical="top" wrapText="1"/>
    </xf>
    <xf numFmtId="2" fontId="3" fillId="22" borderId="27" xfId="0" applyNumberFormat="1" applyFont="1" applyFill="1" applyBorder="1" applyAlignment="1">
      <alignment horizontal="center" vertical="top"/>
    </xf>
    <xf numFmtId="0" fontId="3" fillId="22" borderId="28" xfId="0" applyFont="1" applyFill="1" applyBorder="1" applyAlignment="1">
      <alignment horizontal="center" vertical="top" wrapText="1"/>
    </xf>
    <xf numFmtId="9" fontId="3" fillId="22" borderId="0" xfId="3" applyFont="1" applyFill="1" applyBorder="1" applyAlignment="1">
      <alignment horizontal="center" vertical="top" wrapText="1"/>
    </xf>
    <xf numFmtId="0" fontId="10" fillId="0" borderId="1" xfId="0" applyFont="1" applyBorder="1" applyAlignment="1">
      <alignment horizontal="center" vertical="top" wrapText="1"/>
    </xf>
    <xf numFmtId="2" fontId="10" fillId="0" borderId="13" xfId="0" applyNumberFormat="1" applyFont="1" applyBorder="1" applyAlignment="1">
      <alignment horizontal="center" vertical="top"/>
    </xf>
    <xf numFmtId="0" fontId="10" fillId="4" borderId="0" xfId="0" applyFont="1" applyFill="1" applyAlignment="1">
      <alignment horizontal="center" vertical="center" wrapText="1"/>
    </xf>
    <xf numFmtId="0" fontId="10" fillId="4" borderId="5" xfId="0" applyFont="1" applyFill="1" applyBorder="1" applyAlignment="1">
      <alignment horizontal="center" vertical="center" wrapText="1"/>
    </xf>
    <xf numFmtId="0" fontId="10" fillId="4" borderId="16" xfId="0" applyFont="1" applyFill="1" applyBorder="1" applyAlignment="1">
      <alignment horizontal="center" wrapText="1"/>
    </xf>
    <xf numFmtId="0" fontId="10" fillId="4" borderId="8" xfId="0" applyFont="1" applyFill="1" applyBorder="1" applyAlignment="1">
      <alignment horizontal="center" wrapText="1"/>
    </xf>
    <xf numFmtId="0" fontId="3" fillId="4" borderId="28" xfId="0" applyFont="1" applyFill="1" applyBorder="1" applyAlignment="1">
      <alignment horizontal="center" wrapText="1"/>
    </xf>
    <xf numFmtId="0" fontId="8" fillId="4" borderId="0" xfId="0" applyFont="1" applyFill="1" applyAlignment="1">
      <alignment horizontal="center" vertical="center"/>
    </xf>
    <xf numFmtId="0" fontId="3" fillId="4" borderId="0" xfId="0" applyFont="1" applyFill="1" applyAlignment="1">
      <alignment horizontal="center" wrapText="1"/>
    </xf>
    <xf numFmtId="2" fontId="3" fillId="4" borderId="27" xfId="0" applyNumberFormat="1" applyFont="1" applyFill="1" applyBorder="1" applyAlignment="1">
      <alignment horizontal="center"/>
    </xf>
    <xf numFmtId="0" fontId="9" fillId="37" borderId="0" xfId="0" applyFont="1" applyFill="1" applyAlignment="1">
      <alignment horizontal="center" vertical="center"/>
    </xf>
    <xf numFmtId="1" fontId="3" fillId="37" borderId="0" xfId="0" applyNumberFormat="1" applyFont="1" applyFill="1" applyAlignment="1">
      <alignment horizontal="center"/>
    </xf>
    <xf numFmtId="0" fontId="10" fillId="0" borderId="12" xfId="0" applyFont="1" applyBorder="1" applyAlignment="1">
      <alignment horizontal="center" wrapText="1"/>
    </xf>
    <xf numFmtId="10" fontId="3" fillId="0" borderId="9" xfId="0" applyNumberFormat="1" applyFont="1" applyBorder="1" applyAlignment="1">
      <alignment horizontal="center"/>
    </xf>
    <xf numFmtId="10" fontId="3" fillId="0" borderId="11" xfId="0" applyNumberFormat="1" applyFont="1" applyBorder="1" applyAlignment="1">
      <alignment horizontal="center"/>
    </xf>
    <xf numFmtId="2" fontId="10" fillId="0" borderId="28" xfId="0" applyNumberFormat="1" applyFont="1" applyBorder="1" applyAlignment="1">
      <alignment horizontal="center" vertical="center"/>
    </xf>
    <xf numFmtId="2" fontId="10" fillId="0" borderId="27" xfId="0" applyNumberFormat="1" applyFont="1" applyBorder="1" applyAlignment="1">
      <alignment horizontal="center" vertical="center"/>
    </xf>
    <xf numFmtId="4" fontId="9" fillId="0" borderId="10" xfId="0" applyNumberFormat="1" applyFont="1" applyBorder="1" applyAlignment="1">
      <alignment horizontal="center" vertical="center"/>
    </xf>
    <xf numFmtId="2" fontId="3" fillId="0" borderId="9" xfId="0" applyNumberFormat="1" applyFont="1" applyBorder="1" applyAlignment="1">
      <alignment horizontal="center"/>
    </xf>
    <xf numFmtId="2" fontId="3" fillId="0" borderId="11" xfId="0" applyNumberFormat="1" applyFont="1" applyBorder="1" applyAlignment="1">
      <alignment horizontal="center"/>
    </xf>
    <xf numFmtId="2" fontId="10" fillId="0" borderId="12" xfId="0" applyNumberFormat="1" applyFont="1" applyBorder="1" applyAlignment="1">
      <alignment horizontal="center"/>
    </xf>
    <xf numFmtId="0" fontId="7" fillId="0" borderId="0" xfId="0" applyFont="1" applyAlignment="1">
      <alignment horizontal="center" vertical="center"/>
    </xf>
    <xf numFmtId="3" fontId="9" fillId="0" borderId="1" xfId="0" applyNumberFormat="1" applyFont="1" applyBorder="1" applyAlignment="1">
      <alignment horizontal="center" vertical="center"/>
    </xf>
    <xf numFmtId="2" fontId="8" fillId="0" borderId="9" xfId="0" applyNumberFormat="1" applyFont="1" applyBorder="1" applyAlignment="1">
      <alignment horizontal="center" vertical="center"/>
    </xf>
    <xf numFmtId="2" fontId="8" fillId="0" borderId="11" xfId="0" applyNumberFormat="1" applyFont="1" applyBorder="1" applyAlignment="1">
      <alignment horizontal="center" vertical="center"/>
    </xf>
    <xf numFmtId="2" fontId="8" fillId="0" borderId="12" xfId="0" applyNumberFormat="1" applyFont="1" applyBorder="1" applyAlignment="1">
      <alignment horizontal="center" vertical="center"/>
    </xf>
    <xf numFmtId="2" fontId="8" fillId="0" borderId="13" xfId="0" applyNumberFormat="1" applyFont="1" applyBorder="1" applyAlignment="1">
      <alignment horizontal="center" vertical="center"/>
    </xf>
    <xf numFmtId="2" fontId="3" fillId="0" borderId="28" xfId="0" applyNumberFormat="1" applyFont="1" applyBorder="1" applyAlignment="1">
      <alignment horizontal="center"/>
    </xf>
    <xf numFmtId="2" fontId="8" fillId="0" borderId="5" xfId="0" applyNumberFormat="1" applyFont="1" applyBorder="1" applyAlignment="1">
      <alignment horizontal="center" vertical="center"/>
    </xf>
    <xf numFmtId="2" fontId="8" fillId="0" borderId="8" xfId="0" applyNumberFormat="1" applyFont="1" applyBorder="1" applyAlignment="1">
      <alignment horizontal="center" vertical="center"/>
    </xf>
    <xf numFmtId="2" fontId="9" fillId="0" borderId="28" xfId="0" applyNumberFormat="1" applyFont="1" applyBorder="1" applyAlignment="1">
      <alignment horizontal="center" vertical="center"/>
    </xf>
    <xf numFmtId="2" fontId="9" fillId="0" borderId="27" xfId="0" applyNumberFormat="1" applyFont="1" applyBorder="1" applyAlignment="1">
      <alignment horizontal="center" vertical="center"/>
    </xf>
    <xf numFmtId="2" fontId="9" fillId="0" borderId="11" xfId="0" applyNumberFormat="1" applyFont="1" applyBorder="1" applyAlignment="1">
      <alignment horizontal="center" vertical="center"/>
    </xf>
    <xf numFmtId="0" fontId="7" fillId="0" borderId="28" xfId="0" applyFont="1" applyBorder="1" applyAlignment="1">
      <alignment horizontal="center" vertical="center"/>
    </xf>
    <xf numFmtId="0" fontId="7" fillId="0" borderId="12" xfId="0" applyFont="1" applyBorder="1" applyAlignment="1">
      <alignment horizontal="center" vertical="center"/>
    </xf>
    <xf numFmtId="0" fontId="7" fillId="0" borderId="1" xfId="0" applyFont="1" applyBorder="1" applyAlignment="1">
      <alignment horizontal="center" vertical="center"/>
    </xf>
    <xf numFmtId="2" fontId="9" fillId="0" borderId="13" xfId="0" applyNumberFormat="1" applyFont="1" applyBorder="1" applyAlignment="1">
      <alignment horizontal="center" vertical="center"/>
    </xf>
    <xf numFmtId="0" fontId="7" fillId="0" borderId="5" xfId="0" applyFont="1" applyBorder="1" applyAlignment="1">
      <alignment horizontal="center" vertical="center"/>
    </xf>
    <xf numFmtId="0" fontId="7" fillId="0" borderId="16" xfId="0" applyFont="1" applyBorder="1" applyAlignment="1">
      <alignment horizontal="center" vertical="center"/>
    </xf>
    <xf numFmtId="2" fontId="9" fillId="0" borderId="8" xfId="0" applyNumberFormat="1" applyFont="1" applyBorder="1" applyAlignment="1">
      <alignment horizontal="center" vertical="center"/>
    </xf>
    <xf numFmtId="0" fontId="10" fillId="0" borderId="1" xfId="0" applyFont="1" applyBorder="1" applyAlignment="1">
      <alignment horizontal="center"/>
    </xf>
    <xf numFmtId="3" fontId="9" fillId="0" borderId="1" xfId="0" applyNumberFormat="1" applyFont="1" applyBorder="1" applyAlignment="1">
      <alignment horizontal="right" vertical="center"/>
    </xf>
    <xf numFmtId="3" fontId="9" fillId="0" borderId="0" xfId="0" applyNumberFormat="1" applyFont="1" applyAlignment="1">
      <alignment horizontal="right" vertical="center"/>
    </xf>
    <xf numFmtId="0" fontId="3" fillId="0" borderId="0" xfId="0" applyFont="1" applyAlignment="1">
      <alignment wrapText="1"/>
    </xf>
    <xf numFmtId="0" fontId="7" fillId="0" borderId="0" xfId="0" applyFont="1"/>
    <xf numFmtId="169" fontId="10" fillId="0" borderId="2" xfId="0" applyNumberFormat="1" applyFont="1" applyBorder="1" applyAlignment="1" applyProtection="1">
      <alignment horizontal="center" vertical="center"/>
      <protection locked="0"/>
    </xf>
    <xf numFmtId="0" fontId="10" fillId="0" borderId="2" xfId="0" applyFont="1" applyBorder="1" applyAlignment="1" applyProtection="1">
      <alignment horizontal="center" vertical="center"/>
      <protection locked="0"/>
    </xf>
    <xf numFmtId="170" fontId="10" fillId="18" borderId="10" xfId="46" applyFont="1" applyFill="1" applyBorder="1" applyAlignment="1">
      <alignment horizontal="center"/>
    </xf>
    <xf numFmtId="168" fontId="14" fillId="0" borderId="27" xfId="46" applyNumberFormat="1" applyBorder="1" applyAlignment="1">
      <alignment horizontal="center" vertical="center"/>
    </xf>
    <xf numFmtId="168" fontId="3" fillId="4" borderId="27" xfId="0" applyNumberFormat="1" applyFont="1" applyFill="1" applyBorder="1" applyAlignment="1">
      <alignment horizontal="center"/>
    </xf>
    <xf numFmtId="0" fontId="86" fillId="0" borderId="0" xfId="0" applyFont="1" applyAlignment="1">
      <alignment vertical="center" wrapText="1"/>
    </xf>
    <xf numFmtId="1" fontId="7" fillId="0" borderId="0" xfId="0" applyNumberFormat="1" applyFont="1" applyAlignment="1">
      <alignment horizontal="center" vertical="center"/>
    </xf>
    <xf numFmtId="0" fontId="4" fillId="0" borderId="0" xfId="0" applyFont="1" applyAlignment="1">
      <alignment horizontal="center"/>
    </xf>
    <xf numFmtId="1" fontId="81" fillId="0" borderId="0" xfId="0" applyNumberFormat="1" applyFont="1" applyAlignment="1">
      <alignment horizontal="center"/>
    </xf>
    <xf numFmtId="1" fontId="87" fillId="0" borderId="0" xfId="0" applyNumberFormat="1" applyFont="1" applyAlignment="1">
      <alignment horizontal="center"/>
    </xf>
    <xf numFmtId="1" fontId="7" fillId="33" borderId="0" xfId="0" applyNumberFormat="1" applyFont="1" applyFill="1" applyAlignment="1">
      <alignment horizontal="center" vertical="center"/>
    </xf>
    <xf numFmtId="0" fontId="3" fillId="0" borderId="9" xfId="0" applyFont="1" applyBorder="1" applyAlignment="1">
      <alignment horizontal="center" vertical="center"/>
    </xf>
    <xf numFmtId="0" fontId="3" fillId="0" borderId="28" xfId="0" applyFont="1" applyBorder="1" applyAlignment="1">
      <alignment horizontal="center" vertical="center"/>
    </xf>
    <xf numFmtId="0" fontId="3" fillId="0" borderId="12" xfId="0" applyFont="1" applyBorder="1" applyAlignment="1">
      <alignment horizontal="center" vertical="center"/>
    </xf>
    <xf numFmtId="0" fontId="3" fillId="0" borderId="0" xfId="0" applyFont="1" applyAlignment="1">
      <alignment horizontal="center" vertical="center"/>
    </xf>
    <xf numFmtId="0" fontId="3" fillId="0" borderId="1" xfId="0" applyFont="1" applyBorder="1" applyAlignment="1">
      <alignment horizontal="center" vertical="center"/>
    </xf>
    <xf numFmtId="2" fontId="8" fillId="0" borderId="0" xfId="0" applyNumberFormat="1" applyFont="1" applyAlignment="1">
      <alignment horizontal="center" vertical="center" wrapText="1"/>
    </xf>
    <xf numFmtId="0" fontId="10" fillId="0" borderId="5" xfId="0" applyFont="1" applyBorder="1" applyAlignment="1">
      <alignment horizontal="center" vertical="center"/>
    </xf>
    <xf numFmtId="0" fontId="10" fillId="0" borderId="16" xfId="0" applyFont="1" applyBorder="1" applyAlignment="1">
      <alignment horizontal="center" vertical="center"/>
    </xf>
    <xf numFmtId="0" fontId="10" fillId="20" borderId="10" xfId="4" applyFont="1" applyFill="1" applyBorder="1" applyAlignment="1">
      <alignment horizontal="center" vertical="center"/>
    </xf>
    <xf numFmtId="0" fontId="10" fillId="0" borderId="0" xfId="0" applyFont="1" applyAlignment="1">
      <alignment horizontal="center"/>
    </xf>
    <xf numFmtId="0" fontId="3" fillId="0" borderId="28" xfId="0" applyFont="1" applyBorder="1" applyAlignment="1">
      <alignment horizontal="center"/>
    </xf>
    <xf numFmtId="1" fontId="9" fillId="0" borderId="7" xfId="0" applyNumberFormat="1" applyFont="1" applyFill="1" applyBorder="1" applyAlignment="1">
      <alignment horizontal="center" vertical="center" wrapText="1"/>
    </xf>
    <xf numFmtId="1" fontId="9" fillId="0" borderId="15" xfId="0" applyNumberFormat="1" applyFont="1" applyFill="1" applyBorder="1" applyAlignment="1">
      <alignment horizontal="center" vertical="center" wrapText="1"/>
    </xf>
    <xf numFmtId="1" fontId="9" fillId="0" borderId="6" xfId="0" applyNumberFormat="1" applyFont="1" applyFill="1" applyBorder="1" applyAlignment="1">
      <alignment horizontal="center" vertical="center" wrapText="1"/>
    </xf>
    <xf numFmtId="1" fontId="4" fillId="0" borderId="15" xfId="0" applyNumberFormat="1" applyFont="1" applyFill="1" applyBorder="1" applyAlignment="1">
      <alignment horizontal="center" vertical="center"/>
    </xf>
    <xf numFmtId="1" fontId="3" fillId="0" borderId="27" xfId="0" applyNumberFormat="1" applyFont="1" applyFill="1" applyBorder="1" applyAlignment="1">
      <alignment horizontal="center"/>
    </xf>
    <xf numFmtId="1" fontId="3" fillId="0" borderId="13" xfId="0" applyNumberFormat="1" applyFont="1" applyFill="1" applyBorder="1" applyAlignment="1">
      <alignment horizontal="center"/>
    </xf>
    <xf numFmtId="0" fontId="0" fillId="0" borderId="0" xfId="0" applyAlignment="1">
      <alignment wrapText="1"/>
    </xf>
    <xf numFmtId="0" fontId="0" fillId="4" borderId="0" xfId="0" applyFill="1" applyAlignment="1">
      <alignment wrapText="1"/>
    </xf>
    <xf numFmtId="0" fontId="0" fillId="22" borderId="0" xfId="0" applyFill="1" applyAlignment="1">
      <alignment wrapText="1"/>
    </xf>
    <xf numFmtId="14" fontId="0" fillId="0" borderId="0" xfId="0" applyNumberFormat="1" applyAlignment="1">
      <alignment wrapText="1"/>
    </xf>
    <xf numFmtId="1" fontId="0" fillId="0" borderId="0" xfId="0" applyNumberFormat="1" applyAlignment="1">
      <alignment wrapText="1"/>
    </xf>
    <xf numFmtId="2" fontId="3" fillId="0" borderId="2" xfId="0" applyNumberFormat="1" applyFont="1" applyBorder="1" applyAlignment="1">
      <alignment horizontal="center"/>
    </xf>
    <xf numFmtId="1" fontId="0" fillId="4" borderId="0" xfId="0" applyNumberFormat="1" applyFill="1" applyAlignment="1">
      <alignment horizontal="center" wrapText="1"/>
    </xf>
    <xf numFmtId="2" fontId="0" fillId="0" borderId="0" xfId="0" applyNumberFormat="1" applyAlignment="1">
      <alignment horizontal="center"/>
    </xf>
    <xf numFmtId="2" fontId="0" fillId="0" borderId="0" xfId="0" applyNumberFormat="1" applyAlignment="1">
      <alignment wrapText="1"/>
    </xf>
    <xf numFmtId="9" fontId="0" fillId="0" borderId="0" xfId="3" applyFont="1" applyAlignment="1">
      <alignment wrapText="1"/>
    </xf>
    <xf numFmtId="9" fontId="0" fillId="0" borderId="0" xfId="0" applyNumberFormat="1" applyAlignment="1">
      <alignment wrapText="1"/>
    </xf>
    <xf numFmtId="1" fontId="0" fillId="22" borderId="0" xfId="0" applyNumberFormat="1" applyFill="1" applyAlignment="1">
      <alignment horizontal="center" wrapText="1"/>
    </xf>
    <xf numFmtId="0" fontId="2" fillId="0" borderId="0" xfId="0" applyFont="1" applyAlignment="1">
      <alignment wrapText="1"/>
    </xf>
    <xf numFmtId="14" fontId="0" fillId="0" borderId="0" xfId="0" applyNumberFormat="1"/>
    <xf numFmtId="168" fontId="0" fillId="0" borderId="0" xfId="0" applyNumberFormat="1" applyAlignment="1">
      <alignment horizontal="center"/>
    </xf>
    <xf numFmtId="1" fontId="4" fillId="0" borderId="6" xfId="0" applyNumberFormat="1" applyFont="1" applyFill="1" applyBorder="1" applyAlignment="1">
      <alignment horizontal="center" vertical="center"/>
    </xf>
    <xf numFmtId="0" fontId="10" fillId="30" borderId="5" xfId="0" applyFont="1" applyFill="1" applyBorder="1" applyAlignment="1">
      <alignment horizontal="center"/>
    </xf>
    <xf numFmtId="0" fontId="10" fillId="30" borderId="16" xfId="0" applyFont="1" applyFill="1" applyBorder="1" applyAlignment="1">
      <alignment horizontal="center"/>
    </xf>
    <xf numFmtId="0" fontId="10" fillId="30" borderId="8" xfId="0" applyFont="1" applyFill="1" applyBorder="1" applyAlignment="1">
      <alignment horizontal="center"/>
    </xf>
    <xf numFmtId="0" fontId="10" fillId="30" borderId="12" xfId="0" applyFont="1" applyFill="1" applyBorder="1"/>
    <xf numFmtId="0" fontId="10" fillId="30" borderId="1" xfId="0" applyFont="1" applyFill="1" applyBorder="1" applyAlignment="1">
      <alignment horizontal="center"/>
    </xf>
    <xf numFmtId="167" fontId="10" fillId="30" borderId="13" xfId="0" applyNumberFormat="1" applyFont="1" applyFill="1" applyBorder="1" applyAlignment="1">
      <alignment horizontal="center"/>
    </xf>
    <xf numFmtId="0" fontId="10" fillId="4" borderId="12" xfId="0" applyFont="1" applyFill="1" applyBorder="1" applyAlignment="1">
      <alignment horizontal="center" vertical="center" wrapText="1"/>
    </xf>
    <xf numFmtId="0" fontId="10" fillId="4" borderId="1" xfId="0" applyFont="1" applyFill="1" applyBorder="1" applyAlignment="1">
      <alignment horizontal="center" vertical="center" wrapText="1"/>
    </xf>
    <xf numFmtId="0" fontId="2" fillId="0" borderId="0" xfId="0" applyFont="1" applyAlignment="1">
      <alignment horizontal="center" wrapText="1"/>
    </xf>
    <xf numFmtId="0" fontId="3" fillId="4" borderId="28" xfId="0" applyNumberFormat="1" applyFont="1" applyFill="1" applyBorder="1" applyAlignment="1">
      <alignment horizontal="center" vertical="center" wrapText="1"/>
    </xf>
    <xf numFmtId="0" fontId="3" fillId="4" borderId="27" xfId="0" applyNumberFormat="1" applyFont="1" applyFill="1" applyBorder="1" applyAlignment="1">
      <alignment horizontal="center" vertical="center" wrapText="1"/>
    </xf>
    <xf numFmtId="0" fontId="7" fillId="20" borderId="9" xfId="0" applyNumberFormat="1" applyFont="1" applyFill="1" applyBorder="1" applyAlignment="1">
      <alignment horizontal="center" vertical="center" textRotation="90" wrapText="1"/>
    </xf>
    <xf numFmtId="0" fontId="7" fillId="20" borderId="28" xfId="0" applyNumberFormat="1" applyFont="1" applyFill="1" applyBorder="1" applyAlignment="1">
      <alignment horizontal="center" vertical="center" textRotation="90" wrapText="1"/>
    </xf>
    <xf numFmtId="0" fontId="7" fillId="4" borderId="9" xfId="0" applyNumberFormat="1" applyFont="1" applyFill="1" applyBorder="1" applyAlignment="1">
      <alignment horizontal="center" vertical="center" textRotation="90"/>
    </xf>
    <xf numFmtId="0" fontId="7" fillId="4" borderId="28" xfId="0" applyNumberFormat="1" applyFont="1" applyFill="1" applyBorder="1" applyAlignment="1">
      <alignment horizontal="center" vertical="center" textRotation="90"/>
    </xf>
    <xf numFmtId="0" fontId="7" fillId="4" borderId="12" xfId="0" applyNumberFormat="1" applyFont="1" applyFill="1" applyBorder="1" applyAlignment="1">
      <alignment horizontal="center" vertical="center" textRotation="90"/>
    </xf>
    <xf numFmtId="0" fontId="41" fillId="0" borderId="33" xfId="0" applyFont="1" applyBorder="1" applyAlignment="1">
      <alignment vertical="top"/>
    </xf>
    <xf numFmtId="0" fontId="41" fillId="0" borderId="4" xfId="0" applyFont="1" applyBorder="1" applyAlignment="1">
      <alignment vertical="top"/>
    </xf>
    <xf numFmtId="0" fontId="41" fillId="0" borderId="0" xfId="0" applyFont="1" applyAlignment="1">
      <alignment vertical="top"/>
    </xf>
    <xf numFmtId="170" fontId="10" fillId="18" borderId="10" xfId="46" applyFont="1" applyFill="1" applyBorder="1" applyAlignment="1">
      <alignment horizontal="center"/>
    </xf>
    <xf numFmtId="170" fontId="10" fillId="18" borderId="11" xfId="46" applyFont="1" applyFill="1" applyBorder="1" applyAlignment="1">
      <alignment horizontal="center"/>
    </xf>
    <xf numFmtId="0" fontId="42" fillId="0" borderId="4" xfId="0" applyFont="1" applyBorder="1" applyAlignment="1">
      <alignment vertical="center"/>
    </xf>
    <xf numFmtId="0" fontId="10" fillId="0" borderId="33" xfId="0" applyFont="1" applyBorder="1" applyAlignment="1">
      <alignment vertical="center"/>
    </xf>
    <xf numFmtId="0" fontId="44" fillId="0" borderId="4" xfId="0" applyFont="1" applyBorder="1" applyAlignment="1">
      <alignment vertical="center"/>
    </xf>
    <xf numFmtId="0" fontId="47" fillId="0" borderId="0" xfId="0" applyFont="1" applyAlignment="1">
      <alignment horizontal="left" vertical="top" wrapText="1"/>
    </xf>
    <xf numFmtId="0" fontId="47" fillId="0" borderId="27" xfId="0" applyFont="1" applyBorder="1" applyAlignment="1">
      <alignment horizontal="left" vertical="top" wrapText="1"/>
    </xf>
    <xf numFmtId="0" fontId="47" fillId="0" borderId="7" xfId="0" applyFont="1" applyBorder="1" applyAlignment="1">
      <alignment horizontal="center" vertical="center"/>
    </xf>
    <xf numFmtId="0" fontId="47" fillId="0" borderId="15" xfId="0" applyFont="1" applyBorder="1" applyAlignment="1">
      <alignment horizontal="center" vertical="center"/>
    </xf>
    <xf numFmtId="0" fontId="47" fillId="0" borderId="6" xfId="0" applyFont="1" applyBorder="1" applyAlignment="1">
      <alignment horizontal="center" vertical="center"/>
    </xf>
    <xf numFmtId="0" fontId="47" fillId="0" borderId="9" xfId="0" applyFont="1" applyBorder="1" applyAlignment="1">
      <alignment horizontal="center" vertical="center"/>
    </xf>
    <xf numFmtId="0" fontId="47" fillId="0" borderId="28" xfId="0" applyFont="1" applyBorder="1" applyAlignment="1">
      <alignment horizontal="center" vertical="center"/>
    </xf>
    <xf numFmtId="0" fontId="47" fillId="0" borderId="12" xfId="0" applyFont="1" applyBorder="1" applyAlignment="1">
      <alignment horizontal="center" vertical="center"/>
    </xf>
    <xf numFmtId="0" fontId="47" fillId="4" borderId="7" xfId="0" applyFont="1" applyFill="1" applyBorder="1" applyAlignment="1">
      <alignment horizontal="center" vertical="center" wrapText="1"/>
    </xf>
    <xf numFmtId="0" fontId="47" fillId="4" borderId="15" xfId="0" applyFont="1" applyFill="1" applyBorder="1" applyAlignment="1">
      <alignment horizontal="center" vertical="center" wrapText="1"/>
    </xf>
    <xf numFmtId="0" fontId="47" fillId="4" borderId="6" xfId="0" applyFont="1" applyFill="1" applyBorder="1" applyAlignment="1">
      <alignment horizontal="center" vertical="center" wrapText="1"/>
    </xf>
    <xf numFmtId="0" fontId="47" fillId="0" borderId="10" xfId="0" applyFont="1" applyBorder="1" applyAlignment="1">
      <alignment horizontal="center" vertical="center"/>
    </xf>
    <xf numFmtId="0" fontId="47" fillId="0" borderId="0" xfId="0" applyFont="1" applyBorder="1" applyAlignment="1">
      <alignment horizontal="center" vertical="center"/>
    </xf>
    <xf numFmtId="0" fontId="47" fillId="0" borderId="1" xfId="0" applyFont="1" applyBorder="1" applyAlignment="1">
      <alignment horizontal="center" vertical="center"/>
    </xf>
    <xf numFmtId="0" fontId="47" fillId="4" borderId="10" xfId="0" applyFont="1" applyFill="1" applyBorder="1" applyAlignment="1">
      <alignment horizontal="center" vertical="center"/>
    </xf>
    <xf numFmtId="0" fontId="47" fillId="4" borderId="0" xfId="0" applyFont="1" applyFill="1" applyBorder="1" applyAlignment="1">
      <alignment horizontal="center" vertical="center"/>
    </xf>
    <xf numFmtId="0" fontId="47" fillId="4" borderId="1" xfId="0" applyFont="1" applyFill="1" applyBorder="1" applyAlignment="1">
      <alignment horizontal="center" vertical="center"/>
    </xf>
    <xf numFmtId="0" fontId="47" fillId="0" borderId="7" xfId="0" applyFont="1" applyBorder="1" applyAlignment="1">
      <alignment horizontal="center" vertical="center" wrapText="1"/>
    </xf>
    <xf numFmtId="0" fontId="47" fillId="0" borderId="15" xfId="0" applyFont="1" applyBorder="1" applyAlignment="1">
      <alignment horizontal="center" vertical="center" wrapText="1"/>
    </xf>
    <xf numFmtId="0" fontId="47" fillId="0" borderId="6" xfId="0" applyFont="1" applyBorder="1" applyAlignment="1">
      <alignment horizontal="center" vertical="center" wrapText="1"/>
    </xf>
    <xf numFmtId="0" fontId="47" fillId="4" borderId="7" xfId="0" applyFont="1" applyFill="1" applyBorder="1" applyAlignment="1">
      <alignment horizontal="center" vertical="center"/>
    </xf>
    <xf numFmtId="0" fontId="47" fillId="4" borderId="15" xfId="0" applyFont="1" applyFill="1" applyBorder="1" applyAlignment="1">
      <alignment horizontal="center" vertical="center"/>
    </xf>
    <xf numFmtId="0" fontId="47" fillId="0" borderId="7" xfId="0" applyFont="1" applyBorder="1" applyAlignment="1">
      <alignment horizontal="center"/>
    </xf>
    <xf numFmtId="0" fontId="47" fillId="0" borderId="6" xfId="0" applyFont="1" applyBorder="1" applyAlignment="1">
      <alignment horizontal="center"/>
    </xf>
    <xf numFmtId="0" fontId="2" fillId="0" borderId="7" xfId="0" applyFont="1" applyBorder="1" applyAlignment="1">
      <alignment horizontal="center"/>
    </xf>
    <xf numFmtId="0" fontId="2" fillId="0" borderId="2" xfId="0" applyFont="1" applyBorder="1" applyAlignment="1">
      <alignment horizontal="center"/>
    </xf>
    <xf numFmtId="0" fontId="3" fillId="0" borderId="15" xfId="0" applyFont="1" applyBorder="1" applyAlignment="1">
      <alignment horizontal="center" vertical="center"/>
    </xf>
    <xf numFmtId="0" fontId="3" fillId="0" borderId="6" xfId="0" applyFont="1" applyBorder="1" applyAlignment="1">
      <alignment horizontal="center" vertical="center"/>
    </xf>
    <xf numFmtId="0" fontId="3" fillId="4" borderId="7" xfId="0" applyFont="1" applyFill="1" applyBorder="1" applyAlignment="1">
      <alignment horizontal="center" vertical="center"/>
    </xf>
    <xf numFmtId="0" fontId="3" fillId="4" borderId="15" xfId="0" applyFont="1" applyFill="1" applyBorder="1" applyAlignment="1">
      <alignment horizontal="center" vertical="center"/>
    </xf>
    <xf numFmtId="0" fontId="3" fillId="4" borderId="0" xfId="0" applyFont="1" applyFill="1" applyAlignment="1">
      <alignment horizontal="center" vertical="center"/>
    </xf>
    <xf numFmtId="0" fontId="3" fillId="0" borderId="7" xfId="0" applyFont="1" applyBorder="1" applyAlignment="1">
      <alignment horizontal="center" vertical="center"/>
    </xf>
    <xf numFmtId="0" fontId="3" fillId="0" borderId="9" xfId="0" applyFont="1" applyBorder="1" applyAlignment="1">
      <alignment horizontal="center" vertical="center"/>
    </xf>
    <xf numFmtId="0" fontId="3" fillId="0" borderId="12" xfId="0" applyFont="1" applyBorder="1" applyAlignment="1">
      <alignment horizontal="center" vertical="center"/>
    </xf>
    <xf numFmtId="0" fontId="3" fillId="0" borderId="0" xfId="0" applyFont="1" applyAlignment="1">
      <alignment horizontal="left" vertical="top" wrapText="1"/>
    </xf>
    <xf numFmtId="0" fontId="3" fillId="0" borderId="27" xfId="0" applyFont="1" applyBorder="1" applyAlignment="1">
      <alignment horizontal="left" vertical="top" wrapText="1"/>
    </xf>
    <xf numFmtId="0" fontId="3" fillId="0" borderId="28" xfId="0" applyFont="1" applyBorder="1" applyAlignment="1">
      <alignment horizontal="center" vertical="center"/>
    </xf>
    <xf numFmtId="0" fontId="3" fillId="4" borderId="7" xfId="0" applyFont="1" applyFill="1" applyBorder="1" applyAlignment="1">
      <alignment horizontal="center" vertical="center" wrapText="1"/>
    </xf>
    <xf numFmtId="0" fontId="3" fillId="4" borderId="15" xfId="0" applyFont="1" applyFill="1" applyBorder="1" applyAlignment="1">
      <alignment horizontal="center" vertical="center" wrapText="1"/>
    </xf>
    <xf numFmtId="0" fontId="3" fillId="4" borderId="10" xfId="0" applyFont="1" applyFill="1" applyBorder="1" applyAlignment="1">
      <alignment horizontal="center" vertical="center"/>
    </xf>
    <xf numFmtId="0" fontId="3" fillId="0" borderId="7"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10" xfId="0" applyFont="1" applyBorder="1" applyAlignment="1">
      <alignment horizontal="center" vertical="center"/>
    </xf>
    <xf numFmtId="0" fontId="3" fillId="0" borderId="0" xfId="0" applyFont="1" applyAlignment="1">
      <alignment horizontal="center" vertical="center"/>
    </xf>
    <xf numFmtId="0" fontId="3" fillId="0" borderId="1" xfId="0" applyFont="1" applyBorder="1" applyAlignment="1">
      <alignment horizontal="center" vertical="center"/>
    </xf>
    <xf numFmtId="170" fontId="34" fillId="24" borderId="0" xfId="46" applyFont="1" applyFill="1" applyBorder="1" applyAlignment="1">
      <alignment horizontal="center"/>
    </xf>
    <xf numFmtId="0" fontId="8" fillId="4" borderId="9" xfId="0" applyFont="1" applyFill="1" applyBorder="1" applyAlignment="1">
      <alignment horizontal="center" vertical="center"/>
    </xf>
    <xf numFmtId="0" fontId="8" fillId="4" borderId="10" xfId="0" applyFont="1" applyFill="1" applyBorder="1" applyAlignment="1">
      <alignment horizontal="center" vertical="center"/>
    </xf>
    <xf numFmtId="0" fontId="8" fillId="4" borderId="28" xfId="0" applyFont="1" applyFill="1" applyBorder="1" applyAlignment="1">
      <alignment horizontal="center" vertical="center"/>
    </xf>
    <xf numFmtId="0" fontId="8" fillId="4" borderId="0" xfId="0" applyFont="1" applyFill="1" applyBorder="1" applyAlignment="1">
      <alignment horizontal="center" vertical="center"/>
    </xf>
    <xf numFmtId="0" fontId="9" fillId="4" borderId="9" xfId="0" applyFont="1" applyFill="1" applyBorder="1" applyAlignment="1">
      <alignment horizontal="center" vertical="center" wrapText="1"/>
    </xf>
    <xf numFmtId="0" fontId="9" fillId="4" borderId="28" xfId="0" applyFont="1" applyFill="1" applyBorder="1" applyAlignment="1">
      <alignment horizontal="center" vertical="center" wrapText="1"/>
    </xf>
    <xf numFmtId="0" fontId="10" fillId="20" borderId="9" xfId="0" applyFont="1" applyFill="1" applyBorder="1" applyAlignment="1">
      <alignment horizontal="center" vertical="center" wrapText="1"/>
    </xf>
    <xf numFmtId="0" fontId="10" fillId="20" borderId="10" xfId="0" applyFont="1" applyFill="1" applyBorder="1" applyAlignment="1">
      <alignment horizontal="center" vertical="center" wrapText="1"/>
    </xf>
    <xf numFmtId="0" fontId="10" fillId="20" borderId="11" xfId="0" applyFont="1" applyFill="1" applyBorder="1" applyAlignment="1">
      <alignment horizontal="center" vertical="center" wrapText="1"/>
    </xf>
    <xf numFmtId="0" fontId="10" fillId="4" borderId="5" xfId="0" applyFont="1" applyFill="1" applyBorder="1" applyAlignment="1">
      <alignment horizontal="center" vertical="center"/>
    </xf>
    <xf numFmtId="0" fontId="10" fillId="4" borderId="16" xfId="0" applyFont="1" applyFill="1" applyBorder="1" applyAlignment="1">
      <alignment horizontal="center" vertical="center"/>
    </xf>
    <xf numFmtId="0" fontId="10" fillId="4" borderId="8" xfId="0" applyFont="1" applyFill="1" applyBorder="1" applyAlignment="1">
      <alignment horizontal="center" vertical="center"/>
    </xf>
    <xf numFmtId="0" fontId="2" fillId="4" borderId="16" xfId="0" applyFont="1" applyFill="1" applyBorder="1" applyAlignment="1">
      <alignment horizontal="center"/>
    </xf>
    <xf numFmtId="0" fontId="2" fillId="4" borderId="0" xfId="0" applyFont="1" applyFill="1" applyBorder="1" applyAlignment="1">
      <alignment horizontal="center" wrapText="1"/>
    </xf>
    <xf numFmtId="0" fontId="2" fillId="4" borderId="0" xfId="0" applyFont="1" applyFill="1" applyBorder="1" applyAlignment="1">
      <alignment horizontal="center" vertical="center" wrapText="1"/>
    </xf>
    <xf numFmtId="2" fontId="10" fillId="20" borderId="9" xfId="4" applyNumberFormat="1" applyFont="1" applyFill="1" applyBorder="1" applyAlignment="1">
      <alignment horizontal="center" vertical="center"/>
    </xf>
    <xf numFmtId="2" fontId="10" fillId="20" borderId="10" xfId="4" applyNumberFormat="1" applyFont="1" applyFill="1" applyBorder="1" applyAlignment="1">
      <alignment horizontal="center" vertical="center"/>
    </xf>
    <xf numFmtId="2" fontId="10" fillId="20" borderId="11" xfId="4" applyNumberFormat="1" applyFont="1" applyFill="1" applyBorder="1" applyAlignment="1">
      <alignment horizontal="center" vertical="center"/>
    </xf>
    <xf numFmtId="0" fontId="10" fillId="20" borderId="0" xfId="0" applyFont="1" applyFill="1" applyBorder="1" applyAlignment="1">
      <alignment horizontal="center" vertical="center"/>
    </xf>
    <xf numFmtId="0" fontId="10" fillId="20" borderId="1" xfId="0" applyFont="1" applyFill="1" applyBorder="1" applyAlignment="1">
      <alignment horizontal="center" vertical="center"/>
    </xf>
    <xf numFmtId="2" fontId="8" fillId="0" borderId="0" xfId="0" applyNumberFormat="1" applyFont="1" applyFill="1" applyBorder="1" applyAlignment="1">
      <alignment horizontal="center" vertical="center" wrapText="1"/>
    </xf>
    <xf numFmtId="0" fontId="10" fillId="0" borderId="5" xfId="4" applyFont="1" applyFill="1" applyBorder="1" applyAlignment="1">
      <alignment horizontal="center" vertical="center"/>
    </xf>
    <xf numFmtId="0" fontId="10" fillId="0" borderId="16" xfId="4" applyFont="1" applyFill="1" applyBorder="1" applyAlignment="1">
      <alignment horizontal="center" vertical="center"/>
    </xf>
    <xf numFmtId="0" fontId="10" fillId="3" borderId="12" xfId="0" applyFont="1" applyFill="1" applyBorder="1" applyAlignment="1">
      <alignment horizontal="center" vertical="center"/>
    </xf>
    <xf numFmtId="0" fontId="10" fillId="3" borderId="1" xfId="0" applyFont="1" applyFill="1" applyBorder="1" applyAlignment="1">
      <alignment horizontal="center" vertical="center"/>
    </xf>
    <xf numFmtId="0" fontId="10" fillId="3" borderId="5" xfId="0" applyFont="1" applyFill="1" applyBorder="1" applyAlignment="1">
      <alignment horizontal="center" vertical="center"/>
    </xf>
    <xf numFmtId="0" fontId="10" fillId="3" borderId="16" xfId="0" applyFont="1" applyFill="1" applyBorder="1" applyAlignment="1">
      <alignment horizontal="center" vertical="center"/>
    </xf>
    <xf numFmtId="0" fontId="10" fillId="0" borderId="5" xfId="0" applyFont="1" applyFill="1" applyBorder="1" applyAlignment="1">
      <alignment horizontal="center" vertical="center"/>
    </xf>
    <xf numFmtId="0" fontId="10" fillId="0" borderId="16" xfId="0" applyFont="1" applyFill="1" applyBorder="1" applyAlignment="1">
      <alignment horizontal="center" vertical="center"/>
    </xf>
    <xf numFmtId="0" fontId="10" fillId="20" borderId="9" xfId="4" applyFont="1" applyFill="1" applyBorder="1" applyAlignment="1">
      <alignment horizontal="center" vertical="center"/>
    </xf>
    <xf numFmtId="0" fontId="10" fillId="20" borderId="28" xfId="4" applyFont="1" applyFill="1" applyBorder="1" applyAlignment="1">
      <alignment horizontal="center" vertical="center"/>
    </xf>
    <xf numFmtId="0" fontId="10" fillId="20" borderId="12" xfId="4" applyFont="1" applyFill="1" applyBorder="1" applyAlignment="1">
      <alignment horizontal="center" vertical="center"/>
    </xf>
    <xf numFmtId="2" fontId="8" fillId="0" borderId="0" xfId="0" applyNumberFormat="1" applyFont="1" applyAlignment="1">
      <alignment horizontal="center" vertical="center" wrapText="1"/>
    </xf>
    <xf numFmtId="0" fontId="10" fillId="0" borderId="5" xfId="0" applyFont="1" applyBorder="1" applyAlignment="1">
      <alignment horizontal="center" vertical="center"/>
    </xf>
    <xf numFmtId="0" fontId="10" fillId="0" borderId="16" xfId="0" applyFont="1" applyBorder="1" applyAlignment="1">
      <alignment horizontal="center" vertical="center"/>
    </xf>
    <xf numFmtId="0" fontId="10" fillId="20" borderId="0" xfId="0" applyFont="1" applyFill="1" applyAlignment="1">
      <alignment horizontal="center" vertical="center"/>
    </xf>
    <xf numFmtId="0" fontId="10" fillId="20" borderId="10" xfId="4" applyFont="1" applyFill="1" applyBorder="1" applyAlignment="1">
      <alignment horizontal="center" vertical="center"/>
    </xf>
    <xf numFmtId="0" fontId="65" fillId="23" borderId="49" xfId="7" applyFont="1" applyFill="1" applyBorder="1"/>
    <xf numFmtId="0" fontId="65" fillId="23" borderId="36" xfId="7" applyFont="1" applyFill="1" applyBorder="1"/>
    <xf numFmtId="0" fontId="63" fillId="31" borderId="34" xfId="7" applyFont="1" applyFill="1" applyBorder="1"/>
    <xf numFmtId="0" fontId="63" fillId="31" borderId="36" xfId="7" applyFont="1" applyFill="1" applyBorder="1"/>
    <xf numFmtId="0" fontId="72" fillId="30" borderId="34" xfId="7" applyFont="1" applyFill="1" applyBorder="1"/>
    <xf numFmtId="0" fontId="72" fillId="30" borderId="49" xfId="7" applyFont="1" applyFill="1" applyBorder="1"/>
    <xf numFmtId="0" fontId="72" fillId="30" borderId="36" xfId="7" applyFont="1" applyFill="1" applyBorder="1"/>
    <xf numFmtId="0" fontId="68" fillId="30" borderId="34" xfId="7" applyFont="1" applyFill="1" applyBorder="1"/>
    <xf numFmtId="0" fontId="68" fillId="30" borderId="49" xfId="7" applyFont="1" applyFill="1" applyBorder="1"/>
    <xf numFmtId="0" fontId="68" fillId="30" borderId="36" xfId="7" applyFont="1" applyFill="1" applyBorder="1"/>
    <xf numFmtId="0" fontId="74" fillId="30" borderId="34" xfId="7" applyFont="1" applyFill="1" applyBorder="1"/>
    <xf numFmtId="0" fontId="74" fillId="30" borderId="49" xfId="7" applyFont="1" applyFill="1" applyBorder="1"/>
    <xf numFmtId="0" fontId="74" fillId="30" borderId="36" xfId="7" applyFont="1" applyFill="1" applyBorder="1"/>
    <xf numFmtId="0" fontId="1" fillId="31" borderId="34" xfId="7" applyFill="1" applyBorder="1"/>
    <xf numFmtId="0" fontId="1" fillId="31" borderId="36" xfId="7" applyFill="1" applyBorder="1"/>
    <xf numFmtId="0" fontId="63" fillId="0" borderId="34" xfId="7" applyFont="1" applyBorder="1"/>
    <xf numFmtId="0" fontId="63" fillId="0" borderId="36" xfId="7" applyFont="1" applyBorder="1"/>
    <xf numFmtId="0" fontId="3" fillId="22" borderId="9" xfId="0" applyFont="1" applyFill="1" applyBorder="1" applyAlignment="1">
      <alignment horizontal="center" vertical="center"/>
    </xf>
    <xf numFmtId="0" fontId="3" fillId="22" borderId="10" xfId="0" applyFont="1" applyFill="1" applyBorder="1" applyAlignment="1">
      <alignment horizontal="center" vertical="center"/>
    </xf>
    <xf numFmtId="0" fontId="10" fillId="0" borderId="0" xfId="0" applyFont="1" applyAlignment="1">
      <alignment horizontal="center"/>
    </xf>
    <xf numFmtId="0" fontId="80" fillId="0" borderId="0" xfId="0" applyFont="1" applyAlignment="1">
      <alignment horizontal="center"/>
    </xf>
    <xf numFmtId="1" fontId="10" fillId="0" borderId="2" xfId="0" applyNumberFormat="1" applyFont="1" applyBorder="1" applyAlignment="1">
      <alignment horizontal="center" vertical="center"/>
    </xf>
    <xf numFmtId="0" fontId="10" fillId="0" borderId="2" xfId="0" applyFont="1" applyBorder="1" applyAlignment="1">
      <alignment horizontal="center" vertical="center"/>
    </xf>
    <xf numFmtId="0" fontId="87" fillId="0" borderId="0" xfId="0" applyFont="1" applyAlignment="1">
      <alignment horizontal="center"/>
    </xf>
    <xf numFmtId="0" fontId="4" fillId="0" borderId="0" xfId="0" applyFont="1" applyAlignment="1">
      <alignment horizontal="left" wrapText="1"/>
    </xf>
    <xf numFmtId="0" fontId="4" fillId="0" borderId="0" xfId="0" applyFont="1" applyAlignment="1">
      <alignment horizontal="left"/>
    </xf>
    <xf numFmtId="0" fontId="7" fillId="0" borderId="0" xfId="0" applyFont="1" applyAlignment="1">
      <alignment horizontal="center"/>
    </xf>
    <xf numFmtId="0" fontId="7" fillId="20" borderId="9" xfId="42" applyFont="1" applyFill="1" applyBorder="1" applyAlignment="1">
      <alignment horizontal="center" vertical="center"/>
    </xf>
    <xf numFmtId="0" fontId="7" fillId="20" borderId="10" xfId="42" applyFont="1" applyFill="1" applyBorder="1" applyAlignment="1">
      <alignment horizontal="center" vertical="center"/>
    </xf>
    <xf numFmtId="0" fontId="7" fillId="20" borderId="11" xfId="42" applyFont="1" applyFill="1" applyBorder="1" applyAlignment="1">
      <alignment horizontal="center" vertical="center"/>
    </xf>
    <xf numFmtId="0" fontId="60" fillId="0" borderId="28" xfId="42" applyFont="1" applyBorder="1" applyAlignment="1">
      <alignment horizontal="right" vertical="center"/>
    </xf>
    <xf numFmtId="0" fontId="60" fillId="0" borderId="0" xfId="42" applyFont="1" applyBorder="1" applyAlignment="1">
      <alignment horizontal="right" vertical="center"/>
    </xf>
    <xf numFmtId="0" fontId="60" fillId="0" borderId="27" xfId="42" applyFont="1" applyBorder="1" applyAlignment="1">
      <alignment horizontal="right" vertical="center"/>
    </xf>
    <xf numFmtId="0" fontId="7" fillId="30" borderId="12" xfId="0" applyFont="1" applyFill="1" applyBorder="1" applyAlignment="1">
      <alignment horizontal="center" vertical="center"/>
    </xf>
    <xf numFmtId="0" fontId="7" fillId="30" borderId="1" xfId="0" applyFont="1" applyFill="1" applyBorder="1" applyAlignment="1">
      <alignment horizontal="center" vertical="center"/>
    </xf>
    <xf numFmtId="0" fontId="7" fillId="0" borderId="28" xfId="52" applyFont="1" applyBorder="1" applyAlignment="1">
      <alignment horizontal="right" vertical="center"/>
    </xf>
    <xf numFmtId="0" fontId="7" fillId="0" borderId="27" xfId="52" applyFont="1" applyBorder="1" applyAlignment="1">
      <alignment horizontal="right" vertical="center"/>
    </xf>
    <xf numFmtId="0" fontId="7" fillId="0" borderId="28" xfId="44" applyFont="1" applyBorder="1" applyAlignment="1">
      <alignment horizontal="right" vertical="center"/>
    </xf>
    <xf numFmtId="0" fontId="7" fillId="0" borderId="0" xfId="44" applyFont="1" applyBorder="1" applyAlignment="1">
      <alignment horizontal="right" vertical="center"/>
    </xf>
    <xf numFmtId="0" fontId="7" fillId="30" borderId="2" xfId="0" applyFont="1" applyFill="1" applyBorder="1" applyAlignment="1">
      <alignment horizontal="center" vertical="center"/>
    </xf>
    <xf numFmtId="0" fontId="4" fillId="0" borderId="0" xfId="44" applyAlignment="1">
      <alignment horizontal="left" vertical="top" wrapText="1"/>
    </xf>
    <xf numFmtId="0" fontId="7" fillId="4" borderId="9" xfId="44" applyFont="1" applyFill="1" applyBorder="1" applyAlignment="1">
      <alignment horizontal="center" vertical="center"/>
    </xf>
    <xf numFmtId="0" fontId="7" fillId="4" borderId="10" xfId="44" applyFont="1" applyFill="1" applyBorder="1" applyAlignment="1">
      <alignment horizontal="center" vertical="center"/>
    </xf>
    <xf numFmtId="0" fontId="7" fillId="4" borderId="11" xfId="44" applyFont="1" applyFill="1" applyBorder="1" applyAlignment="1">
      <alignment horizontal="center" vertical="center"/>
    </xf>
    <xf numFmtId="0" fontId="3" fillId="0" borderId="28" xfId="0" applyFont="1" applyBorder="1" applyAlignment="1">
      <alignment horizontal="center"/>
    </xf>
    <xf numFmtId="0" fontId="3" fillId="0" borderId="0" xfId="0" applyFont="1" applyBorder="1" applyAlignment="1">
      <alignment horizontal="center"/>
    </xf>
    <xf numFmtId="0" fontId="3" fillId="0" borderId="27" xfId="0" applyFont="1" applyBorder="1" applyAlignment="1">
      <alignment horizontal="center"/>
    </xf>
    <xf numFmtId="0" fontId="7" fillId="4" borderId="2" xfId="0" applyFont="1" applyFill="1" applyBorder="1" applyAlignment="1">
      <alignment horizontal="center" vertical="center"/>
    </xf>
    <xf numFmtId="0" fontId="50" fillId="0" borderId="28" xfId="42" applyFont="1" applyBorder="1" applyAlignment="1">
      <alignment horizontal="center" vertical="center"/>
    </xf>
    <xf numFmtId="0" fontId="50" fillId="0" borderId="0" xfId="42" applyFont="1" applyBorder="1" applyAlignment="1">
      <alignment horizontal="center" vertical="center"/>
    </xf>
    <xf numFmtId="0" fontId="50" fillId="0" borderId="27" xfId="42" applyFont="1" applyBorder="1" applyAlignment="1">
      <alignment horizontal="center" vertical="center"/>
    </xf>
    <xf numFmtId="0" fontId="38" fillId="4" borderId="9" xfId="42" applyFont="1" applyFill="1" applyBorder="1" applyAlignment="1">
      <alignment horizontal="center" vertical="center"/>
    </xf>
    <xf numFmtId="0" fontId="38" fillId="4" borderId="10" xfId="42" applyFont="1" applyFill="1" applyBorder="1" applyAlignment="1">
      <alignment horizontal="center" vertical="center"/>
    </xf>
    <xf numFmtId="0" fontId="38" fillId="4" borderId="11" xfId="42" applyFont="1" applyFill="1" applyBorder="1" applyAlignment="1">
      <alignment horizontal="center" vertical="center"/>
    </xf>
    <xf numFmtId="0" fontId="38" fillId="0" borderId="28" xfId="42" applyFont="1" applyBorder="1" applyAlignment="1">
      <alignment horizontal="right" vertical="center"/>
    </xf>
    <xf numFmtId="0" fontId="38" fillId="0" borderId="0" xfId="42" applyFont="1" applyBorder="1" applyAlignment="1">
      <alignment horizontal="right" vertical="center"/>
    </xf>
    <xf numFmtId="0" fontId="38" fillId="0" borderId="27" xfId="42" applyFont="1" applyBorder="1" applyAlignment="1">
      <alignment horizontal="right" vertical="center"/>
    </xf>
    <xf numFmtId="0" fontId="7" fillId="4" borderId="9" xfId="42" applyFont="1" applyFill="1" applyBorder="1" applyAlignment="1">
      <alignment horizontal="center" vertical="center"/>
    </xf>
    <xf numFmtId="0" fontId="7" fillId="4" borderId="10" xfId="42" applyFont="1" applyFill="1" applyBorder="1" applyAlignment="1">
      <alignment horizontal="center" vertical="center"/>
    </xf>
    <xf numFmtId="0" fontId="4" fillId="0" borderId="28" xfId="42" applyFont="1" applyBorder="1" applyAlignment="1">
      <alignment horizontal="center" vertical="center"/>
    </xf>
    <xf numFmtId="0" fontId="4" fillId="0" borderId="0" xfId="42" applyFont="1" applyBorder="1" applyAlignment="1">
      <alignment horizontal="center" vertical="center"/>
    </xf>
    <xf numFmtId="3" fontId="4" fillId="0" borderId="28" xfId="42" applyNumberFormat="1" applyFont="1" applyBorder="1" applyAlignment="1">
      <alignment horizontal="center" vertical="center" wrapText="1"/>
    </xf>
    <xf numFmtId="0" fontId="7" fillId="4" borderId="11" xfId="42" applyFont="1" applyFill="1" applyBorder="1" applyAlignment="1">
      <alignment horizontal="center" vertical="center"/>
    </xf>
    <xf numFmtId="0" fontId="35" fillId="0" borderId="28" xfId="0" applyFont="1" applyBorder="1" applyAlignment="1">
      <alignment horizontal="left" vertical="top" wrapText="1"/>
    </xf>
    <xf numFmtId="0" fontId="35" fillId="0" borderId="0" xfId="0" applyFont="1" applyBorder="1" applyAlignment="1">
      <alignment horizontal="left" vertical="top" wrapText="1"/>
    </xf>
    <xf numFmtId="0" fontId="35" fillId="0" borderId="27" xfId="0" applyFont="1" applyBorder="1" applyAlignment="1">
      <alignment horizontal="left" vertical="top" wrapText="1"/>
    </xf>
  </cellXfs>
  <cellStyles count="55">
    <cellStyle name="Accent1" xfId="4" builtinId="29"/>
    <cellStyle name="Bad 2" xfId="9" xr:uid="{00000000-0005-0000-0000-000001000000}"/>
    <cellStyle name="Calculation 2" xfId="10" xr:uid="{00000000-0005-0000-0000-000002000000}"/>
    <cellStyle name="Check Cell 2" xfId="11" xr:uid="{00000000-0005-0000-0000-000003000000}"/>
    <cellStyle name="Comma" xfId="1" builtinId="3"/>
    <cellStyle name="Comma 2" xfId="6" xr:uid="{00000000-0005-0000-0000-000005000000}"/>
    <cellStyle name="Comma 2 2" xfId="12" xr:uid="{00000000-0005-0000-0000-000006000000}"/>
    <cellStyle name="Comma 2 3" xfId="43" xr:uid="{00000000-0005-0000-0000-000007000000}"/>
    <cellStyle name="Explanatory Text 2" xfId="13" xr:uid="{00000000-0005-0000-0000-000008000000}"/>
    <cellStyle name="Good 2" xfId="14" xr:uid="{00000000-0005-0000-0000-000009000000}"/>
    <cellStyle name="Heading 1 2" xfId="15" xr:uid="{00000000-0005-0000-0000-00000A000000}"/>
    <cellStyle name="Heading 2 2" xfId="16" xr:uid="{00000000-0005-0000-0000-00000B000000}"/>
    <cellStyle name="Heading 3 2" xfId="17" xr:uid="{00000000-0005-0000-0000-00000C000000}"/>
    <cellStyle name="Heading 4 2" xfId="18" xr:uid="{00000000-0005-0000-0000-00000D000000}"/>
    <cellStyle name="Hyperlink" xfId="5" builtinId="8"/>
    <cellStyle name="Hyperlink 2" xfId="19" xr:uid="{00000000-0005-0000-0000-00000F000000}"/>
    <cellStyle name="Input 2" xfId="20" xr:uid="{00000000-0005-0000-0000-000010000000}"/>
    <cellStyle name="Linked Cell 2" xfId="21" xr:uid="{00000000-0005-0000-0000-000011000000}"/>
    <cellStyle name="Neutral 2" xfId="22" xr:uid="{00000000-0005-0000-0000-000012000000}"/>
    <cellStyle name="Normal" xfId="0" builtinId="0"/>
    <cellStyle name="Normal 10" xfId="2" xr:uid="{00000000-0005-0000-0000-000014000000}"/>
    <cellStyle name="Normal 2" xfId="7" xr:uid="{00000000-0005-0000-0000-000015000000}"/>
    <cellStyle name="Normal 2 2" xfId="42" xr:uid="{00000000-0005-0000-0000-000016000000}"/>
    <cellStyle name="Normal 2 3" xfId="45" xr:uid="{00000000-0005-0000-0000-000017000000}"/>
    <cellStyle name="Normal 2 4" xfId="48" xr:uid="{00000000-0005-0000-0000-000018000000}"/>
    <cellStyle name="Normal 2 5" xfId="50" xr:uid="{00000000-0005-0000-0000-000019000000}"/>
    <cellStyle name="Normal 3" xfId="23" xr:uid="{00000000-0005-0000-0000-00001A000000}"/>
    <cellStyle name="Normal 3 2" xfId="46" xr:uid="{00000000-0005-0000-0000-00001B000000}"/>
    <cellStyle name="Normal 3 3" xfId="49" xr:uid="{00000000-0005-0000-0000-00001C000000}"/>
    <cellStyle name="Normal 4" xfId="8" xr:uid="{00000000-0005-0000-0000-00001D000000}"/>
    <cellStyle name="Normal 5" xfId="52" xr:uid="{00000000-0005-0000-0000-00001E000000}"/>
    <cellStyle name="Normal 5 2" xfId="44" xr:uid="{00000000-0005-0000-0000-00001F000000}"/>
    <cellStyle name="Normal 6 2" xfId="51" xr:uid="{00000000-0005-0000-0000-000020000000}"/>
    <cellStyle name="Note 2" xfId="24" xr:uid="{00000000-0005-0000-0000-000021000000}"/>
    <cellStyle name="Output 2" xfId="25" xr:uid="{00000000-0005-0000-0000-000022000000}"/>
    <cellStyle name="Percent" xfId="3" builtinId="5"/>
    <cellStyle name="Percent 2" xfId="27" xr:uid="{00000000-0005-0000-0000-000024000000}"/>
    <cellStyle name="Percent 2 2" xfId="47" xr:uid="{00000000-0005-0000-0000-000025000000}"/>
    <cellStyle name="Percent 3" xfId="26" xr:uid="{00000000-0005-0000-0000-000026000000}"/>
    <cellStyle name="Percent 4" xfId="53" xr:uid="{00000000-0005-0000-0000-000027000000}"/>
    <cellStyle name="Percent 4 2" xfId="54" xr:uid="{00000000-0005-0000-0000-000028000000}"/>
    <cellStyle name="Smart Bold" xfId="28" xr:uid="{00000000-0005-0000-0000-000029000000}"/>
    <cellStyle name="Smart Forecast" xfId="29" xr:uid="{00000000-0005-0000-0000-00002A000000}"/>
    <cellStyle name="Smart General" xfId="30" xr:uid="{00000000-0005-0000-0000-00002B000000}"/>
    <cellStyle name="Smart Highlight" xfId="31" xr:uid="{00000000-0005-0000-0000-00002C000000}"/>
    <cellStyle name="Smart Percent" xfId="32" xr:uid="{00000000-0005-0000-0000-00002D000000}"/>
    <cellStyle name="Smart Source" xfId="33" xr:uid="{00000000-0005-0000-0000-00002E000000}"/>
    <cellStyle name="Smart Subtitle 1" xfId="34" xr:uid="{00000000-0005-0000-0000-00002F000000}"/>
    <cellStyle name="Smart Subtitle 2" xfId="35" xr:uid="{00000000-0005-0000-0000-000030000000}"/>
    <cellStyle name="Smart Subtitle 3" xfId="36" xr:uid="{00000000-0005-0000-0000-000031000000}"/>
    <cellStyle name="Smart Subtotal" xfId="37" xr:uid="{00000000-0005-0000-0000-000032000000}"/>
    <cellStyle name="Smart Title" xfId="38" xr:uid="{00000000-0005-0000-0000-000033000000}"/>
    <cellStyle name="Smart Total" xfId="39" xr:uid="{00000000-0005-0000-0000-000034000000}"/>
    <cellStyle name="Title 2" xfId="40" xr:uid="{00000000-0005-0000-0000-000035000000}"/>
    <cellStyle name="Total 2" xfId="41" xr:uid="{00000000-0005-0000-0000-00003600000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left/>
        <right/>
        <top/>
        <bottom/>
        <vertical/>
        <horizontal/>
      </border>
    </dxf>
  </dxfs>
  <tableStyles count="0" defaultTableStyle="TableStyleMedium2" defaultPivotStyle="PivotStyleLight16"/>
  <colors>
    <mruColors>
      <color rgb="FF136D1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2.xml"/><Relationship Id="rId50" Type="http://schemas.openxmlformats.org/officeDocument/2006/relationships/externalLink" Target="externalLinks/externalLink5.xml"/><Relationship Id="rId55" Type="http://schemas.openxmlformats.org/officeDocument/2006/relationships/externalLink" Target="externalLinks/externalLink10.xml"/><Relationship Id="rId63" Type="http://schemas.openxmlformats.org/officeDocument/2006/relationships/connections" Target="connections.xml"/><Relationship Id="rId68"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8.xml"/><Relationship Id="rId58" Type="http://schemas.openxmlformats.org/officeDocument/2006/relationships/externalLink" Target="externalLinks/externalLink13.xml"/><Relationship Id="rId66" Type="http://schemas.openxmlformats.org/officeDocument/2006/relationships/sheetMetadata" Target="metadata.xml"/><Relationship Id="rId5" Type="http://schemas.openxmlformats.org/officeDocument/2006/relationships/worksheet" Target="worksheets/sheet5.xml"/><Relationship Id="rId61" Type="http://schemas.openxmlformats.org/officeDocument/2006/relationships/externalLink" Target="externalLinks/externalLink16.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3.xml"/><Relationship Id="rId56" Type="http://schemas.openxmlformats.org/officeDocument/2006/relationships/externalLink" Target="externalLinks/externalLink11.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1.xml"/><Relationship Id="rId59" Type="http://schemas.openxmlformats.org/officeDocument/2006/relationships/externalLink" Target="externalLinks/externalLink14.xml"/><Relationship Id="rId67"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9.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4.xml"/><Relationship Id="rId57" Type="http://schemas.openxmlformats.org/officeDocument/2006/relationships/externalLink" Target="externalLinks/externalLink1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7.xml"/><Relationship Id="rId60" Type="http://schemas.openxmlformats.org/officeDocument/2006/relationships/externalLink" Target="externalLinks/externalLink15.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[6]Sheet2!$D$2</c:f>
          <c:strCache>
            <c:ptCount val="1"/>
            <c:pt idx="0">
              <c:v>Financials</c:v>
            </c:pt>
          </c:strCache>
        </c:strRef>
      </c:tx>
      <c:layout>
        <c:manualLayout>
          <c:xMode val="edge"/>
          <c:yMode val="edge"/>
          <c:x val="3.1258597455615131E-3"/>
          <c:y val="4.3654779354694619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70C0"/>
              </a:solidFill>
              <a:latin typeface="+mn-lt"/>
              <a:ea typeface="+mn-ea"/>
              <a:cs typeface="+mn-cs"/>
            </a:defRPr>
          </a:pPr>
          <a:endParaRPr lang="en-US"/>
        </a:p>
      </c:txPr>
    </c:title>
    <c:autoTitleDeleted val="0"/>
    <c:plotArea>
      <c:layout>
        <c:manualLayout>
          <c:layoutTarget val="inner"/>
          <c:xMode val="edge"/>
          <c:yMode val="edge"/>
          <c:x val="0.48283341685848591"/>
          <c:y val="2.9864409421087933E-2"/>
          <c:w val="0.51468535706281315"/>
          <c:h val="0.97013559057891197"/>
        </c:manualLayout>
      </c:layout>
      <c:barChart>
        <c:barDir val="bar"/>
        <c:grouping val="clustered"/>
        <c:varyColors val="0"/>
        <c:ser>
          <c:idx val="0"/>
          <c:order val="0"/>
          <c:tx>
            <c:strRef>
              <c:f>Sheet2!$D$3</c:f>
              <c:strCache>
                <c:ptCount val="1"/>
                <c:pt idx="0">
                  <c:v>Operating Revenue</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Sheet2!$E$2</c:f>
              <c:strCache>
                <c:ptCount val="1"/>
                <c:pt idx="0">
                  <c:v>INR Cr</c:v>
                </c:pt>
              </c:strCache>
            </c:strRef>
          </c:cat>
          <c:val>
            <c:numRef>
              <c:f>Sheet2!$E$3</c:f>
              <c:numCache>
                <c:formatCode>0</c:formatCode>
                <c:ptCount val="1"/>
                <c:pt idx="0">
                  <c:v>5166.1587522812979</c:v>
                </c:pt>
              </c:numCache>
            </c:numRef>
          </c:val>
          <c:extLst>
            <c:ext xmlns:c16="http://schemas.microsoft.com/office/drawing/2014/chart" uri="{C3380CC4-5D6E-409C-BE32-E72D297353CC}">
              <c16:uniqueId val="{00000000-1E06-49A5-9226-70FE23FC4880}"/>
            </c:ext>
          </c:extLst>
        </c:ser>
        <c:ser>
          <c:idx val="1"/>
          <c:order val="1"/>
          <c:tx>
            <c:strRef>
              <c:f>Sheet2!$D$4</c:f>
              <c:strCache>
                <c:ptCount val="1"/>
                <c:pt idx="0">
                  <c:v>Total Operating Cost</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Sheet2!$E$2</c:f>
              <c:strCache>
                <c:ptCount val="1"/>
                <c:pt idx="0">
                  <c:v>INR Cr</c:v>
                </c:pt>
              </c:strCache>
            </c:strRef>
          </c:cat>
          <c:val>
            <c:numRef>
              <c:f>Sheet2!$E$4</c:f>
              <c:numCache>
                <c:formatCode>0</c:formatCode>
                <c:ptCount val="1"/>
                <c:pt idx="0">
                  <c:v>3052.8387271449997</c:v>
                </c:pt>
              </c:numCache>
            </c:numRef>
          </c:val>
          <c:extLst>
            <c:ext xmlns:c16="http://schemas.microsoft.com/office/drawing/2014/chart" uri="{C3380CC4-5D6E-409C-BE32-E72D297353CC}">
              <c16:uniqueId val="{00000001-1E06-49A5-9226-70FE23FC4880}"/>
            </c:ext>
          </c:extLst>
        </c:ser>
        <c:ser>
          <c:idx val="2"/>
          <c:order val="2"/>
          <c:tx>
            <c:strRef>
              <c:f>Sheet2!$D$5</c:f>
              <c:strCache>
                <c:ptCount val="1"/>
                <c:pt idx="0">
                  <c:v>Gross Margin (EBITDA/PBITDA)</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Sheet2!$E$2</c:f>
              <c:strCache>
                <c:ptCount val="1"/>
                <c:pt idx="0">
                  <c:v>INR Cr</c:v>
                </c:pt>
              </c:strCache>
            </c:strRef>
          </c:cat>
          <c:val>
            <c:numRef>
              <c:f>Sheet2!$E$5</c:f>
              <c:numCache>
                <c:formatCode>0</c:formatCode>
                <c:ptCount val="1"/>
                <c:pt idx="0">
                  <c:v>2113.3200251362982</c:v>
                </c:pt>
              </c:numCache>
            </c:numRef>
          </c:val>
          <c:extLst>
            <c:ext xmlns:c16="http://schemas.microsoft.com/office/drawing/2014/chart" uri="{C3380CC4-5D6E-409C-BE32-E72D297353CC}">
              <c16:uniqueId val="{00000002-1E06-49A5-9226-70FE23FC4880}"/>
            </c:ext>
          </c:extLst>
        </c:ser>
        <c:ser>
          <c:idx val="3"/>
          <c:order val="3"/>
          <c:tx>
            <c:strRef>
              <c:f>Sheet2!$D$6</c:f>
              <c:strCache>
                <c:ptCount val="1"/>
                <c:pt idx="0">
                  <c:v>Net Cash Flow</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Sheet2!$E$2</c:f>
              <c:strCache>
                <c:ptCount val="1"/>
                <c:pt idx="0">
                  <c:v>INR Cr</c:v>
                </c:pt>
              </c:strCache>
            </c:strRef>
          </c:cat>
          <c:val>
            <c:numRef>
              <c:f>Sheet2!$E$6</c:f>
              <c:numCache>
                <c:formatCode>0</c:formatCode>
                <c:ptCount val="1"/>
                <c:pt idx="0">
                  <c:v>2113.3200251362982</c:v>
                </c:pt>
              </c:numCache>
            </c:numRef>
          </c:val>
          <c:extLst>
            <c:ext xmlns:c16="http://schemas.microsoft.com/office/drawing/2014/chart" uri="{C3380CC4-5D6E-409C-BE32-E72D297353CC}">
              <c16:uniqueId val="{00000003-1E06-49A5-9226-70FE23FC4880}"/>
            </c:ext>
          </c:extLst>
        </c:ser>
        <c:dLbls>
          <c:dLblPos val="outEnd"/>
          <c:showLegendKey val="0"/>
          <c:showVal val="1"/>
          <c:showCatName val="0"/>
          <c:showSerName val="0"/>
          <c:showPercent val="0"/>
          <c:showBubbleSize val="0"/>
        </c:dLbls>
        <c:gapWidth val="134"/>
        <c:overlap val="-11"/>
        <c:axId val="1245255455"/>
        <c:axId val="1245260447"/>
      </c:barChart>
      <c:catAx>
        <c:axId val="1245255455"/>
        <c:scaling>
          <c:orientation val="minMax"/>
        </c:scaling>
        <c:delete val="1"/>
        <c:axPos val="l"/>
        <c:numFmt formatCode="General" sourceLinked="1"/>
        <c:majorTickMark val="none"/>
        <c:minorTickMark val="none"/>
        <c:tickLblPos val="nextTo"/>
        <c:crossAx val="1245260447"/>
        <c:crosses val="autoZero"/>
        <c:auto val="1"/>
        <c:lblAlgn val="ctr"/>
        <c:lblOffset val="100"/>
        <c:noMultiLvlLbl val="0"/>
      </c:catAx>
      <c:valAx>
        <c:axId val="1245260447"/>
        <c:scaling>
          <c:orientation val="minMax"/>
        </c:scaling>
        <c:delete val="1"/>
        <c:axPos val="b"/>
        <c:numFmt formatCode="0" sourceLinked="1"/>
        <c:majorTickMark val="none"/>
        <c:minorTickMark val="none"/>
        <c:tickLblPos val="nextTo"/>
        <c:crossAx val="1245255455"/>
        <c:crosses val="autoZero"/>
        <c:crossBetween val="between"/>
      </c:valAx>
      <c:spPr>
        <a:noFill/>
        <a:ln>
          <a:noFill/>
        </a:ln>
        <a:effectLst/>
      </c:spPr>
    </c:plotArea>
    <c:legend>
      <c:legendPos val="b"/>
      <c:legendEntry>
        <c:idx val="0"/>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2"/>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3"/>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ayout>
        <c:manualLayout>
          <c:xMode val="edge"/>
          <c:yMode val="edge"/>
          <c:x val="0"/>
          <c:y val="0.16893342877594847"/>
          <c:w val="0.48403946932023634"/>
          <c:h val="0.7387561055108405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"Opex"</c:f>
          <c:strCache>
            <c:ptCount val="1"/>
            <c:pt idx="0">
              <c:v>Opex</c:v>
            </c:pt>
          </c:strCache>
        </c:strRef>
      </c:tx>
      <c:layout>
        <c:manualLayout>
          <c:xMode val="edge"/>
          <c:yMode val="edge"/>
          <c:x val="3.1258597455615131E-3"/>
          <c:y val="4.3654779354694619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70C0"/>
              </a:solidFill>
              <a:latin typeface="+mn-lt"/>
              <a:ea typeface="+mn-ea"/>
              <a:cs typeface="+mn-cs"/>
            </a:defRPr>
          </a:pPr>
          <a:endParaRPr lang="en-US"/>
        </a:p>
      </c:txPr>
    </c:title>
    <c:autoTitleDeleted val="0"/>
    <c:plotArea>
      <c:layout>
        <c:manualLayout>
          <c:layoutTarget val="inner"/>
          <c:xMode val="edge"/>
          <c:yMode val="edge"/>
          <c:x val="0.40117228068741262"/>
          <c:y val="6.4798908870015715E-2"/>
          <c:w val="0.59634633417637384"/>
          <c:h val="0.93520109112998429"/>
        </c:manualLayout>
      </c:layout>
      <c:barChart>
        <c:barDir val="bar"/>
        <c:grouping val="clustered"/>
        <c:varyColors val="0"/>
        <c:ser>
          <c:idx val="0"/>
          <c:order val="0"/>
          <c:tx>
            <c:strRef>
              <c:f>Sheet2!$A$11</c:f>
              <c:strCache>
                <c:ptCount val="1"/>
                <c:pt idx="0">
                  <c:v>MANUFACTURING COST</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Sheet2!$B$10</c:f>
              <c:strCache>
                <c:ptCount val="1"/>
                <c:pt idx="0">
                  <c:v>INR Cr</c:v>
                </c:pt>
              </c:strCache>
            </c:strRef>
          </c:cat>
          <c:val>
            <c:numRef>
              <c:f>Sheet2!$B$11</c:f>
              <c:numCache>
                <c:formatCode>0</c:formatCode>
                <c:ptCount val="1"/>
                <c:pt idx="0">
                  <c:v>3144.9225283125538</c:v>
                </c:pt>
              </c:numCache>
            </c:numRef>
          </c:val>
          <c:extLst>
            <c:ext xmlns:c16="http://schemas.microsoft.com/office/drawing/2014/chart" uri="{C3380CC4-5D6E-409C-BE32-E72D297353CC}">
              <c16:uniqueId val="{00000000-288B-4413-ABAE-B29C42A7CD6B}"/>
            </c:ext>
          </c:extLst>
        </c:ser>
        <c:ser>
          <c:idx val="1"/>
          <c:order val="1"/>
          <c:tx>
            <c:strRef>
              <c:f>Sheet2!$A$12</c:f>
              <c:strCache>
                <c:ptCount val="1"/>
                <c:pt idx="0">
                  <c:v>Raw materials </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Sheet2!$B$10</c:f>
              <c:strCache>
                <c:ptCount val="1"/>
                <c:pt idx="0">
                  <c:v>INR Cr</c:v>
                </c:pt>
              </c:strCache>
            </c:strRef>
          </c:cat>
          <c:val>
            <c:numRef>
              <c:f>Sheet2!$B$12</c:f>
              <c:numCache>
                <c:formatCode>0</c:formatCode>
                <c:ptCount val="1"/>
                <c:pt idx="0">
                  <c:v>2438.7908600858559</c:v>
                </c:pt>
              </c:numCache>
            </c:numRef>
          </c:val>
          <c:extLst>
            <c:ext xmlns:c16="http://schemas.microsoft.com/office/drawing/2014/chart" uri="{C3380CC4-5D6E-409C-BE32-E72D297353CC}">
              <c16:uniqueId val="{00000001-288B-4413-ABAE-B29C42A7CD6B}"/>
            </c:ext>
          </c:extLst>
        </c:ser>
        <c:ser>
          <c:idx val="2"/>
          <c:order val="2"/>
          <c:tx>
            <c:strRef>
              <c:f>Sheet2!$A$13</c:f>
              <c:strCache>
                <c:ptCount val="1"/>
                <c:pt idx="0">
                  <c:v>Catalyst &amp; Chemicals</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Sheet2!$B$10</c:f>
              <c:strCache>
                <c:ptCount val="1"/>
                <c:pt idx="0">
                  <c:v>INR Cr</c:v>
                </c:pt>
              </c:strCache>
            </c:strRef>
          </c:cat>
          <c:val>
            <c:numRef>
              <c:f>Sheet2!$B$13</c:f>
              <c:numCache>
                <c:formatCode>0</c:formatCode>
                <c:ptCount val="1"/>
                <c:pt idx="0">
                  <c:v>149.50201821018209</c:v>
                </c:pt>
              </c:numCache>
            </c:numRef>
          </c:val>
          <c:extLst>
            <c:ext xmlns:c16="http://schemas.microsoft.com/office/drawing/2014/chart" uri="{C3380CC4-5D6E-409C-BE32-E72D297353CC}">
              <c16:uniqueId val="{00000002-288B-4413-ABAE-B29C42A7CD6B}"/>
            </c:ext>
          </c:extLst>
        </c:ser>
        <c:ser>
          <c:idx val="3"/>
          <c:order val="3"/>
          <c:tx>
            <c:strRef>
              <c:f>Sheet2!$A$14</c:f>
              <c:strCache>
                <c:ptCount val="1"/>
                <c:pt idx="0">
                  <c:v>Labour</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Sheet2!$B$10</c:f>
              <c:strCache>
                <c:ptCount val="1"/>
                <c:pt idx="0">
                  <c:v>INR Cr</c:v>
                </c:pt>
              </c:strCache>
            </c:strRef>
          </c:cat>
          <c:val>
            <c:numRef>
              <c:f>Sheet2!$B$14</c:f>
              <c:numCache>
                <c:formatCode>0</c:formatCode>
                <c:ptCount val="1"/>
                <c:pt idx="0">
                  <c:v>58.772785499999991</c:v>
                </c:pt>
              </c:numCache>
            </c:numRef>
          </c:val>
          <c:extLst>
            <c:ext xmlns:c16="http://schemas.microsoft.com/office/drawing/2014/chart" uri="{C3380CC4-5D6E-409C-BE32-E72D297353CC}">
              <c16:uniqueId val="{00000003-288B-4413-ABAE-B29C42A7CD6B}"/>
            </c:ext>
          </c:extLst>
        </c:ser>
        <c:ser>
          <c:idx val="4"/>
          <c:order val="4"/>
          <c:tx>
            <c:strRef>
              <c:f>Sheet2!$A$15</c:f>
              <c:strCache>
                <c:ptCount val="1"/>
                <c:pt idx="0">
                  <c:v>Variable Overheads</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Sheet2!$B$10</c:f>
              <c:strCache>
                <c:ptCount val="1"/>
                <c:pt idx="0">
                  <c:v>INR Cr</c:v>
                </c:pt>
              </c:strCache>
            </c:strRef>
          </c:cat>
          <c:val>
            <c:numRef>
              <c:f>Sheet2!$B$15</c:f>
              <c:numCache>
                <c:formatCode>0</c:formatCode>
                <c:ptCount val="1"/>
                <c:pt idx="0">
                  <c:v>389.06113085477159</c:v>
                </c:pt>
              </c:numCache>
            </c:numRef>
          </c:val>
          <c:extLst>
            <c:ext xmlns:c16="http://schemas.microsoft.com/office/drawing/2014/chart" uri="{C3380CC4-5D6E-409C-BE32-E72D297353CC}">
              <c16:uniqueId val="{00000004-288B-4413-ABAE-B29C42A7CD6B}"/>
            </c:ext>
          </c:extLst>
        </c:ser>
        <c:ser>
          <c:idx val="5"/>
          <c:order val="5"/>
          <c:tx>
            <c:strRef>
              <c:f>Sheet2!$A$16</c:f>
              <c:strCache>
                <c:ptCount val="1"/>
                <c:pt idx="0">
                  <c:v>Fixed Overheads</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Sheet2!$B$10</c:f>
              <c:strCache>
                <c:ptCount val="1"/>
                <c:pt idx="0">
                  <c:v>INR Cr</c:v>
                </c:pt>
              </c:strCache>
            </c:strRef>
          </c:cat>
          <c:val>
            <c:numRef>
              <c:f>Sheet2!$B$16</c:f>
              <c:numCache>
                <c:formatCode>0</c:formatCode>
                <c:ptCount val="1"/>
                <c:pt idx="0">
                  <c:v>108.79573366174417</c:v>
                </c:pt>
              </c:numCache>
            </c:numRef>
          </c:val>
          <c:extLst>
            <c:ext xmlns:c16="http://schemas.microsoft.com/office/drawing/2014/chart" uri="{C3380CC4-5D6E-409C-BE32-E72D297353CC}">
              <c16:uniqueId val="{00000005-288B-4413-ABAE-B29C42A7CD6B}"/>
            </c:ext>
          </c:extLst>
        </c:ser>
        <c:ser>
          <c:idx val="6"/>
          <c:order val="6"/>
          <c:tx>
            <c:strRef>
              <c:f>Sheet2!$A$17</c:f>
              <c:strCache>
                <c:ptCount val="1"/>
                <c:pt idx="0">
                  <c:v>Selling Overheads</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Sheet2!$B$10</c:f>
              <c:strCache>
                <c:ptCount val="1"/>
                <c:pt idx="0">
                  <c:v>INR Cr</c:v>
                </c:pt>
              </c:strCache>
            </c:strRef>
          </c:cat>
          <c:val>
            <c:numRef>
              <c:f>Sheet2!$B$17</c:f>
              <c:numCache>
                <c:formatCode>0</c:formatCode>
                <c:ptCount val="1"/>
                <c:pt idx="0">
                  <c:v>179.3375803381395</c:v>
                </c:pt>
              </c:numCache>
            </c:numRef>
          </c:val>
          <c:extLst>
            <c:ext xmlns:c16="http://schemas.microsoft.com/office/drawing/2014/chart" uri="{C3380CC4-5D6E-409C-BE32-E72D297353CC}">
              <c16:uniqueId val="{00000006-288B-4413-ABAE-B29C42A7CD6B}"/>
            </c:ext>
          </c:extLst>
        </c:ser>
        <c:ser>
          <c:idx val="7"/>
          <c:order val="7"/>
          <c:tx>
            <c:strRef>
              <c:f>Sheet2!$A$18</c:f>
              <c:strCache>
                <c:ptCount val="1"/>
                <c:pt idx="0">
                  <c:v>Total Operating Cost</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Sheet2!$B$10</c:f>
              <c:strCache>
                <c:ptCount val="1"/>
                <c:pt idx="0">
                  <c:v>INR Cr</c:v>
                </c:pt>
              </c:strCache>
            </c:strRef>
          </c:cat>
          <c:val>
            <c:numRef>
              <c:f>Sheet2!$B$18</c:f>
              <c:numCache>
                <c:formatCode>0</c:formatCode>
                <c:ptCount val="1"/>
                <c:pt idx="0">
                  <c:v>3324.2601086506934</c:v>
                </c:pt>
              </c:numCache>
            </c:numRef>
          </c:val>
          <c:extLst>
            <c:ext xmlns:c16="http://schemas.microsoft.com/office/drawing/2014/chart" uri="{C3380CC4-5D6E-409C-BE32-E72D297353CC}">
              <c16:uniqueId val="{00000000-5CA8-488A-B6EF-D17D1EE77114}"/>
            </c:ext>
          </c:extLst>
        </c:ser>
        <c:dLbls>
          <c:dLblPos val="outEnd"/>
          <c:showLegendKey val="0"/>
          <c:showVal val="1"/>
          <c:showCatName val="0"/>
          <c:showSerName val="0"/>
          <c:showPercent val="0"/>
          <c:showBubbleSize val="0"/>
        </c:dLbls>
        <c:gapWidth val="134"/>
        <c:overlap val="-11"/>
        <c:axId val="1245255455"/>
        <c:axId val="1245260447"/>
      </c:barChart>
      <c:catAx>
        <c:axId val="1245255455"/>
        <c:scaling>
          <c:orientation val="minMax"/>
        </c:scaling>
        <c:delete val="1"/>
        <c:axPos val="l"/>
        <c:numFmt formatCode="General" sourceLinked="1"/>
        <c:majorTickMark val="none"/>
        <c:minorTickMark val="none"/>
        <c:tickLblPos val="nextTo"/>
        <c:crossAx val="1245260447"/>
        <c:crosses val="autoZero"/>
        <c:auto val="1"/>
        <c:lblAlgn val="ctr"/>
        <c:lblOffset val="100"/>
        <c:noMultiLvlLbl val="0"/>
      </c:catAx>
      <c:valAx>
        <c:axId val="1245260447"/>
        <c:scaling>
          <c:orientation val="minMax"/>
        </c:scaling>
        <c:delete val="1"/>
        <c:axPos val="b"/>
        <c:numFmt formatCode="0" sourceLinked="1"/>
        <c:majorTickMark val="none"/>
        <c:minorTickMark val="none"/>
        <c:tickLblPos val="nextTo"/>
        <c:crossAx val="1245255455"/>
        <c:crosses val="autoZero"/>
        <c:crossBetween val="between"/>
      </c:valAx>
      <c:spPr>
        <a:noFill/>
        <a:ln>
          <a:noFill/>
        </a:ln>
        <a:effectLst/>
      </c:spPr>
    </c:plotArea>
    <c:legend>
      <c:legendPos val="b"/>
      <c:layout>
        <c:manualLayout>
          <c:xMode val="edge"/>
          <c:yMode val="edge"/>
          <c:x val="1.2135983002124731E-3"/>
          <c:y val="0.11581702942154064"/>
          <c:w val="0.39035646080548203"/>
          <c:h val="0.88418278297298036"/>
        </c:manualLayout>
      </c:layout>
      <c:overlay val="0"/>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867800049572953"/>
          <c:y val="0.19163348954361817"/>
          <c:w val="0.79851026322312235"/>
          <c:h val="0.62847114452452935"/>
        </c:manualLayout>
      </c:layout>
      <c:barChart>
        <c:barDir val="col"/>
        <c:grouping val="clustered"/>
        <c:varyColors val="0"/>
        <c:ser>
          <c:idx val="0"/>
          <c:order val="0"/>
          <c:tx>
            <c:strRef>
              <c:f>Sheet2!$B$20</c:f>
              <c:strCache>
                <c:ptCount val="1"/>
                <c:pt idx="0">
                  <c:v>INR Cr</c:v>
                </c:pt>
              </c:strCache>
            </c:strRef>
          </c:tx>
          <c:spPr>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a:noFill/>
            </a:ln>
            <a:scene3d>
              <a:camera prst="orthographicFront"/>
              <a:lightRig rig="threePt" dir="t"/>
            </a:scene3d>
            <a:sp3d>
              <a:bevelT w="190500" h="38100"/>
            </a:sp3d>
          </c:spPr>
          <c:invertIfNegative val="0"/>
          <c:dPt>
            <c:idx val="0"/>
            <c:invertIfNegative val="0"/>
            <c:bubble3D val="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a:noFill/>
              </a:ln>
              <a:scene3d>
                <a:camera prst="orthographicFront"/>
                <a:lightRig rig="threePt" dir="t"/>
              </a:scene3d>
              <a:sp3d>
                <a:bevelT w="190500" h="38100"/>
              </a:sp3d>
            </c:spPr>
            <c:extLst>
              <c:ext xmlns:c16="http://schemas.microsoft.com/office/drawing/2014/chart" uri="{C3380CC4-5D6E-409C-BE32-E72D297353CC}">
                <c16:uniqueId val="{00000001-6254-41C0-8C20-D1AC3BFB1D5A}"/>
              </c:ext>
            </c:extLst>
          </c:dPt>
          <c:dPt>
            <c:idx val="1"/>
            <c:invertIfNegative val="0"/>
            <c:bubble3D val="0"/>
            <c:spPr>
              <a:gradFill flip="none" rotWithShape="1">
                <a:gsLst>
                  <a:gs pos="0">
                    <a:schemeClr val="accent4">
                      <a:lumMod val="0"/>
                      <a:lumOff val="100000"/>
                    </a:schemeClr>
                  </a:gs>
                  <a:gs pos="20000">
                    <a:schemeClr val="accent4">
                      <a:lumMod val="0"/>
                      <a:lumOff val="100000"/>
                    </a:schemeClr>
                  </a:gs>
                  <a:gs pos="66000">
                    <a:schemeClr val="accent4">
                      <a:lumMod val="100000"/>
                    </a:schemeClr>
                  </a:gs>
                </a:gsLst>
                <a:path path="circle">
                  <a:fillToRect l="50000" t="-80000" r="50000" b="180000"/>
                </a:path>
                <a:tileRect/>
              </a:gradFill>
              <a:ln w="19050">
                <a:noFill/>
              </a:ln>
              <a:effectLst/>
              <a:scene3d>
                <a:camera prst="orthographicFront"/>
                <a:lightRig rig="threePt" dir="t"/>
              </a:scene3d>
              <a:sp3d>
                <a:bevelT w="190500" h="38100"/>
              </a:sp3d>
            </c:spPr>
            <c:extLst>
              <c:ext xmlns:c16="http://schemas.microsoft.com/office/drawing/2014/chart" uri="{C3380CC4-5D6E-409C-BE32-E72D297353CC}">
                <c16:uniqueId val="{00000003-6254-41C0-8C20-D1AC3BFB1D5A}"/>
              </c:ext>
            </c:extLst>
          </c:dPt>
          <c:dLbls>
            <c:dLbl>
              <c:idx val="0"/>
              <c:numFmt formatCode="#,##0" sourceLinked="0"/>
              <c:spPr>
                <a:noFill/>
                <a:ln>
                  <a:noFill/>
                </a:ln>
                <a:effectLst/>
              </c:spPr>
              <c:txPr>
                <a:bodyPr rot="0" spcFirstLastPara="1" vertOverflow="ellipsis" vert="horz" wrap="square" lIns="38100" tIns="19050" rIns="38100" bIns="19050" anchor="ctr" anchorCtr="0">
                  <a:noAutofit/>
                </a:bodyPr>
                <a:lstStyle/>
                <a:p>
                  <a:pPr algn="ctr">
                    <a:defRPr lang="en-US"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6254-41C0-8C20-D1AC3BFB1D5A}"/>
                </c:ext>
              </c:extLst>
            </c:dLbl>
            <c:dLbl>
              <c:idx val="1"/>
              <c:numFmt formatCode="#,##0" sourceLinked="0"/>
              <c:spPr>
                <a:noFill/>
                <a:ln>
                  <a:noFill/>
                </a:ln>
                <a:effectLst/>
              </c:spPr>
              <c:txPr>
                <a:bodyPr rot="0" spcFirstLastPara="1" vertOverflow="ellipsis" vert="horz" wrap="square" lIns="38100" tIns="19050" rIns="38100" bIns="19050" anchor="ctr" anchorCtr="0">
                  <a:noAutofit/>
                </a:bodyPr>
                <a:lstStyle/>
                <a:p>
                  <a:pPr algn="ctr">
                    <a:defRPr lang="en-US"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3-6254-41C0-8C20-D1AC3BFB1D5A}"/>
                </c:ext>
              </c:extLst>
            </c:dLbl>
            <c:numFmt formatCode="#,##0" sourceLinked="0"/>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Sheet2!$A$21:$A$22</c:f>
              <c:strCache>
                <c:ptCount val="2"/>
                <c:pt idx="0">
                  <c:v>Total Variable Cost</c:v>
                </c:pt>
                <c:pt idx="1">
                  <c:v>Total Fixed Cost</c:v>
                </c:pt>
              </c:strCache>
            </c:strRef>
          </c:cat>
          <c:val>
            <c:numRef>
              <c:f>Sheet2!$B$21:$B$22</c:f>
              <c:numCache>
                <c:formatCode>0</c:formatCode>
                <c:ptCount val="2"/>
                <c:pt idx="0">
                  <c:v>3156.6915894889489</c:v>
                </c:pt>
                <c:pt idx="1">
                  <c:v>167.56851916174415</c:v>
                </c:pt>
              </c:numCache>
            </c:numRef>
          </c:val>
          <c:extLst>
            <c:ext xmlns:c16="http://schemas.microsoft.com/office/drawing/2014/chart" uri="{C3380CC4-5D6E-409C-BE32-E72D297353CC}">
              <c16:uniqueId val="{00000004-6254-41C0-8C20-D1AC3BFB1D5A}"/>
            </c:ext>
          </c:extLst>
        </c:ser>
        <c:dLbls>
          <c:showLegendKey val="0"/>
          <c:showVal val="0"/>
          <c:showCatName val="0"/>
          <c:showSerName val="0"/>
          <c:showPercent val="0"/>
          <c:showBubbleSize val="0"/>
        </c:dLbls>
        <c:gapWidth val="100"/>
        <c:axId val="1569215200"/>
        <c:axId val="1569216864"/>
      </c:barChart>
      <c:catAx>
        <c:axId val="1569215200"/>
        <c:scaling>
          <c:orientation val="minMax"/>
        </c:scaling>
        <c:delete val="0"/>
        <c:axPos val="b"/>
        <c:numFmt formatCode="General" sourceLinked="1"/>
        <c:majorTickMark val="out"/>
        <c:minorTickMark val="none"/>
        <c:tickLblPos val="nextTo"/>
        <c:txPr>
          <a:bodyPr/>
          <a:lstStyle/>
          <a:p>
            <a:pPr algn="ctr">
              <a:defRPr lang="en-US" sz="1100" b="1" i="0" u="none" strike="noStrike" kern="1200" baseline="0">
                <a:solidFill>
                  <a:sysClr val="windowText" lastClr="000000"/>
                </a:solidFill>
                <a:latin typeface="+mn-lt"/>
                <a:ea typeface="+mn-ea"/>
                <a:cs typeface="+mn-cs"/>
              </a:defRPr>
            </a:pPr>
            <a:endParaRPr lang="en-US"/>
          </a:p>
        </c:txPr>
        <c:crossAx val="1569216864"/>
        <c:crosses val="autoZero"/>
        <c:auto val="1"/>
        <c:lblAlgn val="ctr"/>
        <c:lblOffset val="100"/>
        <c:noMultiLvlLbl val="0"/>
      </c:catAx>
      <c:valAx>
        <c:axId val="1569216864"/>
        <c:scaling>
          <c:orientation val="minMax"/>
        </c:scaling>
        <c:delete val="1"/>
        <c:axPos val="l"/>
        <c:numFmt formatCode="0" sourceLinked="1"/>
        <c:majorTickMark val="out"/>
        <c:minorTickMark val="none"/>
        <c:tickLblPos val="nextTo"/>
        <c:crossAx val="1569215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600" b="1">
                <a:solidFill>
                  <a:schemeClr val="accent5">
                    <a:lumMod val="75000"/>
                  </a:schemeClr>
                </a:solidFill>
              </a:rPr>
              <a:t>Capex</a:t>
            </a:r>
          </a:p>
        </c:rich>
      </c:tx>
      <c:layout>
        <c:manualLayout>
          <c:xMode val="edge"/>
          <c:yMode val="edge"/>
          <c:x val="1.2940756822032025E-2"/>
          <c:y val="4.1666508189226625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12690113735783026"/>
          <c:y val="7.291848935549722E-3"/>
          <c:w val="0.59341994750656168"/>
          <c:h val="0.98903324584426944"/>
        </c:manualLayout>
      </c:layout>
      <c:pieChart>
        <c:varyColors val="1"/>
        <c:ser>
          <c:idx val="1"/>
          <c:order val="1"/>
          <c:tx>
            <c:strRef>
              <c:f>Sheet2!$B$2</c:f>
              <c:strCache>
                <c:ptCount val="1"/>
                <c:pt idx="0">
                  <c:v>INR Crore</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AE9A-4FC1-9520-3CB2211BDBD2}"/>
              </c:ext>
            </c:extLst>
          </c:dPt>
          <c:dPt>
            <c:idx val="1"/>
            <c:bubble3D val="0"/>
            <c:spPr>
              <a:solidFill>
                <a:schemeClr val="accent2"/>
              </a:solidFill>
              <a:ln w="19050">
                <a:noFill/>
              </a:ln>
              <a:effectLst/>
            </c:spPr>
            <c:extLst>
              <c:ext xmlns:c16="http://schemas.microsoft.com/office/drawing/2014/chart" uri="{C3380CC4-5D6E-409C-BE32-E72D297353CC}">
                <c16:uniqueId val="{00000003-AE9A-4FC1-9520-3CB2211BDBD2}"/>
              </c:ext>
            </c:extLst>
          </c:dPt>
          <c:dPt>
            <c:idx val="2"/>
            <c:bubble3D val="0"/>
            <c:spPr>
              <a:solidFill>
                <a:schemeClr val="accent3"/>
              </a:solidFill>
              <a:ln w="19050">
                <a:noFill/>
              </a:ln>
              <a:effectLst/>
            </c:spPr>
            <c:extLst>
              <c:ext xmlns:c16="http://schemas.microsoft.com/office/drawing/2014/chart" uri="{C3380CC4-5D6E-409C-BE32-E72D297353CC}">
                <c16:uniqueId val="{00000005-AE9A-4FC1-9520-3CB2211BDBD2}"/>
              </c:ext>
            </c:extLst>
          </c:dPt>
          <c:dPt>
            <c:idx val="3"/>
            <c:bubble3D val="0"/>
            <c:spPr>
              <a:solidFill>
                <a:schemeClr val="accent4"/>
              </a:solidFill>
              <a:ln w="19050">
                <a:noFill/>
              </a:ln>
              <a:effectLst/>
            </c:spPr>
            <c:extLst>
              <c:ext xmlns:c16="http://schemas.microsoft.com/office/drawing/2014/chart" uri="{C3380CC4-5D6E-409C-BE32-E72D297353CC}">
                <c16:uniqueId val="{00000007-AE9A-4FC1-9520-3CB2211BDBD2}"/>
              </c:ext>
            </c:extLst>
          </c:dPt>
          <c:dPt>
            <c:idx val="4"/>
            <c:bubble3D val="0"/>
            <c:spPr>
              <a:solidFill>
                <a:schemeClr val="accent5"/>
              </a:solidFill>
              <a:ln w="19050">
                <a:noFill/>
              </a:ln>
              <a:effectLst/>
            </c:spPr>
            <c:extLst>
              <c:ext xmlns:c16="http://schemas.microsoft.com/office/drawing/2014/chart" uri="{C3380CC4-5D6E-409C-BE32-E72D297353CC}">
                <c16:uniqueId val="{00000009-AE9A-4FC1-9520-3CB2211BDBD2}"/>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105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Sheet2!$A$3:$A$7</c:f>
              <c:strCache>
                <c:ptCount val="3"/>
                <c:pt idx="0">
                  <c:v>CAPEX PVC OPTION 1</c:v>
                </c:pt>
                <c:pt idx="1">
                  <c:v>CAPEX PHENOL OPTION 1</c:v>
                </c:pt>
                <c:pt idx="2">
                  <c:v>ETHANE FURNACE ADDITION</c:v>
                </c:pt>
              </c:strCache>
            </c:strRef>
          </c:cat>
          <c:val>
            <c:numRef>
              <c:f>Sheet2!$B$3:$B$7</c:f>
              <c:numCache>
                <c:formatCode>0</c:formatCode>
                <c:ptCount val="5"/>
                <c:pt idx="0">
                  <c:v>4159.4497678079997</c:v>
                </c:pt>
                <c:pt idx="1">
                  <c:v>1768.675</c:v>
                </c:pt>
                <c:pt idx="2">
                  <c:v>2664</c:v>
                </c:pt>
              </c:numCache>
            </c:numRef>
          </c:val>
          <c:extLst>
            <c:ext xmlns:c16="http://schemas.microsoft.com/office/drawing/2014/chart" uri="{C3380CC4-5D6E-409C-BE32-E72D297353CC}">
              <c16:uniqueId val="{0000000A-AE9A-4FC1-9520-3CB2211BDBD2}"/>
            </c:ext>
          </c:extLst>
        </c:ser>
        <c:dLbls>
          <c:dLblPos val="bestFit"/>
          <c:showLegendKey val="0"/>
          <c:showVal val="1"/>
          <c:showCatName val="0"/>
          <c:showSerName val="0"/>
          <c:showPercent val="0"/>
          <c:showBubbleSize val="0"/>
          <c:showLeaderLines val="1"/>
        </c:dLbls>
        <c:firstSliceAng val="0"/>
        <c:extLst>
          <c:ext xmlns:c15="http://schemas.microsoft.com/office/drawing/2012/chart" uri="{02D57815-91ED-43cb-92C2-25804820EDAC}">
            <c15:filteredPieSeries>
              <c15:ser>
                <c:idx val="0"/>
                <c:order val="0"/>
                <c:tx>
                  <c:strRef>
                    <c:extLst>
                      <c:ext uri="{02D57815-91ED-43cb-92C2-25804820EDAC}">
                        <c15:formulaRef>
                          <c15:sqref>Sheet2!$A$2</c15:sqref>
                        </c15:formulaRef>
                      </c:ext>
                    </c:extLst>
                    <c:strCache>
                      <c:ptCount val="1"/>
                      <c:pt idx="0">
                        <c:v>Capex</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C-AE9A-4FC1-9520-3CB2211BDBD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E-AE9A-4FC1-9520-3CB2211BDBD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0-AE9A-4FC1-9520-3CB2211BDBD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2-AE9A-4FC1-9520-3CB2211BDBD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4-AE9A-4FC1-9520-3CB2211BDBD2}"/>
                    </c:ext>
                  </c:extLst>
                </c:dPt>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uri="{CE6537A1-D6FC-4f65-9D91-7224C49458BB}"/>
                  </c:extLst>
                </c:dLbls>
                <c:cat>
                  <c:strRef>
                    <c:extLst>
                      <c:ext uri="{02D57815-91ED-43cb-92C2-25804820EDAC}">
                        <c15:formulaRef>
                          <c15:sqref>Sheet2!$A$3:$A$7</c15:sqref>
                        </c15:formulaRef>
                      </c:ext>
                    </c:extLst>
                    <c:strCache>
                      <c:ptCount val="3"/>
                      <c:pt idx="0">
                        <c:v>CAPEX PVC OPTION 1</c:v>
                      </c:pt>
                      <c:pt idx="1">
                        <c:v>CAPEX PHENOL OPTION 1</c:v>
                      </c:pt>
                      <c:pt idx="2">
                        <c:v>ETHANE FURNACE ADDITION</c:v>
                      </c:pt>
                    </c:strCache>
                  </c:strRef>
                </c:cat>
                <c:val>
                  <c:numRef>
                    <c:extLst>
                      <c:ext uri="{02D57815-91ED-43cb-92C2-25804820EDAC}">
                        <c15:formulaRef>
                          <c15:sqref>Sheet2!$A$3:$A$7</c15:sqref>
                        </c15:formulaRef>
                      </c:ext>
                    </c:extLst>
                    <c:numCache>
                      <c:formatCode>General</c:formatCode>
                      <c:ptCount val="5"/>
                      <c:pt idx="0">
                        <c:v>0</c:v>
                      </c:pt>
                      <c:pt idx="1">
                        <c:v>0</c:v>
                      </c:pt>
                      <c:pt idx="2">
                        <c:v>0</c:v>
                      </c:pt>
                    </c:numCache>
                  </c:numRef>
                </c:val>
                <c:extLst>
                  <c:ext xmlns:c16="http://schemas.microsoft.com/office/drawing/2014/chart" uri="{C3380CC4-5D6E-409C-BE32-E72D297353CC}">
                    <c16:uniqueId val="{00000015-AE9A-4FC1-9520-3CB2211BDBD2}"/>
                  </c:ext>
                </c:extLst>
              </c15:ser>
            </c15:filteredPieSeries>
          </c:ext>
        </c:extLst>
      </c:pieChart>
      <c:spPr>
        <a:noFill/>
        <a:ln>
          <a:noFill/>
        </a:ln>
        <a:effectLst/>
      </c:spPr>
    </c:plotArea>
    <c:legend>
      <c:legendPos val="b"/>
      <c:layout>
        <c:manualLayout>
          <c:xMode val="edge"/>
          <c:yMode val="edge"/>
          <c:x val="0.6537192956400073"/>
          <c:y val="4.7459536307961493E-2"/>
          <c:w val="0.34628070435999259"/>
          <c:h val="0.9493666587093964"/>
        </c:manualLayout>
      </c:layout>
      <c:overlay val="0"/>
      <c:spPr>
        <a:noFill/>
        <a:ln>
          <a:noFill/>
        </a:ln>
        <a:effectLst/>
      </c:spPr>
      <c:txPr>
        <a:bodyPr rot="0" spcFirstLastPara="1" vertOverflow="ellipsis" vert="horz" wrap="square" anchor="ctr" anchorCtr="1"/>
        <a:lstStyle/>
        <a:p>
          <a:pPr rtl="0">
            <a:defRPr lang="en-US"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179899</xdr:colOff>
      <xdr:row>25</xdr:row>
      <xdr:rowOff>37500</xdr:rowOff>
    </xdr:to>
    <xdr:pic>
      <xdr:nvPicPr>
        <xdr:cNvPr id="2" name="Picture 1">
          <a:extLst>
            <a:ext uri="{FF2B5EF4-FFF2-40B4-BE49-F238E27FC236}">
              <a16:creationId xmlns:a16="http://schemas.microsoft.com/office/drawing/2014/main" id="{1F674DD3-78D0-6F70-8D04-E6AFD1C85B7C}"/>
            </a:ext>
          </a:extLst>
        </xdr:cNvPr>
        <xdr:cNvPicPr>
          <a:picLocks noChangeAspect="1"/>
        </xdr:cNvPicPr>
      </xdr:nvPicPr>
      <xdr:blipFill>
        <a:blip xmlns:r="http://schemas.openxmlformats.org/officeDocument/2006/relationships" r:embed="rId1"/>
        <a:stretch>
          <a:fillRect/>
        </a:stretch>
      </xdr:blipFill>
      <xdr:spPr>
        <a:xfrm>
          <a:off x="0" y="0"/>
          <a:ext cx="8609524" cy="48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84667</xdr:colOff>
      <xdr:row>8</xdr:row>
      <xdr:rowOff>2017</xdr:rowOff>
    </xdr:from>
    <xdr:to>
      <xdr:col>13</xdr:col>
      <xdr:colOff>561211</xdr:colOff>
      <xdr:row>16</xdr:row>
      <xdr:rowOff>179283</xdr:rowOff>
    </xdr:to>
    <xdr:grpSp>
      <xdr:nvGrpSpPr>
        <xdr:cNvPr id="3" name="Group 2">
          <a:extLst>
            <a:ext uri="{FF2B5EF4-FFF2-40B4-BE49-F238E27FC236}">
              <a16:creationId xmlns:a16="http://schemas.microsoft.com/office/drawing/2014/main" id="{645DE3FA-E813-8CDB-B8A5-AD468184F0B0}"/>
            </a:ext>
          </a:extLst>
        </xdr:cNvPr>
        <xdr:cNvGrpSpPr/>
      </xdr:nvGrpSpPr>
      <xdr:grpSpPr>
        <a:xfrm>
          <a:off x="6159500" y="1367267"/>
          <a:ext cx="4011378" cy="1764766"/>
          <a:chOff x="4415204" y="1787973"/>
          <a:chExt cx="4411877" cy="1873252"/>
        </a:xfrm>
      </xdr:grpSpPr>
      <xdr:sp macro="" textlink="">
        <xdr:nvSpPr>
          <xdr:cNvPr id="35" name="Rectangle 34">
            <a:extLst>
              <a:ext uri="{FF2B5EF4-FFF2-40B4-BE49-F238E27FC236}">
                <a16:creationId xmlns:a16="http://schemas.microsoft.com/office/drawing/2014/main" id="{BCE219B7-1C12-D0E4-2F75-C39AA3B0FDBA}"/>
              </a:ext>
            </a:extLst>
          </xdr:cNvPr>
          <xdr:cNvSpPr/>
        </xdr:nvSpPr>
        <xdr:spPr>
          <a:xfrm>
            <a:off x="4415204" y="1787973"/>
            <a:ext cx="4411877" cy="1873252"/>
          </a:xfrm>
          <a:prstGeom prst="rect">
            <a:avLst/>
          </a:prstGeom>
          <a:gradFill>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36" name="Chart 35">
            <a:extLst>
              <a:ext uri="{FF2B5EF4-FFF2-40B4-BE49-F238E27FC236}">
                <a16:creationId xmlns:a16="http://schemas.microsoft.com/office/drawing/2014/main" id="{9536F4BE-2DBA-9F0B-EA6E-6840A915ABFF}"/>
              </a:ext>
            </a:extLst>
          </xdr:cNvPr>
          <xdr:cNvGraphicFramePr>
            <a:graphicFrameLocks/>
          </xdr:cNvGraphicFramePr>
        </xdr:nvGraphicFramePr>
        <xdr:xfrm>
          <a:off x="4467687" y="1833683"/>
          <a:ext cx="4291097" cy="1777997"/>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15</xdr:col>
      <xdr:colOff>0</xdr:colOff>
      <xdr:row>19</xdr:row>
      <xdr:rowOff>9347</xdr:rowOff>
    </xdr:from>
    <xdr:to>
      <xdr:col>22</xdr:col>
      <xdr:colOff>10556</xdr:colOff>
      <xdr:row>35</xdr:row>
      <xdr:rowOff>52916</xdr:rowOff>
    </xdr:to>
    <xdr:grpSp>
      <xdr:nvGrpSpPr>
        <xdr:cNvPr id="4" name="Group 3">
          <a:extLst>
            <a:ext uri="{FF2B5EF4-FFF2-40B4-BE49-F238E27FC236}">
              <a16:creationId xmlns:a16="http://schemas.microsoft.com/office/drawing/2014/main" id="{62513919-CF2B-5ACA-7A73-A64D4DC319F6}"/>
            </a:ext>
          </a:extLst>
        </xdr:cNvPr>
        <xdr:cNvGrpSpPr/>
      </xdr:nvGrpSpPr>
      <xdr:grpSpPr>
        <a:xfrm>
          <a:off x="10382250" y="3544180"/>
          <a:ext cx="3471306" cy="2911653"/>
          <a:chOff x="9649082" y="3069167"/>
          <a:chExt cx="3524646" cy="2224609"/>
        </a:xfrm>
      </xdr:grpSpPr>
      <xdr:sp macro="" textlink="">
        <xdr:nvSpPr>
          <xdr:cNvPr id="33" name="Rectangle 32">
            <a:extLst>
              <a:ext uri="{FF2B5EF4-FFF2-40B4-BE49-F238E27FC236}">
                <a16:creationId xmlns:a16="http://schemas.microsoft.com/office/drawing/2014/main" id="{7A49482C-3F9A-3E0B-FD82-803D13B8960D}"/>
              </a:ext>
            </a:extLst>
          </xdr:cNvPr>
          <xdr:cNvSpPr/>
        </xdr:nvSpPr>
        <xdr:spPr>
          <a:xfrm>
            <a:off x="9649082" y="3069167"/>
            <a:ext cx="3524646" cy="2224609"/>
          </a:xfrm>
          <a:prstGeom prst="rect">
            <a:avLst/>
          </a:prstGeom>
          <a:gradFill flip="none" rotWithShape="1">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path path="circle">
              <a:fillToRect r="100000" b="100000"/>
            </a:path>
            <a:tileRect l="-100000" t="-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34" name="Chart 33">
            <a:extLst>
              <a:ext uri="{FF2B5EF4-FFF2-40B4-BE49-F238E27FC236}">
                <a16:creationId xmlns:a16="http://schemas.microsoft.com/office/drawing/2014/main" id="{73F63569-4708-C00E-C29A-F0B13F681405}"/>
              </a:ext>
            </a:extLst>
          </xdr:cNvPr>
          <xdr:cNvGraphicFramePr>
            <a:graphicFrameLocks/>
          </xdr:cNvGraphicFramePr>
        </xdr:nvGraphicFramePr>
        <xdr:xfrm>
          <a:off x="9692067" y="3079749"/>
          <a:ext cx="3442982" cy="2181225"/>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0</xdr:col>
      <xdr:colOff>85134</xdr:colOff>
      <xdr:row>0</xdr:row>
      <xdr:rowOff>0</xdr:rowOff>
    </xdr:from>
    <xdr:to>
      <xdr:col>22</xdr:col>
      <xdr:colOff>3039</xdr:colOff>
      <xdr:row>4</xdr:row>
      <xdr:rowOff>118681</xdr:rowOff>
    </xdr:to>
    <xdr:grpSp>
      <xdr:nvGrpSpPr>
        <xdr:cNvPr id="5" name="Group 4">
          <a:extLst>
            <a:ext uri="{FF2B5EF4-FFF2-40B4-BE49-F238E27FC236}">
              <a16:creationId xmlns:a16="http://schemas.microsoft.com/office/drawing/2014/main" id="{AA1ABAEE-EBF2-4AF7-E31F-79B87C240B80}"/>
            </a:ext>
          </a:extLst>
        </xdr:cNvPr>
        <xdr:cNvGrpSpPr/>
      </xdr:nvGrpSpPr>
      <xdr:grpSpPr>
        <a:xfrm>
          <a:off x="85134" y="0"/>
          <a:ext cx="13760905" cy="880681"/>
          <a:chOff x="296333" y="197063"/>
          <a:chExt cx="13779500" cy="881991"/>
        </a:xfrm>
      </xdr:grpSpPr>
      <xdr:grpSp>
        <xdr:nvGrpSpPr>
          <xdr:cNvPr id="16" name="Group 15">
            <a:extLst>
              <a:ext uri="{FF2B5EF4-FFF2-40B4-BE49-F238E27FC236}">
                <a16:creationId xmlns:a16="http://schemas.microsoft.com/office/drawing/2014/main" id="{EF8C98D7-40E0-75DD-D00C-79DD33F39EAE}"/>
              </a:ext>
            </a:extLst>
          </xdr:cNvPr>
          <xdr:cNvGrpSpPr/>
        </xdr:nvGrpSpPr>
        <xdr:grpSpPr>
          <a:xfrm>
            <a:off x="296333" y="197063"/>
            <a:ext cx="13779500" cy="881991"/>
            <a:chOff x="-192559" y="3976043"/>
            <a:chExt cx="12052239" cy="574115"/>
          </a:xfrm>
        </xdr:grpSpPr>
        <xdr:grpSp>
          <xdr:nvGrpSpPr>
            <xdr:cNvPr id="18" name="Group 17">
              <a:extLst>
                <a:ext uri="{FF2B5EF4-FFF2-40B4-BE49-F238E27FC236}">
                  <a16:creationId xmlns:a16="http://schemas.microsoft.com/office/drawing/2014/main" id="{8FD8554D-0166-3A1F-E48D-CE48581699C6}"/>
                </a:ext>
              </a:extLst>
            </xdr:cNvPr>
            <xdr:cNvGrpSpPr/>
          </xdr:nvGrpSpPr>
          <xdr:grpSpPr>
            <a:xfrm>
              <a:off x="-192559" y="3977216"/>
              <a:ext cx="4679857" cy="571500"/>
              <a:chOff x="2802524" y="4000500"/>
              <a:chExt cx="4679857" cy="571500"/>
            </a:xfrm>
          </xdr:grpSpPr>
          <xdr:sp macro="" textlink="Sheet2!G3">
            <xdr:nvSpPr>
              <xdr:cNvPr id="31" name="Rectangle: Rounded Corners 30">
                <a:extLst>
                  <a:ext uri="{FF2B5EF4-FFF2-40B4-BE49-F238E27FC236}">
                    <a16:creationId xmlns:a16="http://schemas.microsoft.com/office/drawing/2014/main" id="{1F69F02B-0362-7A8A-962E-3547A8622188}"/>
                  </a:ext>
                </a:extLst>
              </xdr:cNvPr>
              <xdr:cNvSpPr/>
            </xdr:nvSpPr>
            <xdr:spPr>
              <a:xfrm>
                <a:off x="2802524" y="4000500"/>
                <a:ext cx="4679857"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B95A4B2F-61A6-4AF3-923D-C6F552F208CA}" type="TxLink">
                  <a:rPr lang="en-US" sz="1200" b="1" i="0" u="none" strike="noStrike">
                    <a:solidFill>
                      <a:srgbClr val="002060"/>
                    </a:solidFill>
                    <a:latin typeface="Calibri"/>
                    <a:ea typeface="+mn-ea"/>
                    <a:cs typeface="Calibri"/>
                  </a:rPr>
                  <a:pPr marL="0" indent="0" algn="ctr"/>
                  <a:t>Capacity for 350 KTPA PVC Resin and 200 KTPA Phenol + 123 KTPA Acetone (Ethane Furnace Addition)</a:t>
                </a:fld>
                <a:endParaRPr lang="en-IN" sz="1200" b="1" i="0" u="none" strike="noStrike">
                  <a:solidFill>
                    <a:srgbClr val="002060"/>
                  </a:solidFill>
                  <a:latin typeface="Calibri"/>
                  <a:ea typeface="+mn-ea"/>
                  <a:cs typeface="Calibri"/>
                </a:endParaRPr>
              </a:p>
            </xdr:txBody>
          </xdr:sp>
          <xdr:sp macro="" textlink="$C$3">
            <xdr:nvSpPr>
              <xdr:cNvPr id="32" name="Rectangle: Rounded Corners 31">
                <a:extLst>
                  <a:ext uri="{FF2B5EF4-FFF2-40B4-BE49-F238E27FC236}">
                    <a16:creationId xmlns:a16="http://schemas.microsoft.com/office/drawing/2014/main" id="{47B884CE-C1A0-0185-3599-CCD303B6AB20}"/>
                  </a:ext>
                </a:extLst>
              </xdr:cNvPr>
              <xdr:cNvSpPr/>
            </xdr:nvSpPr>
            <xdr:spPr>
              <a:xfrm>
                <a:off x="4313734" y="4020051"/>
                <a:ext cx="1846992" cy="167896"/>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7F6A714-D6EB-4247-9C4D-A556FA0604E7}" type="TxLink">
                  <a:rPr lang="en-US" sz="1800" b="1" i="0" u="none" strike="noStrike">
                    <a:solidFill>
                      <a:srgbClr val="000000"/>
                    </a:solidFill>
                    <a:latin typeface="David" panose="020B0604020202020204" pitchFamily="34" charset="-79"/>
                    <a:ea typeface="+mn-ea"/>
                    <a:cs typeface="David" panose="020B0604020202020204" pitchFamily="34" charset="-79"/>
                  </a:rPr>
                  <a:pPr marL="0" indent="0" algn="ctr"/>
                  <a:t> </a:t>
                </a:fld>
                <a:endParaRPr lang="en-IN" sz="1800" b="1" i="0" u="none" strike="noStrike">
                  <a:solidFill>
                    <a:srgbClr val="000000"/>
                  </a:solidFill>
                  <a:latin typeface="David" panose="020B0604020202020204" pitchFamily="34" charset="-79"/>
                  <a:ea typeface="+mn-ea"/>
                  <a:cs typeface="David" panose="020B0604020202020204" pitchFamily="34" charset="-79"/>
                </a:endParaRPr>
              </a:p>
            </xdr:txBody>
          </xdr:sp>
        </xdr:grpSp>
        <xdr:grpSp>
          <xdr:nvGrpSpPr>
            <xdr:cNvPr id="19" name="Group 18">
              <a:extLst>
                <a:ext uri="{FF2B5EF4-FFF2-40B4-BE49-F238E27FC236}">
                  <a16:creationId xmlns:a16="http://schemas.microsoft.com/office/drawing/2014/main" id="{11568A5D-7B1C-C7DE-332F-AFF6B74CCD21}"/>
                </a:ext>
              </a:extLst>
            </xdr:cNvPr>
            <xdr:cNvGrpSpPr/>
          </xdr:nvGrpSpPr>
          <xdr:grpSpPr>
            <a:xfrm>
              <a:off x="4496456" y="3976043"/>
              <a:ext cx="1904914" cy="572673"/>
              <a:chOff x="5550554" y="3999327"/>
              <a:chExt cx="1904914" cy="572673"/>
            </a:xfrm>
          </xdr:grpSpPr>
          <xdr:sp macro="" textlink="Sheet2!G6">
            <xdr:nvSpPr>
              <xdr:cNvPr id="29" name="Rectangle: Rounded Corners 28">
                <a:extLst>
                  <a:ext uri="{FF2B5EF4-FFF2-40B4-BE49-F238E27FC236}">
                    <a16:creationId xmlns:a16="http://schemas.microsoft.com/office/drawing/2014/main" id="{97E6E815-CC05-A195-60BD-EC2482440406}"/>
                  </a:ext>
                </a:extLst>
              </xdr:cNvPr>
              <xdr:cNvSpPr/>
            </xdr:nvSpPr>
            <xdr:spPr>
              <a:xfrm>
                <a:off x="5550554" y="4000500"/>
                <a:ext cx="1904914"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88BE9761-7705-4BC5-BFB4-5020D1DFF5FA}" type="TxLink">
                  <a:rPr lang="en-US" sz="2400" b="1" i="0" u="none" strike="noStrike">
                    <a:solidFill>
                      <a:srgbClr val="002060"/>
                    </a:solidFill>
                    <a:latin typeface="Calibri"/>
                    <a:ea typeface="+mn-ea"/>
                    <a:cs typeface="Calibri"/>
                  </a:rPr>
                  <a:pPr marL="0" indent="0" algn="ctr"/>
                  <a:t>8,592 INR Cr</a:t>
                </a:fld>
                <a:endParaRPr lang="en-IN" sz="2400" b="1" i="0" u="none" strike="noStrike">
                  <a:solidFill>
                    <a:srgbClr val="002060"/>
                  </a:solidFill>
                  <a:latin typeface="Calibri"/>
                  <a:ea typeface="+mn-ea"/>
                  <a:cs typeface="Calibri"/>
                </a:endParaRPr>
              </a:p>
            </xdr:txBody>
          </xdr:sp>
          <xdr:sp macro="" textlink="$D$3">
            <xdr:nvSpPr>
              <xdr:cNvPr id="30" name="Rectangle: Rounded Corners 29">
                <a:extLst>
                  <a:ext uri="{FF2B5EF4-FFF2-40B4-BE49-F238E27FC236}">
                    <a16:creationId xmlns:a16="http://schemas.microsoft.com/office/drawing/2014/main" id="{A2DB00DF-74A0-0417-8C9D-B9F48DFFF9AD}"/>
                  </a:ext>
                </a:extLst>
              </xdr:cNvPr>
              <xdr:cNvSpPr/>
            </xdr:nvSpPr>
            <xdr:spPr>
              <a:xfrm>
                <a:off x="5568875" y="3999327"/>
                <a:ext cx="1831647" cy="245081"/>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8E43463-30AC-4037-BDB1-B241C19CC46D}" type="TxLink">
                  <a:rPr lang="en-US" sz="2000" b="1" i="0" u="none" strike="noStrike">
                    <a:solidFill>
                      <a:srgbClr val="000000"/>
                    </a:solidFill>
                    <a:latin typeface="David" panose="020B0604020202020204" pitchFamily="34" charset="-79"/>
                    <a:cs typeface="David" panose="020B0604020202020204" pitchFamily="34" charset="-79"/>
                  </a:rPr>
                  <a:pPr algn="ctr"/>
                  <a:t> </a:t>
                </a:fld>
                <a:endParaRPr lang="en-IN" sz="2000" b="1">
                  <a:solidFill>
                    <a:schemeClr val="tx1"/>
                  </a:solidFill>
                  <a:latin typeface="David" panose="020B0604020202020204" pitchFamily="34" charset="-79"/>
                  <a:cs typeface="David" panose="020B0604020202020204" pitchFamily="34" charset="-79"/>
                </a:endParaRPr>
              </a:p>
            </xdr:txBody>
          </xdr:sp>
        </xdr:grpSp>
        <xdr:grpSp>
          <xdr:nvGrpSpPr>
            <xdr:cNvPr id="20" name="Group 19">
              <a:extLst>
                <a:ext uri="{FF2B5EF4-FFF2-40B4-BE49-F238E27FC236}">
                  <a16:creationId xmlns:a16="http://schemas.microsoft.com/office/drawing/2014/main" id="{8BB191DF-CA12-4465-BBB3-1D3F73F30C0E}"/>
                </a:ext>
              </a:extLst>
            </xdr:cNvPr>
            <xdr:cNvGrpSpPr/>
          </xdr:nvGrpSpPr>
          <xdr:grpSpPr>
            <a:xfrm>
              <a:off x="6401367" y="3977217"/>
              <a:ext cx="1976798" cy="571500"/>
              <a:chOff x="5525062" y="4000501"/>
              <a:chExt cx="1976798" cy="571500"/>
            </a:xfrm>
          </xdr:grpSpPr>
          <xdr:sp macro="" textlink="Sheet2!G9">
            <xdr:nvSpPr>
              <xdr:cNvPr id="27" name="Rectangle: Rounded Corners 26">
                <a:extLst>
                  <a:ext uri="{FF2B5EF4-FFF2-40B4-BE49-F238E27FC236}">
                    <a16:creationId xmlns:a16="http://schemas.microsoft.com/office/drawing/2014/main" id="{37F2C049-C9DD-1B94-B2CF-6D93BCCBBB85}"/>
                  </a:ext>
                </a:extLst>
              </xdr:cNvPr>
              <xdr:cNvSpPr/>
            </xdr:nvSpPr>
            <xdr:spPr>
              <a:xfrm>
                <a:off x="5525062" y="4000501"/>
                <a:ext cx="1976798" cy="571500"/>
              </a:xfrm>
              <a:prstGeom prst="roundRect">
                <a:avLst>
                  <a:gd name="adj" fmla="val 4875"/>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C5BB9BB9-5A33-4D02-8780-541563727F56}" type="TxLink">
                  <a:rPr lang="en-US" sz="2400" b="1" i="0" u="none" strike="noStrike">
                    <a:solidFill>
                      <a:srgbClr val="002060"/>
                    </a:solidFill>
                    <a:latin typeface="Calibri"/>
                    <a:ea typeface="+mn-ea"/>
                    <a:cs typeface="Calibri"/>
                  </a:rPr>
                  <a:pPr marL="0" indent="0" algn="ctr"/>
                  <a:t>19,091 INR Cr</a:t>
                </a:fld>
                <a:endParaRPr lang="en-IN" sz="2400" b="1" i="0" u="none" strike="noStrike">
                  <a:solidFill>
                    <a:srgbClr val="002060"/>
                  </a:solidFill>
                  <a:latin typeface="Calibri"/>
                  <a:ea typeface="+mn-ea"/>
                  <a:cs typeface="Calibri"/>
                </a:endParaRPr>
              </a:p>
            </xdr:txBody>
          </xdr:sp>
          <xdr:sp macro="" textlink="$F$3">
            <xdr:nvSpPr>
              <xdr:cNvPr id="28" name="Rectangle: Rounded Corners 27">
                <a:extLst>
                  <a:ext uri="{FF2B5EF4-FFF2-40B4-BE49-F238E27FC236}">
                    <a16:creationId xmlns:a16="http://schemas.microsoft.com/office/drawing/2014/main" id="{EC15B59F-FEA5-EB9B-1498-C8C8C22436EC}"/>
                  </a:ext>
                </a:extLst>
              </xdr:cNvPr>
              <xdr:cNvSpPr/>
            </xdr:nvSpPr>
            <xdr:spPr>
              <a:xfrm>
                <a:off x="5952373" y="4053924"/>
                <a:ext cx="888346" cy="184492"/>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B757291-EB84-4E10-9160-71CEF0481722}" type="TxLink">
                  <a:rPr lang="en-US" sz="2000" b="1" i="0" u="none" strike="noStrike">
                    <a:solidFill>
                      <a:srgbClr val="000000"/>
                    </a:solidFill>
                    <a:latin typeface="David" panose="020B0604020202020204" pitchFamily="34" charset="-79"/>
                    <a:ea typeface="+mn-ea"/>
                    <a:cs typeface="David" panose="020B0604020202020204" pitchFamily="34" charset="-79"/>
                  </a:rPr>
                  <a:pPr marL="0" indent="0" algn="ctr"/>
                  <a:t> </a:t>
                </a:fld>
                <a:endParaRPr lang="en-IN" sz="2000" b="1" i="0" u="none" strike="noStrike">
                  <a:solidFill>
                    <a:srgbClr val="000000"/>
                  </a:solidFill>
                  <a:latin typeface="David" panose="020B0604020202020204" pitchFamily="34" charset="-79"/>
                  <a:ea typeface="+mn-ea"/>
                  <a:cs typeface="David" panose="020B0604020202020204" pitchFamily="34" charset="-79"/>
                </a:endParaRPr>
              </a:p>
            </xdr:txBody>
          </xdr:sp>
        </xdr:grpSp>
        <xdr:grpSp>
          <xdr:nvGrpSpPr>
            <xdr:cNvPr id="21" name="Group 20">
              <a:extLst>
                <a:ext uri="{FF2B5EF4-FFF2-40B4-BE49-F238E27FC236}">
                  <a16:creationId xmlns:a16="http://schemas.microsoft.com/office/drawing/2014/main" id="{1B5DF215-AE97-53F2-7693-B5F0A30708D8}"/>
                </a:ext>
              </a:extLst>
            </xdr:cNvPr>
            <xdr:cNvGrpSpPr/>
          </xdr:nvGrpSpPr>
          <xdr:grpSpPr>
            <a:xfrm>
              <a:off x="8392968" y="3977216"/>
              <a:ext cx="1640058" cy="571500"/>
              <a:chOff x="5575676" y="4000500"/>
              <a:chExt cx="1640058" cy="571500"/>
            </a:xfrm>
          </xdr:grpSpPr>
          <xdr:sp macro="" textlink="Sheet2!G12">
            <xdr:nvSpPr>
              <xdr:cNvPr id="25" name="Rectangle: Rounded Corners 24">
                <a:extLst>
                  <a:ext uri="{FF2B5EF4-FFF2-40B4-BE49-F238E27FC236}">
                    <a16:creationId xmlns:a16="http://schemas.microsoft.com/office/drawing/2014/main" id="{C6CB09BD-40BA-7DCF-3AE8-72671079530C}"/>
                  </a:ext>
                </a:extLst>
              </xdr:cNvPr>
              <xdr:cNvSpPr/>
            </xdr:nvSpPr>
            <xdr:spPr>
              <a:xfrm>
                <a:off x="5575676" y="4000500"/>
                <a:ext cx="1640058"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8DD3F0E8-D367-42C9-892E-D84BC30DAE10}" type="TxLink">
                  <a:rPr lang="en-US" sz="2400" b="1" i="0" u="none" strike="noStrike">
                    <a:solidFill>
                      <a:srgbClr val="002060"/>
                    </a:solidFill>
                    <a:latin typeface="Calibri"/>
                    <a:ea typeface="+mn-ea"/>
                    <a:cs typeface="Calibri"/>
                  </a:rPr>
                  <a:pPr marL="0" indent="0" algn="ctr"/>
                  <a:t>15.8%</a:t>
                </a:fld>
                <a:endParaRPr lang="en-IN" sz="2400" b="1" i="0" u="none" strike="noStrike">
                  <a:solidFill>
                    <a:srgbClr val="002060"/>
                  </a:solidFill>
                  <a:latin typeface="Calibri"/>
                  <a:ea typeface="+mn-ea"/>
                  <a:cs typeface="Calibri"/>
                </a:endParaRPr>
              </a:p>
            </xdr:txBody>
          </xdr:sp>
          <xdr:sp macro="" textlink="$G$3">
            <xdr:nvSpPr>
              <xdr:cNvPr id="26" name="Rectangle: Rounded Corners 25">
                <a:extLst>
                  <a:ext uri="{FF2B5EF4-FFF2-40B4-BE49-F238E27FC236}">
                    <a16:creationId xmlns:a16="http://schemas.microsoft.com/office/drawing/2014/main" id="{7AEA5D14-6099-F96E-1C3D-AA5B0362DFD9}"/>
                  </a:ext>
                </a:extLst>
              </xdr:cNvPr>
              <xdr:cNvSpPr/>
            </xdr:nvSpPr>
            <xdr:spPr>
              <a:xfrm>
                <a:off x="6011009" y="4019544"/>
                <a:ext cx="705185" cy="191169"/>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292A814-5272-42B5-A9CE-E34668D4DB62}" type="TxLink">
                  <a:rPr lang="en-US" sz="2000" b="1" i="0" u="none" strike="noStrike">
                    <a:solidFill>
                      <a:srgbClr val="000000"/>
                    </a:solidFill>
                    <a:latin typeface="David" panose="020B0604020202020204" pitchFamily="34" charset="-79"/>
                    <a:ea typeface="+mn-ea"/>
                    <a:cs typeface="David" panose="020B0604020202020204" pitchFamily="34" charset="-79"/>
                  </a:rPr>
                  <a:pPr marL="0" indent="0" algn="ctr"/>
                  <a:t> </a:t>
                </a:fld>
                <a:endParaRPr lang="en-IN" sz="2000" b="1" i="0" u="none" strike="noStrike">
                  <a:solidFill>
                    <a:srgbClr val="000000"/>
                  </a:solidFill>
                  <a:latin typeface="David" panose="020B0604020202020204" pitchFamily="34" charset="-79"/>
                  <a:ea typeface="+mn-ea"/>
                  <a:cs typeface="David" panose="020B0604020202020204" pitchFamily="34" charset="-79"/>
                </a:endParaRPr>
              </a:p>
            </xdr:txBody>
          </xdr:sp>
        </xdr:grpSp>
        <xdr:grpSp>
          <xdr:nvGrpSpPr>
            <xdr:cNvPr id="22" name="Group 21">
              <a:extLst>
                <a:ext uri="{FF2B5EF4-FFF2-40B4-BE49-F238E27FC236}">
                  <a16:creationId xmlns:a16="http://schemas.microsoft.com/office/drawing/2014/main" id="{C16B24CB-7B4D-DD18-37EA-645D87D82E5D}"/>
                </a:ext>
              </a:extLst>
            </xdr:cNvPr>
            <xdr:cNvGrpSpPr/>
          </xdr:nvGrpSpPr>
          <xdr:grpSpPr>
            <a:xfrm>
              <a:off x="10046349" y="3978658"/>
              <a:ext cx="1813331" cy="571500"/>
              <a:chOff x="5298669" y="4001942"/>
              <a:chExt cx="1813331" cy="571500"/>
            </a:xfrm>
          </xdr:grpSpPr>
          <xdr:sp macro="" textlink="Sheet2!G15">
            <xdr:nvSpPr>
              <xdr:cNvPr id="23" name="Rectangle: Rounded Corners 22">
                <a:extLst>
                  <a:ext uri="{FF2B5EF4-FFF2-40B4-BE49-F238E27FC236}">
                    <a16:creationId xmlns:a16="http://schemas.microsoft.com/office/drawing/2014/main" id="{916D1888-35CE-8237-52A7-5C64EDA24006}"/>
                  </a:ext>
                </a:extLst>
              </xdr:cNvPr>
              <xdr:cNvSpPr/>
            </xdr:nvSpPr>
            <xdr:spPr>
              <a:xfrm>
                <a:off x="5298669" y="4001942"/>
                <a:ext cx="1813331"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F9260575-0787-41C7-9350-0385FB1A24CA}" type="TxLink">
                  <a:rPr lang="en-US" sz="2400" b="1" i="0" u="none" strike="noStrike">
                    <a:solidFill>
                      <a:srgbClr val="002060"/>
                    </a:solidFill>
                    <a:latin typeface="Calibri"/>
                    <a:ea typeface="+mn-ea"/>
                    <a:cs typeface="Calibri"/>
                  </a:rPr>
                  <a:pPr marL="0" indent="0" algn="ctr"/>
                  <a:t>4 Yrs</a:t>
                </a:fld>
                <a:endParaRPr lang="en-US" sz="2400" b="1" i="0" u="none" strike="noStrike">
                  <a:solidFill>
                    <a:srgbClr val="002060"/>
                  </a:solidFill>
                  <a:latin typeface="Calibri"/>
                  <a:ea typeface="+mn-ea"/>
                  <a:cs typeface="Calibri"/>
                </a:endParaRPr>
              </a:p>
            </xdr:txBody>
          </xdr:sp>
          <xdr:sp macro="" textlink="">
            <xdr:nvSpPr>
              <xdr:cNvPr id="24" name="Rectangle: Rounded Corners 23">
                <a:extLst>
                  <a:ext uri="{FF2B5EF4-FFF2-40B4-BE49-F238E27FC236}">
                    <a16:creationId xmlns:a16="http://schemas.microsoft.com/office/drawing/2014/main" id="{579E1169-655E-DDBD-FC9F-3C13BD885B32}"/>
                  </a:ext>
                </a:extLst>
              </xdr:cNvPr>
              <xdr:cNvSpPr/>
            </xdr:nvSpPr>
            <xdr:spPr>
              <a:xfrm>
                <a:off x="5784058" y="4006245"/>
                <a:ext cx="1071516" cy="184250"/>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2000" b="1" i="0" u="none" strike="noStrike">
                  <a:solidFill>
                    <a:srgbClr val="000000"/>
                  </a:solidFill>
                  <a:latin typeface="David" panose="020B0604020202020204" pitchFamily="34" charset="-79"/>
                  <a:ea typeface="+mn-ea"/>
                  <a:cs typeface="David" panose="020B0604020202020204" pitchFamily="34" charset="-79"/>
                </a:endParaRPr>
              </a:p>
            </xdr:txBody>
          </xdr:sp>
        </xdr:grpSp>
      </xdr:grpSp>
      <xdr:sp macro="" textlink="">
        <xdr:nvSpPr>
          <xdr:cNvPr id="17" name="Rectangle 16">
            <a:extLst>
              <a:ext uri="{FF2B5EF4-FFF2-40B4-BE49-F238E27FC236}">
                <a16:creationId xmlns:a16="http://schemas.microsoft.com/office/drawing/2014/main" id="{4252FD1E-6FC6-3926-0CA8-49C67C61FB32}"/>
              </a:ext>
            </a:extLst>
          </xdr:cNvPr>
          <xdr:cNvSpPr/>
        </xdr:nvSpPr>
        <xdr:spPr>
          <a:xfrm>
            <a:off x="12080115" y="245530"/>
            <a:ext cx="1921804"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1B7C3120-32BA-4194-BCCC-19CB0C07FBD3}" type="TxLink">
              <a:rPr lang="en-US" sz="1800" b="1" i="0" u="none" strike="noStrike">
                <a:solidFill>
                  <a:sysClr val="windowText" lastClr="000000"/>
                </a:solidFill>
                <a:latin typeface="David" panose="020E0502060401010101" pitchFamily="34" charset="-79"/>
                <a:ea typeface="+mn-ea"/>
                <a:cs typeface="David" panose="020E0502060401010101" pitchFamily="34" charset="-79"/>
              </a:rPr>
              <a:pPr marL="0" indent="0" algn="ctr"/>
              <a:t>Payback (Yrs)</a:t>
            </a:fld>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grpSp>
    <xdr:clientData/>
  </xdr:twoCellAnchor>
  <xdr:twoCellAnchor>
    <xdr:from>
      <xdr:col>6</xdr:col>
      <xdr:colOff>0</xdr:colOff>
      <xdr:row>19</xdr:row>
      <xdr:rowOff>9313</xdr:rowOff>
    </xdr:from>
    <xdr:to>
      <xdr:col>14</xdr:col>
      <xdr:colOff>21456</xdr:colOff>
      <xdr:row>31</xdr:row>
      <xdr:rowOff>74083</xdr:rowOff>
    </xdr:to>
    <xdr:sp macro="" textlink="">
      <xdr:nvSpPr>
        <xdr:cNvPr id="14" name="Rectangle 13">
          <a:extLst>
            <a:ext uri="{FF2B5EF4-FFF2-40B4-BE49-F238E27FC236}">
              <a16:creationId xmlns:a16="http://schemas.microsoft.com/office/drawing/2014/main" id="{0CC4757C-7A53-BF56-B56C-F045DFA74291}"/>
            </a:ext>
          </a:extLst>
        </xdr:cNvPr>
        <xdr:cNvSpPr/>
      </xdr:nvSpPr>
      <xdr:spPr>
        <a:xfrm>
          <a:off x="6223000" y="3544146"/>
          <a:ext cx="4021956" cy="2170854"/>
        </a:xfrm>
        <a:prstGeom prst="rect">
          <a:avLst/>
        </a:prstGeom>
        <a:gradFill>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14</xdr:col>
      <xdr:colOff>222250</xdr:colOff>
      <xdr:row>8</xdr:row>
      <xdr:rowOff>12597</xdr:rowOff>
    </xdr:from>
    <xdr:to>
      <xdr:col>22</xdr:col>
      <xdr:colOff>10521</xdr:colOff>
      <xdr:row>16</xdr:row>
      <xdr:rowOff>184698</xdr:rowOff>
    </xdr:to>
    <xdr:grpSp>
      <xdr:nvGrpSpPr>
        <xdr:cNvPr id="7" name="Group 6">
          <a:extLst>
            <a:ext uri="{FF2B5EF4-FFF2-40B4-BE49-F238E27FC236}">
              <a16:creationId xmlns:a16="http://schemas.microsoft.com/office/drawing/2014/main" id="{CF0160FE-E6A2-0BD2-209D-9D20C7425E2F}"/>
            </a:ext>
          </a:extLst>
        </xdr:cNvPr>
        <xdr:cNvGrpSpPr/>
      </xdr:nvGrpSpPr>
      <xdr:grpSpPr>
        <a:xfrm>
          <a:off x="10388600" y="1377847"/>
          <a:ext cx="3464921" cy="1759601"/>
          <a:chOff x="8763275" y="1372055"/>
          <a:chExt cx="3524617" cy="2044693"/>
        </a:xfrm>
      </xdr:grpSpPr>
      <xdr:sp macro="" textlink="">
        <xdr:nvSpPr>
          <xdr:cNvPr id="12" name="Rectangle 11">
            <a:extLst>
              <a:ext uri="{FF2B5EF4-FFF2-40B4-BE49-F238E27FC236}">
                <a16:creationId xmlns:a16="http://schemas.microsoft.com/office/drawing/2014/main" id="{82290730-0B16-0D7B-E928-25E40B840CA3}"/>
              </a:ext>
            </a:extLst>
          </xdr:cNvPr>
          <xdr:cNvSpPr/>
        </xdr:nvSpPr>
        <xdr:spPr>
          <a:xfrm>
            <a:off x="8763275" y="1372055"/>
            <a:ext cx="3524617" cy="2044693"/>
          </a:xfrm>
          <a:prstGeom prst="rect">
            <a:avLst/>
          </a:prstGeom>
          <a:gradFill flip="none" rotWithShape="1">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path path="circle">
              <a:fillToRect r="100000" b="100000"/>
            </a:path>
            <a:tileRect l="-100000" t="-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13" name="Chart 12">
            <a:extLst>
              <a:ext uri="{FF2B5EF4-FFF2-40B4-BE49-F238E27FC236}">
                <a16:creationId xmlns:a16="http://schemas.microsoft.com/office/drawing/2014/main" id="{49CF5AE3-2BDE-5894-908E-793CA9BD7863}"/>
              </a:ext>
            </a:extLst>
          </xdr:cNvPr>
          <xdr:cNvGraphicFramePr>
            <a:graphicFrameLocks/>
          </xdr:cNvGraphicFramePr>
        </xdr:nvGraphicFramePr>
        <xdr:xfrm>
          <a:off x="8822851" y="1406974"/>
          <a:ext cx="3396323" cy="1936751"/>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13</xdr:col>
      <xdr:colOff>589151</xdr:colOff>
      <xdr:row>0</xdr:row>
      <xdr:rowOff>52849</xdr:rowOff>
    </xdr:from>
    <xdr:to>
      <xdr:col>17</xdr:col>
      <xdr:colOff>470560</xdr:colOff>
      <xdr:row>1</xdr:row>
      <xdr:rowOff>147675</xdr:rowOff>
    </xdr:to>
    <xdr:sp macro="" textlink="[7]Sheet3!G11">
      <xdr:nvSpPr>
        <xdr:cNvPr id="8" name="Rectangle 7">
          <a:extLst>
            <a:ext uri="{FF2B5EF4-FFF2-40B4-BE49-F238E27FC236}">
              <a16:creationId xmlns:a16="http://schemas.microsoft.com/office/drawing/2014/main" id="{420E0B12-3034-E1BC-80C2-730C905198A7}"/>
            </a:ext>
          </a:extLst>
        </xdr:cNvPr>
        <xdr:cNvSpPr/>
      </xdr:nvSpPr>
      <xdr:spPr>
        <a:xfrm>
          <a:off x="10452818" y="52849"/>
          <a:ext cx="1775825" cy="28532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54C2B97F-149D-4DD7-8B5C-C3539F96104C}" type="TxLink">
            <a:rPr lang="en-US" sz="1800" b="1" i="0" u="none" strike="noStrike">
              <a:solidFill>
                <a:sysClr val="windowText" lastClr="000000"/>
              </a:solidFill>
              <a:latin typeface="David" panose="020E0502060401010101" pitchFamily="34" charset="-79"/>
              <a:ea typeface="+mn-ea"/>
              <a:cs typeface="David" panose="020E0502060401010101" pitchFamily="34" charset="-79"/>
            </a:rPr>
            <a:pPr marL="0" indent="0" algn="ctr"/>
            <a:t>IRR</a:t>
          </a:fld>
          <a:endParaRPr lang="en-IN" sz="32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clientData/>
  </xdr:twoCellAnchor>
  <xdr:twoCellAnchor>
    <xdr:from>
      <xdr:col>9</xdr:col>
      <xdr:colOff>143875</xdr:colOff>
      <xdr:row>0</xdr:row>
      <xdr:rowOff>57077</xdr:rowOff>
    </xdr:from>
    <xdr:to>
      <xdr:col>13</xdr:col>
      <xdr:colOff>401642</xdr:colOff>
      <xdr:row>1</xdr:row>
      <xdr:rowOff>151903</xdr:rowOff>
    </xdr:to>
    <xdr:sp macro="" textlink="">
      <xdr:nvSpPr>
        <xdr:cNvPr id="9" name="Rectangle 8">
          <a:extLst>
            <a:ext uri="{FF2B5EF4-FFF2-40B4-BE49-F238E27FC236}">
              <a16:creationId xmlns:a16="http://schemas.microsoft.com/office/drawing/2014/main" id="{76E3062C-5CC5-DE96-B022-4FB59620C36D}"/>
            </a:ext>
          </a:extLst>
        </xdr:cNvPr>
        <xdr:cNvSpPr/>
      </xdr:nvSpPr>
      <xdr:spPr>
        <a:xfrm>
          <a:off x="8081375" y="57077"/>
          <a:ext cx="2183934" cy="28532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800" b="1" i="0" u="none" strike="noStrike">
              <a:solidFill>
                <a:sysClr val="windowText" lastClr="000000"/>
              </a:solidFill>
              <a:latin typeface="David" panose="020E0502060401010101" pitchFamily="34" charset="-79"/>
              <a:ea typeface="+mn-ea"/>
              <a:cs typeface="David" panose="020E0502060401010101" pitchFamily="34" charset="-79"/>
            </a:rPr>
            <a:t>NPV</a:t>
          </a:r>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clientData/>
  </xdr:twoCellAnchor>
  <xdr:twoCellAnchor>
    <xdr:from>
      <xdr:col>4</xdr:col>
      <xdr:colOff>1325309</xdr:colOff>
      <xdr:row>0</xdr:row>
      <xdr:rowOff>50742</xdr:rowOff>
    </xdr:from>
    <xdr:to>
      <xdr:col>8</xdr:col>
      <xdr:colOff>507593</xdr:colOff>
      <xdr:row>1</xdr:row>
      <xdr:rowOff>145568</xdr:rowOff>
    </xdr:to>
    <xdr:sp macro="" textlink="">
      <xdr:nvSpPr>
        <xdr:cNvPr id="10" name="Rectangle 9">
          <a:extLst>
            <a:ext uri="{FF2B5EF4-FFF2-40B4-BE49-F238E27FC236}">
              <a16:creationId xmlns:a16="http://schemas.microsoft.com/office/drawing/2014/main" id="{58B00853-5700-8A66-C2B7-694E2D4F9A02}"/>
            </a:ext>
          </a:extLst>
        </xdr:cNvPr>
        <xdr:cNvSpPr/>
      </xdr:nvSpPr>
      <xdr:spPr>
        <a:xfrm>
          <a:off x="5812642" y="50742"/>
          <a:ext cx="2103284" cy="28532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800" b="1" i="0" u="none" strike="noStrike">
              <a:solidFill>
                <a:sysClr val="windowText" lastClr="000000"/>
              </a:solidFill>
              <a:latin typeface="David" panose="020E0502060401010101" pitchFamily="34" charset="-79"/>
              <a:ea typeface="+mn-ea"/>
              <a:cs typeface="David" panose="020E0502060401010101" pitchFamily="34" charset="-79"/>
            </a:rPr>
            <a:t>Total Investment</a:t>
          </a:r>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clientData/>
  </xdr:twoCellAnchor>
  <xdr:twoCellAnchor>
    <xdr:from>
      <xdr:col>1</xdr:col>
      <xdr:colOff>1066817</xdr:colOff>
      <xdr:row>0</xdr:row>
      <xdr:rowOff>33840</xdr:rowOff>
    </xdr:from>
    <xdr:to>
      <xdr:col>3</xdr:col>
      <xdr:colOff>1471968</xdr:colOff>
      <xdr:row>1</xdr:row>
      <xdr:rowOff>128666</xdr:rowOff>
    </xdr:to>
    <xdr:sp macro="" textlink="">
      <xdr:nvSpPr>
        <xdr:cNvPr id="11" name="Rectangle 10">
          <a:extLst>
            <a:ext uri="{FF2B5EF4-FFF2-40B4-BE49-F238E27FC236}">
              <a16:creationId xmlns:a16="http://schemas.microsoft.com/office/drawing/2014/main" id="{A6551C04-C1B0-B491-8E1C-49712BE78EE7}"/>
            </a:ext>
          </a:extLst>
        </xdr:cNvPr>
        <xdr:cNvSpPr/>
      </xdr:nvSpPr>
      <xdr:spPr>
        <a:xfrm>
          <a:off x="1754734" y="33840"/>
          <a:ext cx="2638234" cy="28532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800" b="1" i="0" u="none" strike="noStrike">
              <a:solidFill>
                <a:sysClr val="windowText" lastClr="000000"/>
              </a:solidFill>
              <a:latin typeface="David" panose="020E0502060401010101" pitchFamily="34" charset="-79"/>
              <a:ea typeface="+mn-ea"/>
              <a:cs typeface="David" panose="020E0502060401010101" pitchFamily="34" charset="-79"/>
            </a:rPr>
            <a:t>Total Capacity</a:t>
          </a:r>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clientData/>
  </xdr:twoCellAnchor>
  <xdr:twoCellAnchor>
    <xdr:from>
      <xdr:col>6</xdr:col>
      <xdr:colOff>31750</xdr:colOff>
      <xdr:row>19</xdr:row>
      <xdr:rowOff>32806</xdr:rowOff>
    </xdr:from>
    <xdr:to>
      <xdr:col>13</xdr:col>
      <xdr:colOff>582082</xdr:colOff>
      <xdr:row>31</xdr:row>
      <xdr:rowOff>42333</xdr:rowOff>
    </xdr:to>
    <xdr:graphicFrame macro="">
      <xdr:nvGraphicFramePr>
        <xdr:cNvPr id="37" name="Chart 36">
          <a:extLst>
            <a:ext uri="{FF2B5EF4-FFF2-40B4-BE49-F238E27FC236}">
              <a16:creationId xmlns:a16="http://schemas.microsoft.com/office/drawing/2014/main" id="{07F8325D-5413-4AD2-AE7E-F3848932C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0</xdr:col>
      <xdr:colOff>76200</xdr:colOff>
      <xdr:row>9</xdr:row>
      <xdr:rowOff>66675</xdr:rowOff>
    </xdr:to>
    <xdr:sp macro="" textlink="">
      <xdr:nvSpPr>
        <xdr:cNvPr id="2" name="Text Box 2">
          <a:extLst>
            <a:ext uri="{FF2B5EF4-FFF2-40B4-BE49-F238E27FC236}">
              <a16:creationId xmlns:a16="http://schemas.microsoft.com/office/drawing/2014/main" id="{E629F5C3-48C5-48E1-B80D-FBE20E52AD7B}"/>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3" name="Text Box 3">
          <a:extLst>
            <a:ext uri="{FF2B5EF4-FFF2-40B4-BE49-F238E27FC236}">
              <a16:creationId xmlns:a16="http://schemas.microsoft.com/office/drawing/2014/main" id="{29D9BF61-C8E6-42E3-BDAF-9EAC5F05A6F5}"/>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4" name="Text Box 4">
          <a:extLst>
            <a:ext uri="{FF2B5EF4-FFF2-40B4-BE49-F238E27FC236}">
              <a16:creationId xmlns:a16="http://schemas.microsoft.com/office/drawing/2014/main" id="{E7606344-0CC2-4A1E-99F2-500BAFDFD034}"/>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5" name="Text Box 5">
          <a:extLst>
            <a:ext uri="{FF2B5EF4-FFF2-40B4-BE49-F238E27FC236}">
              <a16:creationId xmlns:a16="http://schemas.microsoft.com/office/drawing/2014/main" id="{5FC40570-86C9-4867-87B2-B411D623056D}"/>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6" name="Text Box 6">
          <a:extLst>
            <a:ext uri="{FF2B5EF4-FFF2-40B4-BE49-F238E27FC236}">
              <a16:creationId xmlns:a16="http://schemas.microsoft.com/office/drawing/2014/main" id="{DBB24853-3117-40CE-AFF6-B80B007823DD}"/>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7" name="Text Box 7">
          <a:extLst>
            <a:ext uri="{FF2B5EF4-FFF2-40B4-BE49-F238E27FC236}">
              <a16:creationId xmlns:a16="http://schemas.microsoft.com/office/drawing/2014/main" id="{5ABCCF8B-1966-4F8E-A389-79BE98EB9003}"/>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8" name="Text Box 8">
          <a:extLst>
            <a:ext uri="{FF2B5EF4-FFF2-40B4-BE49-F238E27FC236}">
              <a16:creationId xmlns:a16="http://schemas.microsoft.com/office/drawing/2014/main" id="{1005E86D-4861-4DD7-BC18-4D9EA52DE173}"/>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9" name="Text Box 9">
          <a:extLst>
            <a:ext uri="{FF2B5EF4-FFF2-40B4-BE49-F238E27FC236}">
              <a16:creationId xmlns:a16="http://schemas.microsoft.com/office/drawing/2014/main" id="{EC086158-66C2-4073-ADD7-D28A0A9C30CC}"/>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0" name="Text Box 10">
          <a:extLst>
            <a:ext uri="{FF2B5EF4-FFF2-40B4-BE49-F238E27FC236}">
              <a16:creationId xmlns:a16="http://schemas.microsoft.com/office/drawing/2014/main" id="{C065F8BF-A37A-4CD3-8102-97F241BD39D5}"/>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1" name="Text Box 11">
          <a:extLst>
            <a:ext uri="{FF2B5EF4-FFF2-40B4-BE49-F238E27FC236}">
              <a16:creationId xmlns:a16="http://schemas.microsoft.com/office/drawing/2014/main" id="{F1A08A9E-E64E-4F9C-9522-768DCC6314EF}"/>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2" name="Text Box 12">
          <a:extLst>
            <a:ext uri="{FF2B5EF4-FFF2-40B4-BE49-F238E27FC236}">
              <a16:creationId xmlns:a16="http://schemas.microsoft.com/office/drawing/2014/main" id="{6A52C737-C385-49A7-BA17-581C9D98AB55}"/>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3" name="Text Box 13">
          <a:extLst>
            <a:ext uri="{FF2B5EF4-FFF2-40B4-BE49-F238E27FC236}">
              <a16:creationId xmlns:a16="http://schemas.microsoft.com/office/drawing/2014/main" id="{D4829C9D-F024-4AAD-89ED-D407F940E1E0}"/>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4" name="Text Box 14">
          <a:extLst>
            <a:ext uri="{FF2B5EF4-FFF2-40B4-BE49-F238E27FC236}">
              <a16:creationId xmlns:a16="http://schemas.microsoft.com/office/drawing/2014/main" id="{B89396A6-BC22-4B8D-A16A-923C5AE189B1}"/>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5" name="Text Box 15">
          <a:extLst>
            <a:ext uri="{FF2B5EF4-FFF2-40B4-BE49-F238E27FC236}">
              <a16:creationId xmlns:a16="http://schemas.microsoft.com/office/drawing/2014/main" id="{1DE2BC15-5C83-414C-B257-62FEF4E45521}"/>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6" name="Text Box 16">
          <a:extLst>
            <a:ext uri="{FF2B5EF4-FFF2-40B4-BE49-F238E27FC236}">
              <a16:creationId xmlns:a16="http://schemas.microsoft.com/office/drawing/2014/main" id="{040DACF3-9E96-4FAB-B84C-A801E15DBB99}"/>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7" name="Text Box 17">
          <a:extLst>
            <a:ext uri="{FF2B5EF4-FFF2-40B4-BE49-F238E27FC236}">
              <a16:creationId xmlns:a16="http://schemas.microsoft.com/office/drawing/2014/main" id="{06EEBBBA-CDA5-48ED-84C5-BDAAB14C9273}"/>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8" name="Text Box 18">
          <a:extLst>
            <a:ext uri="{FF2B5EF4-FFF2-40B4-BE49-F238E27FC236}">
              <a16:creationId xmlns:a16="http://schemas.microsoft.com/office/drawing/2014/main" id="{111B327A-8C33-47F3-A993-88CF5C2C7FEC}"/>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9" name="Text Box 19">
          <a:extLst>
            <a:ext uri="{FF2B5EF4-FFF2-40B4-BE49-F238E27FC236}">
              <a16:creationId xmlns:a16="http://schemas.microsoft.com/office/drawing/2014/main" id="{EE28A461-6E82-4BA2-B5D9-ADBF77471A03}"/>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0" name="Text Box 20">
          <a:extLst>
            <a:ext uri="{FF2B5EF4-FFF2-40B4-BE49-F238E27FC236}">
              <a16:creationId xmlns:a16="http://schemas.microsoft.com/office/drawing/2014/main" id="{A004FFAE-854E-4A6B-AB68-35BC17EF742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1" name="Text Box 21">
          <a:extLst>
            <a:ext uri="{FF2B5EF4-FFF2-40B4-BE49-F238E27FC236}">
              <a16:creationId xmlns:a16="http://schemas.microsoft.com/office/drawing/2014/main" id="{F2D9336B-C72C-46F5-8415-DE30A9C8E7A0}"/>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2" name="Text Box 22">
          <a:extLst>
            <a:ext uri="{FF2B5EF4-FFF2-40B4-BE49-F238E27FC236}">
              <a16:creationId xmlns:a16="http://schemas.microsoft.com/office/drawing/2014/main" id="{958054CE-8E1F-4C91-ACF9-75E8A196815C}"/>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3" name="Text Box 23">
          <a:extLst>
            <a:ext uri="{FF2B5EF4-FFF2-40B4-BE49-F238E27FC236}">
              <a16:creationId xmlns:a16="http://schemas.microsoft.com/office/drawing/2014/main" id="{3A5BB770-9BDE-4861-8BCB-941ED362F2B7}"/>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4" name="Text Box 24">
          <a:extLst>
            <a:ext uri="{FF2B5EF4-FFF2-40B4-BE49-F238E27FC236}">
              <a16:creationId xmlns:a16="http://schemas.microsoft.com/office/drawing/2014/main" id="{3D9B487F-EACF-46E2-963B-E4D5621471C1}"/>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5" name="Text Box 25">
          <a:extLst>
            <a:ext uri="{FF2B5EF4-FFF2-40B4-BE49-F238E27FC236}">
              <a16:creationId xmlns:a16="http://schemas.microsoft.com/office/drawing/2014/main" id="{AFAD4BD9-54F3-4C0B-83CA-E5A986F4553A}"/>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6" name="Text Box 26">
          <a:extLst>
            <a:ext uri="{FF2B5EF4-FFF2-40B4-BE49-F238E27FC236}">
              <a16:creationId xmlns:a16="http://schemas.microsoft.com/office/drawing/2014/main" id="{7A89EBEB-35E6-4BB5-9BC7-BA4FB3C1C131}"/>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7" name="Text Box 27">
          <a:extLst>
            <a:ext uri="{FF2B5EF4-FFF2-40B4-BE49-F238E27FC236}">
              <a16:creationId xmlns:a16="http://schemas.microsoft.com/office/drawing/2014/main" id="{AC92DD87-794E-43A5-B54C-C9293A8524F4}"/>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8" name="Text Box 28">
          <a:extLst>
            <a:ext uri="{FF2B5EF4-FFF2-40B4-BE49-F238E27FC236}">
              <a16:creationId xmlns:a16="http://schemas.microsoft.com/office/drawing/2014/main" id="{BC4E924C-AAFC-43BA-B573-DA1C1538AEDC}"/>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9" name="Text Box 29">
          <a:extLst>
            <a:ext uri="{FF2B5EF4-FFF2-40B4-BE49-F238E27FC236}">
              <a16:creationId xmlns:a16="http://schemas.microsoft.com/office/drawing/2014/main" id="{B9FB3568-4E1E-440F-B15A-83FE5EE0551F}"/>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30" name="Text Box 30">
          <a:extLst>
            <a:ext uri="{FF2B5EF4-FFF2-40B4-BE49-F238E27FC236}">
              <a16:creationId xmlns:a16="http://schemas.microsoft.com/office/drawing/2014/main" id="{B793AB61-3EB2-41F8-ABFE-E668421C618C}"/>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5</xdr:col>
      <xdr:colOff>0</xdr:colOff>
      <xdr:row>0</xdr:row>
      <xdr:rowOff>0</xdr:rowOff>
    </xdr:from>
    <xdr:to>
      <xdr:col>5</xdr:col>
      <xdr:colOff>0</xdr:colOff>
      <xdr:row>0</xdr:row>
      <xdr:rowOff>0</xdr:rowOff>
    </xdr:to>
    <xdr:pic>
      <xdr:nvPicPr>
        <xdr:cNvPr id="31" name="Picture 31">
          <a:extLst>
            <a:ext uri="{FF2B5EF4-FFF2-40B4-BE49-F238E27FC236}">
              <a16:creationId xmlns:a16="http://schemas.microsoft.com/office/drawing/2014/main" id="{5D92A3C9-AAAC-4406-9A68-403C93C7EC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95975" y="0"/>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2" name="Picture 32">
          <a:extLst>
            <a:ext uri="{FF2B5EF4-FFF2-40B4-BE49-F238E27FC236}">
              <a16:creationId xmlns:a16="http://schemas.microsoft.com/office/drawing/2014/main" id="{D37932B7-7070-4C4F-86FC-9E8A7080DA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95975" y="0"/>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3" name="Picture 33">
          <a:extLst>
            <a:ext uri="{FF2B5EF4-FFF2-40B4-BE49-F238E27FC236}">
              <a16:creationId xmlns:a16="http://schemas.microsoft.com/office/drawing/2014/main" id="{E1DD590E-CE6C-48C6-803B-0868C2F36F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95975" y="0"/>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4" name="Picture 34">
          <a:extLst>
            <a:ext uri="{FF2B5EF4-FFF2-40B4-BE49-F238E27FC236}">
              <a16:creationId xmlns:a16="http://schemas.microsoft.com/office/drawing/2014/main" id="{3C983A19-3D96-467C-9FAB-1209382E63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95975" y="0"/>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5" name="Picture 35">
          <a:extLst>
            <a:ext uri="{FF2B5EF4-FFF2-40B4-BE49-F238E27FC236}">
              <a16:creationId xmlns:a16="http://schemas.microsoft.com/office/drawing/2014/main" id="{66DB2645-1097-4446-99EF-88DF9F0CF8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95975" y="0"/>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6" name="Picture 36">
          <a:extLst>
            <a:ext uri="{FF2B5EF4-FFF2-40B4-BE49-F238E27FC236}">
              <a16:creationId xmlns:a16="http://schemas.microsoft.com/office/drawing/2014/main" id="{F19BEE07-B3D0-4424-A6AC-8D026AF34D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95975" y="0"/>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oneCellAnchor>
    <xdr:from>
      <xdr:col>0</xdr:col>
      <xdr:colOff>0</xdr:colOff>
      <xdr:row>18</xdr:row>
      <xdr:rowOff>0</xdr:rowOff>
    </xdr:from>
    <xdr:ext cx="76200" cy="257175"/>
    <xdr:sp macro="" textlink="">
      <xdr:nvSpPr>
        <xdr:cNvPr id="37" name="Text Box 2">
          <a:extLst>
            <a:ext uri="{FF2B5EF4-FFF2-40B4-BE49-F238E27FC236}">
              <a16:creationId xmlns:a16="http://schemas.microsoft.com/office/drawing/2014/main" id="{C7F9A7BD-37C5-46F4-BB47-E419DFDA6995}"/>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38" name="Text Box 3">
          <a:extLst>
            <a:ext uri="{FF2B5EF4-FFF2-40B4-BE49-F238E27FC236}">
              <a16:creationId xmlns:a16="http://schemas.microsoft.com/office/drawing/2014/main" id="{B0878D06-334D-4BD8-90B5-CE68F71CFB31}"/>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39" name="Text Box 4">
          <a:extLst>
            <a:ext uri="{FF2B5EF4-FFF2-40B4-BE49-F238E27FC236}">
              <a16:creationId xmlns:a16="http://schemas.microsoft.com/office/drawing/2014/main" id="{336CDC04-A231-4E93-A580-5E81BABA9D70}"/>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0" name="Text Box 5">
          <a:extLst>
            <a:ext uri="{FF2B5EF4-FFF2-40B4-BE49-F238E27FC236}">
              <a16:creationId xmlns:a16="http://schemas.microsoft.com/office/drawing/2014/main" id="{491D77A9-873F-4FC8-BD1E-7AE18371075E}"/>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1" name="Text Box 6">
          <a:extLst>
            <a:ext uri="{FF2B5EF4-FFF2-40B4-BE49-F238E27FC236}">
              <a16:creationId xmlns:a16="http://schemas.microsoft.com/office/drawing/2014/main" id="{8734E7B9-73F1-41E9-9C41-6A9B124BD961}"/>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2" name="Text Box 7">
          <a:extLst>
            <a:ext uri="{FF2B5EF4-FFF2-40B4-BE49-F238E27FC236}">
              <a16:creationId xmlns:a16="http://schemas.microsoft.com/office/drawing/2014/main" id="{38F16EDF-4CE8-4800-B189-A6F0698DA285}"/>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3" name="Text Box 8">
          <a:extLst>
            <a:ext uri="{FF2B5EF4-FFF2-40B4-BE49-F238E27FC236}">
              <a16:creationId xmlns:a16="http://schemas.microsoft.com/office/drawing/2014/main" id="{47DFFA09-49A4-4E31-8070-A9BD09A1125A}"/>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4" name="Text Box 9">
          <a:extLst>
            <a:ext uri="{FF2B5EF4-FFF2-40B4-BE49-F238E27FC236}">
              <a16:creationId xmlns:a16="http://schemas.microsoft.com/office/drawing/2014/main" id="{818A552E-6D11-43C2-850F-61DDB3A3D67C}"/>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5" name="Text Box 10">
          <a:extLst>
            <a:ext uri="{FF2B5EF4-FFF2-40B4-BE49-F238E27FC236}">
              <a16:creationId xmlns:a16="http://schemas.microsoft.com/office/drawing/2014/main" id="{EEB25D3E-8B99-4B3E-8A03-F7B3A343A2FA}"/>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6" name="Text Box 11">
          <a:extLst>
            <a:ext uri="{FF2B5EF4-FFF2-40B4-BE49-F238E27FC236}">
              <a16:creationId xmlns:a16="http://schemas.microsoft.com/office/drawing/2014/main" id="{AA95EAAD-A851-4DE7-98F6-27A19A578297}"/>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7" name="Text Box 12">
          <a:extLst>
            <a:ext uri="{FF2B5EF4-FFF2-40B4-BE49-F238E27FC236}">
              <a16:creationId xmlns:a16="http://schemas.microsoft.com/office/drawing/2014/main" id="{B1DE14A8-330F-4A63-AF0E-48BA74830797}"/>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8" name="Text Box 13">
          <a:extLst>
            <a:ext uri="{FF2B5EF4-FFF2-40B4-BE49-F238E27FC236}">
              <a16:creationId xmlns:a16="http://schemas.microsoft.com/office/drawing/2014/main" id="{6E964A15-58A9-40D3-AFD8-3ECB48E05442}"/>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9" name="Text Box 14">
          <a:extLst>
            <a:ext uri="{FF2B5EF4-FFF2-40B4-BE49-F238E27FC236}">
              <a16:creationId xmlns:a16="http://schemas.microsoft.com/office/drawing/2014/main" id="{EE47F153-A58A-4536-9DE4-D976576D2564}"/>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0" name="Text Box 15">
          <a:extLst>
            <a:ext uri="{FF2B5EF4-FFF2-40B4-BE49-F238E27FC236}">
              <a16:creationId xmlns:a16="http://schemas.microsoft.com/office/drawing/2014/main" id="{788DC4D2-9C76-4578-8E54-9FCB1EE1AD02}"/>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1" name="Text Box 16">
          <a:extLst>
            <a:ext uri="{FF2B5EF4-FFF2-40B4-BE49-F238E27FC236}">
              <a16:creationId xmlns:a16="http://schemas.microsoft.com/office/drawing/2014/main" id="{0D666412-6E0C-4E5D-98DF-0FBB16201D05}"/>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2" name="Text Box 17">
          <a:extLst>
            <a:ext uri="{FF2B5EF4-FFF2-40B4-BE49-F238E27FC236}">
              <a16:creationId xmlns:a16="http://schemas.microsoft.com/office/drawing/2014/main" id="{55BDAB6C-20BB-4250-981B-F51D7B0CDCB2}"/>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3" name="Text Box 18">
          <a:extLst>
            <a:ext uri="{FF2B5EF4-FFF2-40B4-BE49-F238E27FC236}">
              <a16:creationId xmlns:a16="http://schemas.microsoft.com/office/drawing/2014/main" id="{1F859203-0179-4684-986B-BB772A869979}"/>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4" name="Text Box 19">
          <a:extLst>
            <a:ext uri="{FF2B5EF4-FFF2-40B4-BE49-F238E27FC236}">
              <a16:creationId xmlns:a16="http://schemas.microsoft.com/office/drawing/2014/main" id="{CADE6C23-8C5F-42CB-AA25-9E7D7A5E3D51}"/>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5" name="Text Box 20">
          <a:extLst>
            <a:ext uri="{FF2B5EF4-FFF2-40B4-BE49-F238E27FC236}">
              <a16:creationId xmlns:a16="http://schemas.microsoft.com/office/drawing/2014/main" id="{94C1FD07-5516-4B93-A461-4FFF7FD1B46A}"/>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6" name="Text Box 21">
          <a:extLst>
            <a:ext uri="{FF2B5EF4-FFF2-40B4-BE49-F238E27FC236}">
              <a16:creationId xmlns:a16="http://schemas.microsoft.com/office/drawing/2014/main" id="{F1D7CB84-7F64-40C2-9E24-6AEEE6F19CC5}"/>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7" name="Text Box 22">
          <a:extLst>
            <a:ext uri="{FF2B5EF4-FFF2-40B4-BE49-F238E27FC236}">
              <a16:creationId xmlns:a16="http://schemas.microsoft.com/office/drawing/2014/main" id="{F758EA7D-1F6E-4357-AF46-D27E86DC65CB}"/>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8" name="Text Box 23">
          <a:extLst>
            <a:ext uri="{FF2B5EF4-FFF2-40B4-BE49-F238E27FC236}">
              <a16:creationId xmlns:a16="http://schemas.microsoft.com/office/drawing/2014/main" id="{1E7F7183-DC6E-4AF2-A03E-F447563050EE}"/>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9" name="Text Box 24">
          <a:extLst>
            <a:ext uri="{FF2B5EF4-FFF2-40B4-BE49-F238E27FC236}">
              <a16:creationId xmlns:a16="http://schemas.microsoft.com/office/drawing/2014/main" id="{C39CEAE5-8FEB-4B6B-BE7B-94D4AC947BA5}"/>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0" name="Text Box 25">
          <a:extLst>
            <a:ext uri="{FF2B5EF4-FFF2-40B4-BE49-F238E27FC236}">
              <a16:creationId xmlns:a16="http://schemas.microsoft.com/office/drawing/2014/main" id="{61282F40-B0B3-49BC-918E-7D305293F6DF}"/>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1" name="Text Box 26">
          <a:extLst>
            <a:ext uri="{FF2B5EF4-FFF2-40B4-BE49-F238E27FC236}">
              <a16:creationId xmlns:a16="http://schemas.microsoft.com/office/drawing/2014/main" id="{FF2A3165-6747-4CED-A55B-6CB487E92D31}"/>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2" name="Text Box 27">
          <a:extLst>
            <a:ext uri="{FF2B5EF4-FFF2-40B4-BE49-F238E27FC236}">
              <a16:creationId xmlns:a16="http://schemas.microsoft.com/office/drawing/2014/main" id="{1FF0EE5C-ED2E-41C8-B76D-8B8249B2AFF8}"/>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3" name="Text Box 28">
          <a:extLst>
            <a:ext uri="{FF2B5EF4-FFF2-40B4-BE49-F238E27FC236}">
              <a16:creationId xmlns:a16="http://schemas.microsoft.com/office/drawing/2014/main" id="{2C27A300-2FB3-4D66-B49C-E37781A0AE5C}"/>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4" name="Text Box 29">
          <a:extLst>
            <a:ext uri="{FF2B5EF4-FFF2-40B4-BE49-F238E27FC236}">
              <a16:creationId xmlns:a16="http://schemas.microsoft.com/office/drawing/2014/main" id="{A576BE7C-7880-4595-916D-1368F1966E73}"/>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5" name="Text Box 30">
          <a:extLst>
            <a:ext uri="{FF2B5EF4-FFF2-40B4-BE49-F238E27FC236}">
              <a16:creationId xmlns:a16="http://schemas.microsoft.com/office/drawing/2014/main" id="{2E408FF9-C580-42AB-B285-757408B0AF75}"/>
            </a:ext>
          </a:extLst>
        </xdr:cNvPr>
        <xdr:cNvSpPr txBox="1">
          <a:spLocks noChangeArrowheads="1"/>
        </xdr:cNvSpPr>
      </xdr:nvSpPr>
      <xdr:spPr bwMode="auto">
        <a:xfrm>
          <a:off x="0" y="3514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5</xdr:col>
      <xdr:colOff>0</xdr:colOff>
      <xdr:row>4</xdr:row>
      <xdr:rowOff>0</xdr:rowOff>
    </xdr:from>
    <xdr:to>
      <xdr:col>25</xdr:col>
      <xdr:colOff>76200</xdr:colOff>
      <xdr:row>5</xdr:row>
      <xdr:rowOff>66675</xdr:rowOff>
    </xdr:to>
    <xdr:sp macro="" textlink="">
      <xdr:nvSpPr>
        <xdr:cNvPr id="2" name="Text Box 2">
          <a:extLst>
            <a:ext uri="{FF2B5EF4-FFF2-40B4-BE49-F238E27FC236}">
              <a16:creationId xmlns:a16="http://schemas.microsoft.com/office/drawing/2014/main" id="{785B7ECB-7B7A-43DF-8EE5-F733843AA6B5}"/>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3" name="Text Box 3">
          <a:extLst>
            <a:ext uri="{FF2B5EF4-FFF2-40B4-BE49-F238E27FC236}">
              <a16:creationId xmlns:a16="http://schemas.microsoft.com/office/drawing/2014/main" id="{61C61DFD-B8B3-4479-B1B6-F744A862C14D}"/>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4" name="Text Box 4">
          <a:extLst>
            <a:ext uri="{FF2B5EF4-FFF2-40B4-BE49-F238E27FC236}">
              <a16:creationId xmlns:a16="http://schemas.microsoft.com/office/drawing/2014/main" id="{1AD18AD0-85F2-49D0-A341-0BB957DBBE27}"/>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5" name="Text Box 5">
          <a:extLst>
            <a:ext uri="{FF2B5EF4-FFF2-40B4-BE49-F238E27FC236}">
              <a16:creationId xmlns:a16="http://schemas.microsoft.com/office/drawing/2014/main" id="{1A41DD6E-13E0-4CCA-AB7F-9BAC6A321B92}"/>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6" name="Text Box 6">
          <a:extLst>
            <a:ext uri="{FF2B5EF4-FFF2-40B4-BE49-F238E27FC236}">
              <a16:creationId xmlns:a16="http://schemas.microsoft.com/office/drawing/2014/main" id="{ABAB109E-9D3A-4289-9277-8A6070976E6E}"/>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7" name="Text Box 7">
          <a:extLst>
            <a:ext uri="{FF2B5EF4-FFF2-40B4-BE49-F238E27FC236}">
              <a16:creationId xmlns:a16="http://schemas.microsoft.com/office/drawing/2014/main" id="{9242F87C-0E49-4E15-BC38-45AB4B42FFBB}"/>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8" name="Text Box 8">
          <a:extLst>
            <a:ext uri="{FF2B5EF4-FFF2-40B4-BE49-F238E27FC236}">
              <a16:creationId xmlns:a16="http://schemas.microsoft.com/office/drawing/2014/main" id="{6BA33754-8632-428A-BEF3-13B5FCB5E5CC}"/>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9" name="Text Box 9">
          <a:extLst>
            <a:ext uri="{FF2B5EF4-FFF2-40B4-BE49-F238E27FC236}">
              <a16:creationId xmlns:a16="http://schemas.microsoft.com/office/drawing/2014/main" id="{2D255C4F-774F-42FC-9A5A-5F6E39BEB84A}"/>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10" name="Text Box 10">
          <a:extLst>
            <a:ext uri="{FF2B5EF4-FFF2-40B4-BE49-F238E27FC236}">
              <a16:creationId xmlns:a16="http://schemas.microsoft.com/office/drawing/2014/main" id="{BF10225B-AC23-4AA3-953B-11C4C2ED0564}"/>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11" name="Text Box 11">
          <a:extLst>
            <a:ext uri="{FF2B5EF4-FFF2-40B4-BE49-F238E27FC236}">
              <a16:creationId xmlns:a16="http://schemas.microsoft.com/office/drawing/2014/main" id="{46A2AAA2-B585-4E3B-8A7F-81BDBEB45C39}"/>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12" name="Text Box 12">
          <a:extLst>
            <a:ext uri="{FF2B5EF4-FFF2-40B4-BE49-F238E27FC236}">
              <a16:creationId xmlns:a16="http://schemas.microsoft.com/office/drawing/2014/main" id="{D46C58D8-6D6F-417B-B800-E58DFAB77CF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13" name="Text Box 13">
          <a:extLst>
            <a:ext uri="{FF2B5EF4-FFF2-40B4-BE49-F238E27FC236}">
              <a16:creationId xmlns:a16="http://schemas.microsoft.com/office/drawing/2014/main" id="{BB454292-C077-40DF-9191-40B44E1C8A8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14" name="Text Box 14">
          <a:extLst>
            <a:ext uri="{FF2B5EF4-FFF2-40B4-BE49-F238E27FC236}">
              <a16:creationId xmlns:a16="http://schemas.microsoft.com/office/drawing/2014/main" id="{7D2339A2-1178-4094-89DA-E79C60139F31}"/>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15" name="Text Box 15">
          <a:extLst>
            <a:ext uri="{FF2B5EF4-FFF2-40B4-BE49-F238E27FC236}">
              <a16:creationId xmlns:a16="http://schemas.microsoft.com/office/drawing/2014/main" id="{9F423E43-B079-4694-86E8-47E46A9E87B3}"/>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16" name="Text Box 16">
          <a:extLst>
            <a:ext uri="{FF2B5EF4-FFF2-40B4-BE49-F238E27FC236}">
              <a16:creationId xmlns:a16="http://schemas.microsoft.com/office/drawing/2014/main" id="{06A6385A-EFCA-4537-9A3C-B5E48861243B}"/>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17" name="Text Box 17">
          <a:extLst>
            <a:ext uri="{FF2B5EF4-FFF2-40B4-BE49-F238E27FC236}">
              <a16:creationId xmlns:a16="http://schemas.microsoft.com/office/drawing/2014/main" id="{84091664-B33E-49E0-8DA1-AA74EA76E19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18" name="Text Box 18">
          <a:extLst>
            <a:ext uri="{FF2B5EF4-FFF2-40B4-BE49-F238E27FC236}">
              <a16:creationId xmlns:a16="http://schemas.microsoft.com/office/drawing/2014/main" id="{ADDC589E-F0B8-4A6E-B2CA-5A6D1FE1E67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19" name="Text Box 19">
          <a:extLst>
            <a:ext uri="{FF2B5EF4-FFF2-40B4-BE49-F238E27FC236}">
              <a16:creationId xmlns:a16="http://schemas.microsoft.com/office/drawing/2014/main" id="{7BD7E522-9BB3-483B-B7CB-120AB9FFCEAD}"/>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20" name="Text Box 20">
          <a:extLst>
            <a:ext uri="{FF2B5EF4-FFF2-40B4-BE49-F238E27FC236}">
              <a16:creationId xmlns:a16="http://schemas.microsoft.com/office/drawing/2014/main" id="{0D530FED-3070-4DED-99A6-AB8FE54CFAF4}"/>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21" name="Text Box 21">
          <a:extLst>
            <a:ext uri="{FF2B5EF4-FFF2-40B4-BE49-F238E27FC236}">
              <a16:creationId xmlns:a16="http://schemas.microsoft.com/office/drawing/2014/main" id="{176B339B-04C4-43BC-8476-8C43EF1D6C51}"/>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22" name="Text Box 22">
          <a:extLst>
            <a:ext uri="{FF2B5EF4-FFF2-40B4-BE49-F238E27FC236}">
              <a16:creationId xmlns:a16="http://schemas.microsoft.com/office/drawing/2014/main" id="{D9D130F5-BCF4-4D3D-B7DC-1595F90CD259}"/>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23" name="Text Box 23">
          <a:extLst>
            <a:ext uri="{FF2B5EF4-FFF2-40B4-BE49-F238E27FC236}">
              <a16:creationId xmlns:a16="http://schemas.microsoft.com/office/drawing/2014/main" id="{1B536F5C-893C-4730-B52C-76D1744982DC}"/>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24" name="Text Box 24">
          <a:extLst>
            <a:ext uri="{FF2B5EF4-FFF2-40B4-BE49-F238E27FC236}">
              <a16:creationId xmlns:a16="http://schemas.microsoft.com/office/drawing/2014/main" id="{CB515A20-E808-4F33-ACAA-EDD9CF7D366D}"/>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25" name="Text Box 25">
          <a:extLst>
            <a:ext uri="{FF2B5EF4-FFF2-40B4-BE49-F238E27FC236}">
              <a16:creationId xmlns:a16="http://schemas.microsoft.com/office/drawing/2014/main" id="{1A86E8E4-C8FC-4BAC-924F-5801C2BC527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26" name="Text Box 26">
          <a:extLst>
            <a:ext uri="{FF2B5EF4-FFF2-40B4-BE49-F238E27FC236}">
              <a16:creationId xmlns:a16="http://schemas.microsoft.com/office/drawing/2014/main" id="{7E810C44-5DE1-4799-8781-6701418D8547}"/>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27" name="Text Box 27">
          <a:extLst>
            <a:ext uri="{FF2B5EF4-FFF2-40B4-BE49-F238E27FC236}">
              <a16:creationId xmlns:a16="http://schemas.microsoft.com/office/drawing/2014/main" id="{B24CF75C-BA1A-4088-AE20-5BBE445B3D0E}"/>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28" name="Text Box 28">
          <a:extLst>
            <a:ext uri="{FF2B5EF4-FFF2-40B4-BE49-F238E27FC236}">
              <a16:creationId xmlns:a16="http://schemas.microsoft.com/office/drawing/2014/main" id="{937B30D6-FAFB-43F6-A18A-F64859ABE5BE}"/>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29" name="Text Box 29">
          <a:extLst>
            <a:ext uri="{FF2B5EF4-FFF2-40B4-BE49-F238E27FC236}">
              <a16:creationId xmlns:a16="http://schemas.microsoft.com/office/drawing/2014/main" id="{C6AFD129-5F7B-43C1-99B9-3E7A1C430AD4}"/>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5</xdr:col>
      <xdr:colOff>0</xdr:colOff>
      <xdr:row>4</xdr:row>
      <xdr:rowOff>0</xdr:rowOff>
    </xdr:from>
    <xdr:to>
      <xdr:col>25</xdr:col>
      <xdr:colOff>76200</xdr:colOff>
      <xdr:row>5</xdr:row>
      <xdr:rowOff>66675</xdr:rowOff>
    </xdr:to>
    <xdr:sp macro="" textlink="">
      <xdr:nvSpPr>
        <xdr:cNvPr id="30" name="Text Box 30">
          <a:extLst>
            <a:ext uri="{FF2B5EF4-FFF2-40B4-BE49-F238E27FC236}">
              <a16:creationId xmlns:a16="http://schemas.microsoft.com/office/drawing/2014/main" id="{E32EBB6C-3A98-4AE9-A148-3F24B955A94A}"/>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5</xdr:col>
      <xdr:colOff>0</xdr:colOff>
      <xdr:row>0</xdr:row>
      <xdr:rowOff>0</xdr:rowOff>
    </xdr:from>
    <xdr:to>
      <xdr:col>5</xdr:col>
      <xdr:colOff>0</xdr:colOff>
      <xdr:row>0</xdr:row>
      <xdr:rowOff>0</xdr:rowOff>
    </xdr:to>
    <xdr:pic>
      <xdr:nvPicPr>
        <xdr:cNvPr id="31" name="Picture 31">
          <a:extLst>
            <a:ext uri="{FF2B5EF4-FFF2-40B4-BE49-F238E27FC236}">
              <a16:creationId xmlns:a16="http://schemas.microsoft.com/office/drawing/2014/main" id="{997E15F6-7EF0-47D2-8672-A6B361710E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2" name="Picture 32">
          <a:extLst>
            <a:ext uri="{FF2B5EF4-FFF2-40B4-BE49-F238E27FC236}">
              <a16:creationId xmlns:a16="http://schemas.microsoft.com/office/drawing/2014/main" id="{A614D453-11FA-4304-8787-0D936254B7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3" name="Picture 33">
          <a:extLst>
            <a:ext uri="{FF2B5EF4-FFF2-40B4-BE49-F238E27FC236}">
              <a16:creationId xmlns:a16="http://schemas.microsoft.com/office/drawing/2014/main" id="{D8674B81-D6F0-4BA2-B005-BFAFB26E36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4" name="Picture 34">
          <a:extLst>
            <a:ext uri="{FF2B5EF4-FFF2-40B4-BE49-F238E27FC236}">
              <a16:creationId xmlns:a16="http://schemas.microsoft.com/office/drawing/2014/main" id="{93CA5CF3-8664-4A0A-8913-BF56D65944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5" name="Picture 35">
          <a:extLst>
            <a:ext uri="{FF2B5EF4-FFF2-40B4-BE49-F238E27FC236}">
              <a16:creationId xmlns:a16="http://schemas.microsoft.com/office/drawing/2014/main" id="{0359418F-EA69-4F2E-B70B-078658B429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6" name="Picture 36">
          <a:extLst>
            <a:ext uri="{FF2B5EF4-FFF2-40B4-BE49-F238E27FC236}">
              <a16:creationId xmlns:a16="http://schemas.microsoft.com/office/drawing/2014/main" id="{CFDA33B1-21B8-46F3-B0BC-BE17B8E32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ackup/D/Studies%20&amp;%20Reports/Chem%20Report%202002%20for%20Sabic/App%20V%20Case%20I%20Fin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y%20Documents/EXCEL/03/BP/Data%20file%20BP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Report\Monthly\2020\11.%20November\Copy%20of%20CPP%20Report.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21065/Desktop/Excel/CPP%20Monitoring%20Sheet.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rajeshwar/Desktop/Hardik/03-08-2022-TEFR%20PVC%20Market%202010-204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Desktop%20Data\Dashboard\TEFR%20PVC%20Phenol%20%20Acetone-Latest.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rajeshwar/Desktop/Hardik/27-06-2022-TEFR%20PVC%20Market%202010-204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EFR%20PVC%20August%2022%202022.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20120/AppData/Local/Microsoft/Windows/INetCache/Content.Outlook/VSW8M2FO/Price%20Table%20Sep%207%20202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jaideep.kumar.TECHSCIRESEARCH/Desktop/OPAL%20Final%20Lap/PVC%2020-5/03-06-2022-TEFR%20PVC%20Market%202010-204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jaideep.kumar.TECHSCIRESEARCH/Desktop/Case%208007-DFCU%20-PVC-Phenol%20(003).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jaideep.kumar.TECHSCIRESEARCH/Desktop/OPAL%20Final%20Lap/Revised_TEFR%20Phenol%20Acetone%20Market%202010-204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jaideep.kumar.TECHSCIRESEARCH/Desktop/ONGC%20Petro%20Additions%20Ltd/Linde_llustrative%20Financial%20Model.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TEFR%20PVC%20September%2012%202022.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esktop%20Data\Hardik\TEFR%20PVC%20August%208%202022%20Approved.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rajeshwar/Desktop/Hardik/27-06-2022_TEFR%20Phenol%20Acetone%20Market%202010-204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Total Cash Flow (Unleveraged)"/>
      <sheetName val="Total cash flow"/>
      <sheetName val="Olefin cash flow"/>
      <sheetName val="LLDPE cash flow"/>
      <sheetName val="HDPE cash flow"/>
      <sheetName val="MEG cash flow"/>
      <sheetName val="Butene-1 cash flow"/>
      <sheetName val="Oxygen"/>
      <sheetName val="Pricing - Current"/>
      <sheetName val="Pricing - Const"/>
      <sheetName val="Netback"/>
      <sheetName val="Mass Balance"/>
      <sheetName val="Purchases &amp; Sales"/>
      <sheetName val="Capital Costs"/>
      <sheetName val="Financing"/>
      <sheetName val="Taxation"/>
      <sheetName val="Expats"/>
      <sheetName val="Factors"/>
      <sheetName val="Backup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
          <cell r="A3" t="str">
            <v>Ethane</v>
          </cell>
          <cell r="B3" t="str">
            <v xml:space="preserve">1.25/MM btu for the first 10 years of commercial operations; escalation at 3% per year </v>
          </cell>
          <cell r="D3" t="str">
            <v>$/ton</v>
          </cell>
          <cell r="E3">
            <v>0</v>
          </cell>
          <cell r="F3">
            <v>61.108654999999999</v>
          </cell>
          <cell r="G3">
            <v>61.108654999999999</v>
          </cell>
          <cell r="H3">
            <v>61.108654999999999</v>
          </cell>
          <cell r="I3">
            <v>61.108654999999999</v>
          </cell>
          <cell r="J3">
            <v>61.108654999999999</v>
          </cell>
          <cell r="K3">
            <v>61.108654999999999</v>
          </cell>
          <cell r="L3">
            <v>61.108654999999999</v>
          </cell>
          <cell r="M3">
            <v>61.108654999999999</v>
          </cell>
          <cell r="N3">
            <v>61.108654999999999</v>
          </cell>
          <cell r="O3">
            <v>61.108654999999999</v>
          </cell>
          <cell r="P3">
            <v>61.108654999999999</v>
          </cell>
          <cell r="Q3">
            <v>61.108654999999999</v>
          </cell>
          <cell r="R3">
            <v>61.108654999999999</v>
          </cell>
          <cell r="S3">
            <v>61.108654999999999</v>
          </cell>
          <cell r="T3">
            <v>61.108654999999999</v>
          </cell>
          <cell r="U3">
            <v>62.941914650000001</v>
          </cell>
          <cell r="V3">
            <v>64.830172089499996</v>
          </cell>
          <cell r="W3">
            <v>66.775077252185</v>
          </cell>
          <cell r="X3">
            <v>68.778329569750554</v>
          </cell>
          <cell r="Y3">
            <v>70.841679456843067</v>
          </cell>
          <cell r="Z3">
            <v>72.96692984054836</v>
          </cell>
          <cell r="AA3">
            <v>75.155937735764809</v>
          </cell>
          <cell r="AB3">
            <v>77.410615867837748</v>
          </cell>
          <cell r="AC3">
            <v>79.732934343872884</v>
          </cell>
          <cell r="AD3">
            <v>82.124922374189069</v>
          </cell>
          <cell r="AE3">
            <v>84.588670045414744</v>
          </cell>
          <cell r="AF3">
            <v>87.126330146777192</v>
          </cell>
          <cell r="AG3">
            <v>89.740120051180511</v>
          </cell>
          <cell r="AH3">
            <v>92.432323652715922</v>
          </cell>
        </row>
        <row r="4">
          <cell r="A4" t="str">
            <v>Methane</v>
          </cell>
          <cell r="B4" t="str">
            <v>0.75/ MM btu for the first 10 years of project life; escalation at 3% per year</v>
          </cell>
          <cell r="D4" t="str">
            <v>$/ton</v>
          </cell>
          <cell r="E4">
            <v>0</v>
          </cell>
          <cell r="F4">
            <v>35.5426407</v>
          </cell>
          <cell r="G4">
            <v>35.5426407</v>
          </cell>
          <cell r="H4">
            <v>35.5426407</v>
          </cell>
          <cell r="I4">
            <v>35.5426407</v>
          </cell>
          <cell r="J4">
            <v>35.5426407</v>
          </cell>
          <cell r="K4">
            <v>35.5426407</v>
          </cell>
          <cell r="L4">
            <v>35.5426407</v>
          </cell>
          <cell r="M4">
            <v>35.5426407</v>
          </cell>
          <cell r="N4">
            <v>35.5426407</v>
          </cell>
          <cell r="O4">
            <v>35.5426407</v>
          </cell>
          <cell r="P4">
            <v>35.5426407</v>
          </cell>
          <cell r="Q4">
            <v>35.5426407</v>
          </cell>
          <cell r="R4">
            <v>36.608919921000002</v>
          </cell>
          <cell r="S4">
            <v>37.707187518630001</v>
          </cell>
          <cell r="T4">
            <v>38.838403144188902</v>
          </cell>
          <cell r="U4">
            <v>40.003555238514572</v>
          </cell>
          <cell r="V4">
            <v>41.20366189567001</v>
          </cell>
          <cell r="W4">
            <v>42.439771752540111</v>
          </cell>
          <cell r="X4">
            <v>43.712964905116316</v>
          </cell>
          <cell r="Y4">
            <v>45.024353852269805</v>
          </cell>
          <cell r="Z4">
            <v>46.375084467837901</v>
          </cell>
          <cell r="AA4">
            <v>47.76633700187304</v>
          </cell>
          <cell r="AB4">
            <v>49.199327111929236</v>
          </cell>
          <cell r="AC4">
            <v>50.675306925287117</v>
          </cell>
          <cell r="AD4">
            <v>52.19556613304573</v>
          </cell>
          <cell r="AE4">
            <v>53.7614331170371</v>
          </cell>
          <cell r="AF4">
            <v>55.374276110548216</v>
          </cell>
          <cell r="AG4">
            <v>57.035504393864663</v>
          </cell>
          <cell r="AH4">
            <v>58.746569525680606</v>
          </cell>
        </row>
        <row r="5">
          <cell r="A5" t="str">
            <v>Catalyst (Ethylene)</v>
          </cell>
          <cell r="B5" t="str">
            <v>2.75 in const 2001</v>
          </cell>
          <cell r="D5" t="str">
            <v>$/ton C2</v>
          </cell>
          <cell r="E5">
            <v>2.75</v>
          </cell>
          <cell r="F5">
            <v>2.8022499999999999</v>
          </cell>
          <cell r="G5">
            <v>2.8654999999999999</v>
          </cell>
          <cell r="H5">
            <v>2.9370000000000003</v>
          </cell>
          <cell r="I5">
            <v>3.01125</v>
          </cell>
          <cell r="J5">
            <v>3.0882499999999999</v>
          </cell>
          <cell r="K5">
            <v>3.1652499999999999</v>
          </cell>
          <cell r="L5">
            <v>3.2422500000000003</v>
          </cell>
          <cell r="M5">
            <v>3.3247500000000003</v>
          </cell>
          <cell r="N5">
            <v>3.4072500000000003</v>
          </cell>
          <cell r="O5">
            <v>3.4925000000000002</v>
          </cell>
          <cell r="P5">
            <v>3.5805000000000002</v>
          </cell>
          <cell r="Q5">
            <v>3.6685000000000003</v>
          </cell>
          <cell r="R5">
            <v>3.7620000000000005</v>
          </cell>
          <cell r="S5">
            <v>3.8554999999999997</v>
          </cell>
          <cell r="T5">
            <v>3.9517500000000001</v>
          </cell>
          <cell r="U5">
            <v>4.0507499999999999</v>
          </cell>
          <cell r="V5">
            <v>4.1524999999999999</v>
          </cell>
          <cell r="W5">
            <v>4.2569999999999997</v>
          </cell>
          <cell r="X5">
            <v>4.3615000000000004</v>
          </cell>
          <cell r="Y5">
            <v>4.4705374999999998</v>
          </cell>
          <cell r="Z5">
            <v>4.5823009375000003</v>
          </cell>
          <cell r="AA5">
            <v>4.6968584609374995</v>
          </cell>
          <cell r="AB5">
            <v>4.8142799224609361</v>
          </cell>
          <cell r="AC5">
            <v>4.9346369205224594</v>
          </cell>
          <cell r="AD5">
            <v>5.0580028435355198</v>
          </cell>
          <cell r="AE5">
            <v>5.1844529146239076</v>
          </cell>
          <cell r="AF5">
            <v>5.3140642374895046</v>
          </cell>
          <cell r="AG5">
            <v>5.4469158434267415</v>
          </cell>
          <cell r="AH5">
            <v>5.5830887395124105</v>
          </cell>
        </row>
        <row r="6">
          <cell r="A6" t="str">
            <v>Power</v>
          </cell>
          <cell r="B6" t="str">
            <v>$30/MWH fixed</v>
          </cell>
          <cell r="C6">
            <v>0.91576190190550455</v>
          </cell>
          <cell r="D6" t="str">
            <v>$/MWH</v>
          </cell>
          <cell r="E6">
            <v>30</v>
          </cell>
          <cell r="F6">
            <v>30</v>
          </cell>
          <cell r="G6">
            <v>30</v>
          </cell>
          <cell r="H6">
            <v>30</v>
          </cell>
          <cell r="I6">
            <v>30</v>
          </cell>
          <cell r="J6">
            <v>30</v>
          </cell>
          <cell r="K6">
            <v>30</v>
          </cell>
          <cell r="L6">
            <v>30</v>
          </cell>
          <cell r="M6">
            <v>30</v>
          </cell>
          <cell r="N6">
            <v>30</v>
          </cell>
          <cell r="O6">
            <v>30</v>
          </cell>
          <cell r="P6">
            <v>30</v>
          </cell>
          <cell r="Q6">
            <v>30</v>
          </cell>
          <cell r="R6">
            <v>30</v>
          </cell>
          <cell r="S6">
            <v>30</v>
          </cell>
          <cell r="T6">
            <v>30</v>
          </cell>
          <cell r="U6">
            <v>30</v>
          </cell>
          <cell r="V6">
            <v>30</v>
          </cell>
          <cell r="W6">
            <v>30</v>
          </cell>
          <cell r="X6">
            <v>30</v>
          </cell>
          <cell r="Y6">
            <v>30</v>
          </cell>
          <cell r="Z6">
            <v>30</v>
          </cell>
          <cell r="AA6">
            <v>30</v>
          </cell>
          <cell r="AB6">
            <v>30</v>
          </cell>
          <cell r="AC6">
            <v>30</v>
          </cell>
          <cell r="AD6">
            <v>30</v>
          </cell>
          <cell r="AE6">
            <v>30</v>
          </cell>
          <cell r="AF6">
            <v>30</v>
          </cell>
          <cell r="AG6">
            <v>30</v>
          </cell>
          <cell r="AH6">
            <v>30</v>
          </cell>
        </row>
        <row r="7">
          <cell r="A7" t="str">
            <v>Steam</v>
          </cell>
          <cell r="B7" t="str">
            <v>$4.5/ton fixed</v>
          </cell>
          <cell r="C7">
            <v>0</v>
          </cell>
          <cell r="D7" t="str">
            <v>$/ton</v>
          </cell>
          <cell r="E7">
            <v>4.5</v>
          </cell>
          <cell r="F7">
            <v>4.5</v>
          </cell>
          <cell r="G7">
            <v>4.5</v>
          </cell>
          <cell r="H7">
            <v>4.5</v>
          </cell>
          <cell r="I7">
            <v>4.5</v>
          </cell>
          <cell r="J7">
            <v>4.5</v>
          </cell>
          <cell r="K7">
            <v>4.5</v>
          </cell>
          <cell r="L7">
            <v>4.5</v>
          </cell>
          <cell r="M7">
            <v>4.5</v>
          </cell>
          <cell r="N7">
            <v>4.5</v>
          </cell>
          <cell r="O7">
            <v>4.5</v>
          </cell>
          <cell r="P7">
            <v>4.5</v>
          </cell>
          <cell r="Q7">
            <v>4.5</v>
          </cell>
          <cell r="R7">
            <v>4.5</v>
          </cell>
          <cell r="S7">
            <v>4.5</v>
          </cell>
          <cell r="T7">
            <v>4.5</v>
          </cell>
          <cell r="U7">
            <v>4.5</v>
          </cell>
          <cell r="V7">
            <v>4.5</v>
          </cell>
          <cell r="W7">
            <v>4.5</v>
          </cell>
          <cell r="X7">
            <v>4.5</v>
          </cell>
          <cell r="Y7">
            <v>4.5</v>
          </cell>
          <cell r="Z7">
            <v>4.5</v>
          </cell>
          <cell r="AA7">
            <v>4.5</v>
          </cell>
          <cell r="AB7">
            <v>4.5</v>
          </cell>
          <cell r="AC7">
            <v>4.5</v>
          </cell>
          <cell r="AD7">
            <v>4.5</v>
          </cell>
          <cell r="AE7">
            <v>4.5</v>
          </cell>
          <cell r="AF7">
            <v>4.5</v>
          </cell>
          <cell r="AG7">
            <v>4.5</v>
          </cell>
          <cell r="AH7">
            <v>4.5</v>
          </cell>
        </row>
        <row r="8">
          <cell r="A8" t="str">
            <v>Cooling Water</v>
          </cell>
          <cell r="B8" t="str">
            <v>$17/kton fixed</v>
          </cell>
          <cell r="C8">
            <v>0</v>
          </cell>
          <cell r="D8" t="str">
            <v>$/kton</v>
          </cell>
          <cell r="E8">
            <v>17</v>
          </cell>
          <cell r="F8">
            <v>17</v>
          </cell>
          <cell r="G8">
            <v>17</v>
          </cell>
          <cell r="H8">
            <v>17</v>
          </cell>
          <cell r="I8">
            <v>17</v>
          </cell>
          <cell r="J8">
            <v>17</v>
          </cell>
          <cell r="K8">
            <v>17</v>
          </cell>
          <cell r="L8">
            <v>17</v>
          </cell>
          <cell r="M8">
            <v>17</v>
          </cell>
          <cell r="N8">
            <v>17</v>
          </cell>
          <cell r="O8">
            <v>17</v>
          </cell>
          <cell r="P8">
            <v>17</v>
          </cell>
          <cell r="Q8">
            <v>17</v>
          </cell>
          <cell r="R8">
            <v>17</v>
          </cell>
          <cell r="S8">
            <v>17</v>
          </cell>
          <cell r="T8">
            <v>17</v>
          </cell>
          <cell r="U8">
            <v>17</v>
          </cell>
          <cell r="V8">
            <v>17</v>
          </cell>
          <cell r="W8">
            <v>17</v>
          </cell>
          <cell r="X8">
            <v>17</v>
          </cell>
          <cell r="Y8">
            <v>17</v>
          </cell>
          <cell r="Z8">
            <v>17</v>
          </cell>
          <cell r="AA8">
            <v>17</v>
          </cell>
          <cell r="AB8">
            <v>17</v>
          </cell>
          <cell r="AC8">
            <v>17</v>
          </cell>
          <cell r="AD8">
            <v>17</v>
          </cell>
          <cell r="AE8">
            <v>17</v>
          </cell>
          <cell r="AF8">
            <v>17</v>
          </cell>
          <cell r="AG8">
            <v>17</v>
          </cell>
          <cell r="AH8">
            <v>17</v>
          </cell>
        </row>
        <row r="9">
          <cell r="A9" t="str">
            <v>Nitrogen</v>
          </cell>
          <cell r="B9" t="str">
            <v>$0.05/std M3</v>
          </cell>
          <cell r="C9">
            <v>0</v>
          </cell>
          <cell r="D9" t="str">
            <v>std M3</v>
          </cell>
          <cell r="E9">
            <v>0.05</v>
          </cell>
          <cell r="F9">
            <v>0.05</v>
          </cell>
          <cell r="G9">
            <v>0.05</v>
          </cell>
          <cell r="H9">
            <v>0.05</v>
          </cell>
          <cell r="I9">
            <v>0.05</v>
          </cell>
          <cell r="J9">
            <v>0.05</v>
          </cell>
          <cell r="K9">
            <v>0.05</v>
          </cell>
          <cell r="L9">
            <v>0.05</v>
          </cell>
          <cell r="M9">
            <v>0.05</v>
          </cell>
          <cell r="N9">
            <v>0.05</v>
          </cell>
          <cell r="O9">
            <v>0.05</v>
          </cell>
          <cell r="P9">
            <v>0.05</v>
          </cell>
          <cell r="Q9">
            <v>0.05</v>
          </cell>
          <cell r="R9">
            <v>0.05</v>
          </cell>
          <cell r="S9">
            <v>0.05</v>
          </cell>
          <cell r="T9">
            <v>0.05</v>
          </cell>
          <cell r="U9">
            <v>0.05</v>
          </cell>
          <cell r="V9">
            <v>0.05</v>
          </cell>
          <cell r="W9">
            <v>0.05</v>
          </cell>
          <cell r="X9">
            <v>0.05</v>
          </cell>
          <cell r="Y9">
            <v>0.05</v>
          </cell>
          <cell r="Z9">
            <v>0.05</v>
          </cell>
          <cell r="AA9">
            <v>0.05</v>
          </cell>
          <cell r="AB9">
            <v>0.05</v>
          </cell>
          <cell r="AC9">
            <v>0.05</v>
          </cell>
          <cell r="AD9">
            <v>0.05</v>
          </cell>
          <cell r="AE9">
            <v>0.05</v>
          </cell>
          <cell r="AF9">
            <v>0.05</v>
          </cell>
          <cell r="AG9">
            <v>0.05</v>
          </cell>
          <cell r="AH9">
            <v>0.05</v>
          </cell>
        </row>
        <row r="10">
          <cell r="A10" t="str">
            <v>Worker</v>
          </cell>
          <cell r="B10" t="str">
            <v>$13000 average, to be escalated by 2.5% per year</v>
          </cell>
          <cell r="C10">
            <v>0</v>
          </cell>
          <cell r="D10" t="str">
            <v>$/yr</v>
          </cell>
          <cell r="E10">
            <v>0</v>
          </cell>
          <cell r="F10">
            <v>0</v>
          </cell>
          <cell r="G10">
            <v>13546</v>
          </cell>
          <cell r="H10">
            <v>14231.099999999999</v>
          </cell>
          <cell r="I10">
            <v>14955.646874999995</v>
          </cell>
          <cell r="J10">
            <v>15721.526234374995</v>
          </cell>
          <cell r="K10">
            <v>16516.352282421867</v>
          </cell>
          <cell r="L10">
            <v>17341.093678974601</v>
          </cell>
          <cell r="M10">
            <v>18226.901454051989</v>
          </cell>
          <cell r="N10">
            <v>19146.161434333892</v>
          </cell>
          <cell r="O10">
            <v>20115.831837888731</v>
          </cell>
          <cell r="P10">
            <v>21138.254629334177</v>
          </cell>
          <cell r="Q10">
            <v>22199.226165453212</v>
          </cell>
          <cell r="R10">
            <v>23334.149122337702</v>
          </cell>
          <cell r="S10">
            <v>24511.943710713003</v>
          </cell>
          <cell r="T10">
            <v>25751.964828888697</v>
          </cell>
          <cell r="U10">
            <v>27057.035697826632</v>
          </cell>
          <cell r="V10">
            <v>28430.093008357882</v>
          </cell>
          <cell r="W10">
            <v>29874.191110173146</v>
          </cell>
          <cell r="X10">
            <v>31372.72530894895</v>
          </cell>
          <cell r="Y10">
            <v>32960.969527714486</v>
          </cell>
          <cell r="Z10">
            <v>34629.618610055033</v>
          </cell>
          <cell r="AA10">
            <v>36382.743052189056</v>
          </cell>
          <cell r="AB10">
            <v>38224.619419206123</v>
          </cell>
          <cell r="AC10">
            <v>40159.740777303421</v>
          </cell>
          <cell r="AD10">
            <v>42192.827654154389</v>
          </cell>
          <cell r="AE10">
            <v>44328.839554145954</v>
          </cell>
          <cell r="AF10">
            <v>46572.987056574588</v>
          </cell>
          <cell r="AG10">
            <v>48930.744526313669</v>
          </cell>
          <cell r="AH10">
            <v>51407.86346795829</v>
          </cell>
        </row>
        <row r="11">
          <cell r="A11" t="str">
            <v>Hydrogen - Reformer</v>
          </cell>
          <cell r="B11" t="str">
            <v>fixed at ratio to methane</v>
          </cell>
          <cell r="C11">
            <v>0</v>
          </cell>
          <cell r="D11" t="str">
            <v>Nm3</v>
          </cell>
          <cell r="E11">
            <v>0</v>
          </cell>
          <cell r="G11">
            <v>0.63846274691357874</v>
          </cell>
          <cell r="H11">
            <v>0.63846274691357874</v>
          </cell>
          <cell r="I11">
            <v>0.63846274691357874</v>
          </cell>
          <cell r="J11">
            <v>0.63846274691357874</v>
          </cell>
          <cell r="K11">
            <v>0.63846274691357874</v>
          </cell>
          <cell r="L11">
            <v>0.63846274691357874</v>
          </cell>
          <cell r="M11">
            <v>0.63846274691357874</v>
          </cell>
          <cell r="N11">
            <v>0.63846274691357874</v>
          </cell>
          <cell r="O11">
            <v>0.63846274691357874</v>
          </cell>
          <cell r="P11">
            <v>0.63846274691357874</v>
          </cell>
          <cell r="Q11">
            <v>0.63846274691357874</v>
          </cell>
          <cell r="R11">
            <v>0.65761662932098619</v>
          </cell>
          <cell r="S11">
            <v>0.67734512820061576</v>
          </cell>
          <cell r="T11">
            <v>0.69766548204663426</v>
          </cell>
          <cell r="U11">
            <v>0.71859544650803331</v>
          </cell>
          <cell r="V11">
            <v>0.74015330990327433</v>
          </cell>
          <cell r="W11">
            <v>0.76235790920037261</v>
          </cell>
          <cell r="X11">
            <v>0.7852286464763838</v>
          </cell>
          <cell r="Y11">
            <v>0.80878550587067533</v>
          </cell>
          <cell r="Z11">
            <v>0.8330490710467956</v>
          </cell>
          <cell r="AA11">
            <v>0.85804054317819944</v>
          </cell>
          <cell r="AB11">
            <v>0.88378175947354554</v>
          </cell>
          <cell r="AC11">
            <v>0.91029521225775201</v>
          </cell>
          <cell r="AD11">
            <v>0.93760406862548451</v>
          </cell>
          <cell r="AE11">
            <v>0.96573219068424909</v>
          </cell>
          <cell r="AF11">
            <v>0.99470415640477661</v>
          </cell>
          <cell r="AG11">
            <v>1.0245452810969198</v>
          </cell>
          <cell r="AH11">
            <v>1.0552816395298275</v>
          </cell>
        </row>
        <row r="12">
          <cell r="A12" t="str">
            <v>Propylene</v>
          </cell>
          <cell r="B12" t="str">
            <v>methane * 0.9157</v>
          </cell>
          <cell r="C12">
            <v>0</v>
          </cell>
          <cell r="D12" t="str">
            <v>$/ton</v>
          </cell>
          <cell r="E12">
            <v>0</v>
          </cell>
          <cell r="F12">
            <v>32.548596246176011</v>
          </cell>
          <cell r="G12">
            <v>32.548596246176011</v>
          </cell>
          <cell r="H12">
            <v>32.548596246176011</v>
          </cell>
          <cell r="I12">
            <v>32.548596246176011</v>
          </cell>
          <cell r="J12">
            <v>32.548596246176011</v>
          </cell>
          <cell r="K12">
            <v>32.548596246176011</v>
          </cell>
          <cell r="L12">
            <v>32.548596246176011</v>
          </cell>
          <cell r="M12">
            <v>32.548596246176011</v>
          </cell>
          <cell r="N12">
            <v>32.548596246176011</v>
          </cell>
          <cell r="O12">
            <v>32.548596246176011</v>
          </cell>
          <cell r="P12">
            <v>32.548596246176011</v>
          </cell>
          <cell r="Q12">
            <v>32.548596246176011</v>
          </cell>
          <cell r="R12">
            <v>33.525054133561291</v>
          </cell>
          <cell r="S12">
            <v>34.530805757568132</v>
          </cell>
          <cell r="T12">
            <v>35.566729930295175</v>
          </cell>
          <cell r="U12">
            <v>36.633731828204034</v>
          </cell>
          <cell r="V12">
            <v>37.732743783050154</v>
          </cell>
          <cell r="W12">
            <v>38.864726096541659</v>
          </cell>
          <cell r="X12">
            <v>40.030667879437907</v>
          </cell>
          <cell r="Y12">
            <v>41.231587915821045</v>
          </cell>
          <cell r="Z12">
            <v>42.468535553295681</v>
          </cell>
          <cell r="AA12">
            <v>43.742591619894554</v>
          </cell>
          <cell r="AB12">
            <v>45.054869368491396</v>
          </cell>
          <cell r="AC12">
            <v>46.406515449546141</v>
          </cell>
          <cell r="AD12">
            <v>47.798710913032522</v>
          </cell>
          <cell r="AE12">
            <v>49.232672240423497</v>
          </cell>
          <cell r="AF12">
            <v>50.709652407636206</v>
          </cell>
          <cell r="AG12">
            <v>52.230941979865293</v>
          </cell>
          <cell r="AH12">
            <v>53.79787023926125</v>
          </cell>
        </row>
        <row r="13">
          <cell r="A13" t="str">
            <v>Catalyst (LLDPE)</v>
          </cell>
          <cell r="B13">
            <v>0</v>
          </cell>
          <cell r="C13">
            <v>0</v>
          </cell>
          <cell r="D13" t="str">
            <v>$/ton LLDPE</v>
          </cell>
          <cell r="E13">
            <v>19.013865573983026</v>
          </cell>
          <cell r="F13">
            <v>19.3751290198887</v>
          </cell>
          <cell r="G13">
            <v>19.812447928090315</v>
          </cell>
          <cell r="H13">
            <v>20.306808433013874</v>
          </cell>
          <cell r="I13">
            <v>20.820182803511411</v>
          </cell>
          <cell r="J13">
            <v>21.352571039582937</v>
          </cell>
          <cell r="K13">
            <v>21.884959275654463</v>
          </cell>
          <cell r="L13">
            <v>22.417347511725989</v>
          </cell>
          <cell r="M13">
            <v>22.987763478945478</v>
          </cell>
          <cell r="N13">
            <v>23.558179446164971</v>
          </cell>
          <cell r="O13">
            <v>24.147609278958441</v>
          </cell>
          <cell r="P13">
            <v>24.756052977325901</v>
          </cell>
          <cell r="Q13">
            <v>25.364496675693356</v>
          </cell>
          <cell r="R13">
            <v>26.010968105208782</v>
          </cell>
          <cell r="S13">
            <v>26.657439534724201</v>
          </cell>
          <cell r="T13">
            <v>27.322924829813608</v>
          </cell>
          <cell r="U13">
            <v>28.007423990476997</v>
          </cell>
          <cell r="V13">
            <v>28.710937016714368</v>
          </cell>
          <cell r="W13">
            <v>29.433463908525724</v>
          </cell>
          <cell r="X13">
            <v>30.155990800337079</v>
          </cell>
          <cell r="Y13">
            <v>30.909890570345507</v>
          </cell>
          <cell r="Z13">
            <v>31.682637834604144</v>
          </cell>
          <cell r="AA13">
            <v>32.474703780469241</v>
          </cell>
          <cell r="AB13">
            <v>33.286571374980966</v>
          </cell>
          <cell r="AC13">
            <v>34.118735659355487</v>
          </cell>
          <cell r="AD13">
            <v>34.971704050839371</v>
          </cell>
          <cell r="AE13">
            <v>35.845996652110351</v>
          </cell>
          <cell r="AF13">
            <v>36.742146568413105</v>
          </cell>
          <cell r="AG13">
            <v>37.660700232623434</v>
          </cell>
          <cell r="AH13">
            <v>38.602217738439016</v>
          </cell>
        </row>
        <row r="14">
          <cell r="A14" t="str">
            <v>Ethylene (Transfer)</v>
          </cell>
          <cell r="B14">
            <v>0</v>
          </cell>
          <cell r="C14">
            <v>0</v>
          </cell>
          <cell r="D14" t="str">
            <v>$/ton</v>
          </cell>
          <cell r="E14">
            <v>0</v>
          </cell>
          <cell r="F14">
            <v>0</v>
          </cell>
          <cell r="G14">
            <v>0</v>
          </cell>
          <cell r="H14">
            <v>0</v>
          </cell>
          <cell r="I14">
            <v>0</v>
          </cell>
          <cell r="J14">
            <v>329.38502610927588</v>
          </cell>
          <cell r="K14">
            <v>331.98766118099729</v>
          </cell>
          <cell r="L14">
            <v>333.97305245152791</v>
          </cell>
          <cell r="M14">
            <v>336.67711703416199</v>
          </cell>
          <cell r="N14">
            <v>339.24092101481102</v>
          </cell>
          <cell r="O14">
            <v>345.2097862522661</v>
          </cell>
          <cell r="P14">
            <v>350.41465571815678</v>
          </cell>
          <cell r="Q14">
            <v>355.82306669261396</v>
          </cell>
          <cell r="R14">
            <v>361.4449983878863</v>
          </cell>
          <cell r="S14">
            <v>366.26042526646603</v>
          </cell>
          <cell r="T14">
            <v>372.2487955777944</v>
          </cell>
          <cell r="U14">
            <v>378.21541400097635</v>
          </cell>
          <cell r="V14">
            <v>384.45712027367603</v>
          </cell>
          <cell r="W14">
            <v>390.85150621425839</v>
          </cell>
          <cell r="X14">
            <v>397.14533435843288</v>
          </cell>
          <cell r="Y14">
            <v>403.69073189653864</v>
          </cell>
          <cell r="Z14">
            <v>410.3151834775756</v>
          </cell>
          <cell r="AA14">
            <v>417.01855093022908</v>
          </cell>
          <cell r="AB14">
            <v>423.80063976584171</v>
          </cell>
          <cell r="AC14">
            <v>430.66119644890358</v>
          </cell>
          <cell r="AD14">
            <v>437.59990556626491</v>
          </cell>
          <cell r="AE14">
            <v>444.61638689171377</v>
          </cell>
          <cell r="AF14">
            <v>451.71019234245614</v>
          </cell>
          <cell r="AG14">
            <v>458.88080282392832</v>
          </cell>
          <cell r="AH14">
            <v>466.12762495926012</v>
          </cell>
        </row>
        <row r="15">
          <cell r="A15" t="str">
            <v>Ethylene (Market)</v>
          </cell>
          <cell r="B15">
            <v>0</v>
          </cell>
          <cell r="C15">
            <v>0</v>
          </cell>
          <cell r="D15" t="str">
            <v>$/ton</v>
          </cell>
          <cell r="E15">
            <v>398.51430960387404</v>
          </cell>
          <cell r="F15">
            <v>341.31615941915805</v>
          </cell>
          <cell r="G15">
            <v>323.48703635073281</v>
          </cell>
          <cell r="H15">
            <v>328.45511575313981</v>
          </cell>
          <cell r="I15">
            <v>324.99663286028039</v>
          </cell>
          <cell r="J15">
            <v>328.8320182764931</v>
          </cell>
          <cell r="K15">
            <v>333.1038628266981</v>
          </cell>
          <cell r="L15">
            <v>336.94363671606953</v>
          </cell>
          <cell r="M15">
            <v>341.46148192391337</v>
          </cell>
          <cell r="N15">
            <v>345.88114471036766</v>
          </cell>
          <cell r="O15">
            <v>352.77185037658626</v>
          </cell>
          <cell r="P15">
            <v>359.21525900270967</v>
          </cell>
          <cell r="Q15">
            <v>365.8011466848298</v>
          </cell>
          <cell r="R15">
            <v>372.7114988715204</v>
          </cell>
          <cell r="S15">
            <v>379.05729768652617</v>
          </cell>
          <cell r="T15">
            <v>386.31165690445602</v>
          </cell>
          <cell r="U15">
            <v>393.63828980068342</v>
          </cell>
          <cell r="V15">
            <v>401.24498419157317</v>
          </cell>
          <cell r="W15">
            <v>409.04605434998081</v>
          </cell>
          <cell r="X15">
            <v>416.77673405090297</v>
          </cell>
          <cell r="Y15">
            <v>424.82788732757706</v>
          </cell>
          <cell r="Z15">
            <v>433.02111280930291</v>
          </cell>
          <cell r="AA15">
            <v>441.35848213553533</v>
          </cell>
          <cell r="AB15">
            <v>449.84208173257349</v>
          </cell>
          <cell r="AC15">
            <v>458.47401225812894</v>
          </cell>
          <cell r="AD15">
            <v>467.25638800887924</v>
          </cell>
          <cell r="AE15">
            <v>476.19133628950573</v>
          </cell>
          <cell r="AF15">
            <v>485.28099674165804</v>
          </cell>
          <cell r="AG15">
            <v>494.52752063123705</v>
          </cell>
          <cell r="AH15">
            <v>503.93307009233149</v>
          </cell>
        </row>
        <row r="16">
          <cell r="A16" t="str">
            <v>Ethylene (NWE)</v>
          </cell>
          <cell r="B16">
            <v>0</v>
          </cell>
          <cell r="C16">
            <v>0</v>
          </cell>
          <cell r="D16" t="str">
            <v>$/ton</v>
          </cell>
          <cell r="E16">
            <v>569.30615657696296</v>
          </cell>
          <cell r="F16">
            <v>487.5945134559401</v>
          </cell>
          <cell r="G16">
            <v>462.12433764390397</v>
          </cell>
          <cell r="H16">
            <v>469.22159393305691</v>
          </cell>
          <cell r="I16">
            <v>464.2809040861149</v>
          </cell>
          <cell r="J16">
            <v>469.76002610927588</v>
          </cell>
          <cell r="K16">
            <v>475.86266118099729</v>
          </cell>
          <cell r="L16">
            <v>481.34805245152791</v>
          </cell>
          <cell r="M16">
            <v>487.80211703416199</v>
          </cell>
          <cell r="N16">
            <v>494.11592101481102</v>
          </cell>
          <cell r="O16">
            <v>503.9597862522661</v>
          </cell>
          <cell r="P16">
            <v>513.16465571815672</v>
          </cell>
          <cell r="Q16">
            <v>522.57306669261402</v>
          </cell>
          <cell r="R16">
            <v>532.44499838788636</v>
          </cell>
          <cell r="S16">
            <v>541.51042526646597</v>
          </cell>
          <cell r="T16">
            <v>551.87379557779445</v>
          </cell>
          <cell r="U16">
            <v>562.34041400097635</v>
          </cell>
          <cell r="V16">
            <v>573.20712027367597</v>
          </cell>
          <cell r="W16">
            <v>584.35150621425839</v>
          </cell>
          <cell r="X16">
            <v>595.39533435843293</v>
          </cell>
          <cell r="Y16">
            <v>606.89698189653859</v>
          </cell>
          <cell r="Z16">
            <v>618.60158972757563</v>
          </cell>
          <cell r="AA16">
            <v>630.51211733647904</v>
          </cell>
          <cell r="AB16">
            <v>642.63154533224792</v>
          </cell>
          <cell r="AC16">
            <v>654.96287465446994</v>
          </cell>
          <cell r="AD16">
            <v>667.50912572697041</v>
          </cell>
          <cell r="AE16">
            <v>680.27333755643679</v>
          </cell>
          <cell r="AF16">
            <v>693.25856677379727</v>
          </cell>
          <cell r="AG16">
            <v>706.46788661605297</v>
          </cell>
          <cell r="AH16">
            <v>719.90438584618789</v>
          </cell>
        </row>
        <row r="17">
          <cell r="A17" t="str">
            <v>Butene-1 (Transfer)</v>
          </cell>
          <cell r="B17">
            <v>1</v>
          </cell>
          <cell r="C17" t="str">
            <v>* NWE</v>
          </cell>
          <cell r="D17" t="str">
            <v>$/ton</v>
          </cell>
          <cell r="E17">
            <v>850</v>
          </cell>
          <cell r="F17">
            <v>790.74399999999991</v>
          </cell>
          <cell r="G17">
            <v>762.74400000000003</v>
          </cell>
          <cell r="H17">
            <v>774.30000000000007</v>
          </cell>
          <cell r="I17">
            <v>771.97500000000002</v>
          </cell>
          <cell r="J17">
            <v>781.60799999999995</v>
          </cell>
          <cell r="K17">
            <v>791.88800000000003</v>
          </cell>
          <cell r="L17">
            <v>801.72</v>
          </cell>
          <cell r="M17">
            <v>813.65700000000004</v>
          </cell>
          <cell r="N17">
            <v>825.17400000000009</v>
          </cell>
          <cell r="O17">
            <v>840.74</v>
          </cell>
          <cell r="P17">
            <v>855.41399999999999</v>
          </cell>
          <cell r="Q17">
            <v>869.76800000000003</v>
          </cell>
          <cell r="R17">
            <v>886.46400000000006</v>
          </cell>
          <cell r="S17">
            <v>901.48599999999999</v>
          </cell>
          <cell r="T17">
            <v>918.24300000000005</v>
          </cell>
          <cell r="U17">
            <v>933.88200000000006</v>
          </cell>
          <cell r="V17">
            <v>952.81000000000006</v>
          </cell>
          <cell r="W17">
            <v>970.596</v>
          </cell>
          <cell r="X17">
            <v>988.07800000000009</v>
          </cell>
          <cell r="Y17">
            <v>1006.2773500000001</v>
          </cell>
          <cell r="Z17">
            <v>1024.76911875</v>
          </cell>
          <cell r="AA17">
            <v>1043.55655259375</v>
          </cell>
          <cell r="AB17">
            <v>1062.6428774304684</v>
          </cell>
          <cell r="AC17">
            <v>1082.0312956636519</v>
          </cell>
          <cell r="AD17">
            <v>1101.7249830101005</v>
          </cell>
          <cell r="AE17">
            <v>1121.7270851640817</v>
          </cell>
          <cell r="AF17">
            <v>1142.0407143113807</v>
          </cell>
          <cell r="AG17">
            <v>1162.6689454878172</v>
          </cell>
          <cell r="AH17">
            <v>1183.614812776631</v>
          </cell>
        </row>
        <row r="18">
          <cell r="A18" t="str">
            <v>Butene-1 (Market)</v>
          </cell>
          <cell r="B18">
            <v>1</v>
          </cell>
          <cell r="C18" t="str">
            <v>* NWE</v>
          </cell>
          <cell r="D18" t="str">
            <v>$/ton</v>
          </cell>
          <cell r="E18">
            <v>730</v>
          </cell>
          <cell r="F18">
            <v>668.46399999999994</v>
          </cell>
          <cell r="G18">
            <v>637.70400000000006</v>
          </cell>
          <cell r="H18">
            <v>646.14</v>
          </cell>
          <cell r="I18">
            <v>640.57499999999993</v>
          </cell>
          <cell r="J18">
            <v>646.84799999999996</v>
          </cell>
          <cell r="K18">
            <v>653.76800000000003</v>
          </cell>
          <cell r="L18">
            <v>660.24</v>
          </cell>
          <cell r="M18">
            <v>668.577</v>
          </cell>
          <cell r="N18">
            <v>676.49400000000003</v>
          </cell>
          <cell r="O18">
            <v>688.34</v>
          </cell>
          <cell r="P18">
            <v>699.17399999999998</v>
          </cell>
          <cell r="Q18">
            <v>709.68799999999999</v>
          </cell>
          <cell r="R18">
            <v>722.30400000000009</v>
          </cell>
          <cell r="S18">
            <v>733.24599999999998</v>
          </cell>
          <cell r="T18">
            <v>745.803</v>
          </cell>
          <cell r="U18">
            <v>757.12200000000007</v>
          </cell>
          <cell r="V18">
            <v>771.61</v>
          </cell>
          <cell r="W18">
            <v>784.83600000000001</v>
          </cell>
          <cell r="X18">
            <v>797.75800000000004</v>
          </cell>
          <cell r="Y18">
            <v>811.19934999999998</v>
          </cell>
          <cell r="Z18">
            <v>824.81416875000002</v>
          </cell>
          <cell r="AA18">
            <v>838.6027288437499</v>
          </cell>
          <cell r="AB18">
            <v>852.56520808671848</v>
          </cell>
          <cell r="AC18">
            <v>866.70168458630826</v>
          </cell>
          <cell r="AD18">
            <v>881.01213165582328</v>
          </cell>
          <cell r="AE18">
            <v>895.49641252594768</v>
          </cell>
          <cell r="AF18">
            <v>910.15427485729333</v>
          </cell>
          <cell r="AG18">
            <v>924.98534504737756</v>
          </cell>
          <cell r="AH18">
            <v>939.98912232518035</v>
          </cell>
        </row>
        <row r="19">
          <cell r="A19" t="str">
            <v>Butene-1 (NWE)</v>
          </cell>
          <cell r="B19">
            <v>0</v>
          </cell>
          <cell r="C19">
            <v>0</v>
          </cell>
          <cell r="D19" t="str">
            <v>$/ton</v>
          </cell>
          <cell r="E19">
            <v>730</v>
          </cell>
          <cell r="F19">
            <v>668.46399999999994</v>
          </cell>
          <cell r="G19">
            <v>637.70400000000006</v>
          </cell>
          <cell r="H19">
            <v>646.14</v>
          </cell>
          <cell r="I19">
            <v>640.57499999999993</v>
          </cell>
          <cell r="J19">
            <v>646.84799999999996</v>
          </cell>
          <cell r="K19">
            <v>653.76800000000003</v>
          </cell>
          <cell r="L19">
            <v>660.24</v>
          </cell>
          <cell r="M19">
            <v>668.577</v>
          </cell>
          <cell r="N19">
            <v>676.49400000000003</v>
          </cell>
          <cell r="O19">
            <v>688.34</v>
          </cell>
          <cell r="P19">
            <v>699.17399999999998</v>
          </cell>
          <cell r="Q19">
            <v>709.68799999999999</v>
          </cell>
          <cell r="R19">
            <v>722.30400000000009</v>
          </cell>
          <cell r="S19">
            <v>733.24599999999998</v>
          </cell>
          <cell r="T19">
            <v>745.803</v>
          </cell>
          <cell r="U19">
            <v>757.12200000000007</v>
          </cell>
          <cell r="V19">
            <v>771.61</v>
          </cell>
          <cell r="W19">
            <v>784.83600000000001</v>
          </cell>
          <cell r="X19">
            <v>797.75800000000004</v>
          </cell>
          <cell r="Y19">
            <v>811.19934999999998</v>
          </cell>
          <cell r="Z19">
            <v>824.81416875000002</v>
          </cell>
          <cell r="AA19">
            <v>838.6027288437499</v>
          </cell>
          <cell r="AB19">
            <v>852.56520808671848</v>
          </cell>
          <cell r="AC19">
            <v>866.70168458630826</v>
          </cell>
          <cell r="AD19">
            <v>881.01213165582328</v>
          </cell>
          <cell r="AE19">
            <v>895.49641252594768</v>
          </cell>
          <cell r="AF19">
            <v>910.15427485729333</v>
          </cell>
          <cell r="AG19">
            <v>924.98534504737756</v>
          </cell>
          <cell r="AH19">
            <v>939.98912232518035</v>
          </cell>
        </row>
        <row r="20">
          <cell r="A20" t="str">
            <v>Catalyst (HDPE)</v>
          </cell>
          <cell r="B20">
            <v>0</v>
          </cell>
          <cell r="C20">
            <v>0</v>
          </cell>
          <cell r="D20" t="str">
            <v>$/ton HDPE</v>
          </cell>
          <cell r="E20">
            <v>19.013865573983026</v>
          </cell>
          <cell r="F20">
            <v>19.3751290198887</v>
          </cell>
          <cell r="G20">
            <v>19.812447928090315</v>
          </cell>
          <cell r="H20">
            <v>20.306808433013874</v>
          </cell>
          <cell r="I20">
            <v>20.820182803511411</v>
          </cell>
          <cell r="J20">
            <v>21.352571039582937</v>
          </cell>
          <cell r="K20">
            <v>21.884959275654463</v>
          </cell>
          <cell r="L20">
            <v>22.417347511725989</v>
          </cell>
          <cell r="M20">
            <v>22.987763478945478</v>
          </cell>
          <cell r="N20">
            <v>23.558179446164971</v>
          </cell>
          <cell r="O20">
            <v>24.147609278958441</v>
          </cell>
          <cell r="P20">
            <v>24.756052977325901</v>
          </cell>
          <cell r="Q20">
            <v>25.364496675693356</v>
          </cell>
          <cell r="R20">
            <v>26.010968105208782</v>
          </cell>
          <cell r="S20">
            <v>26.657439534724201</v>
          </cell>
          <cell r="T20">
            <v>27.322924829813608</v>
          </cell>
          <cell r="U20">
            <v>28.007423990476997</v>
          </cell>
          <cell r="V20">
            <v>28.710937016714368</v>
          </cell>
          <cell r="W20">
            <v>29.433463908525724</v>
          </cell>
          <cell r="X20">
            <v>30.155990800337079</v>
          </cell>
          <cell r="Y20">
            <v>30.909890570345507</v>
          </cell>
          <cell r="Z20">
            <v>31.682637834604144</v>
          </cell>
          <cell r="AA20">
            <v>32.474703780469241</v>
          </cell>
          <cell r="AB20">
            <v>33.286571374980966</v>
          </cell>
          <cell r="AC20">
            <v>34.118735659355487</v>
          </cell>
          <cell r="AD20">
            <v>34.971704050839371</v>
          </cell>
          <cell r="AE20">
            <v>35.845996652110351</v>
          </cell>
          <cell r="AF20">
            <v>36.742146568413105</v>
          </cell>
          <cell r="AG20">
            <v>37.660700232623434</v>
          </cell>
          <cell r="AH20">
            <v>38.602217738439016</v>
          </cell>
        </row>
        <row r="21">
          <cell r="A21" t="str">
            <v>Catalyst (MEG)</v>
          </cell>
          <cell r="B21">
            <v>0</v>
          </cell>
          <cell r="C21">
            <v>0</v>
          </cell>
          <cell r="D21" t="str">
            <v>$/ton MEG</v>
          </cell>
          <cell r="E21">
            <v>11.863442766503693</v>
          </cell>
          <cell r="F21">
            <v>12.088848179067263</v>
          </cell>
          <cell r="G21">
            <v>12.361707362696849</v>
          </cell>
          <cell r="H21">
            <v>12.670156874625945</v>
          </cell>
          <cell r="I21">
            <v>12.990469829321544</v>
          </cell>
          <cell r="J21">
            <v>13.322646226783649</v>
          </cell>
          <cell r="K21">
            <v>13.654822624245751</v>
          </cell>
          <cell r="L21">
            <v>13.986999021707856</v>
          </cell>
          <cell r="M21">
            <v>14.342902304702966</v>
          </cell>
          <cell r="N21">
            <v>14.698805587698077</v>
          </cell>
          <cell r="O21">
            <v>15.066572313459691</v>
          </cell>
          <cell r="P21">
            <v>15.446202481987809</v>
          </cell>
          <cell r="Q21">
            <v>15.825832650515927</v>
          </cell>
          <cell r="R21">
            <v>16.229189704577053</v>
          </cell>
          <cell r="S21">
            <v>16.632546758638178</v>
          </cell>
          <cell r="T21">
            <v>17.047767255465807</v>
          </cell>
          <cell r="U21">
            <v>17.474851195059941</v>
          </cell>
          <cell r="V21">
            <v>17.913798577420579</v>
          </cell>
          <cell r="W21">
            <v>18.364609402547718</v>
          </cell>
          <cell r="X21">
            <v>18.81542022767486</v>
          </cell>
          <cell r="Y21">
            <v>19.285805733366729</v>
          </cell>
          <cell r="Z21">
            <v>19.767950876700898</v>
          </cell>
          <cell r="AA21">
            <v>20.262149648618418</v>
          </cell>
          <cell r="AB21">
            <v>20.768703389833874</v>
          </cell>
          <cell r="AC21">
            <v>21.28792097457972</v>
          </cell>
          <cell r="AD21">
            <v>21.82011899894421</v>
          </cell>
          <cell r="AE21">
            <v>22.365621973917811</v>
          </cell>
          <cell r="AF21">
            <v>22.924762523265755</v>
          </cell>
          <cell r="AG21">
            <v>23.497881586347397</v>
          </cell>
          <cell r="AH21">
            <v>24.085328626006081</v>
          </cell>
        </row>
        <row r="22">
          <cell r="A22" t="str">
            <v>Oxygen</v>
          </cell>
          <cell r="B22">
            <v>0</v>
          </cell>
          <cell r="C22">
            <v>0</v>
          </cell>
          <cell r="D22" t="str">
            <v>$/ton</v>
          </cell>
          <cell r="E22">
            <v>57.534934556052903</v>
          </cell>
          <cell r="F22">
            <v>58.628098312617901</v>
          </cell>
          <cell r="G22">
            <v>59.95140180740713</v>
          </cell>
          <cell r="H22">
            <v>61.447310105864503</v>
          </cell>
          <cell r="I22">
            <v>63.000753338877928</v>
          </cell>
          <cell r="J22">
            <v>64.611731506447413</v>
          </cell>
          <cell r="K22">
            <v>66.222709674016897</v>
          </cell>
          <cell r="L22">
            <v>67.833687841586382</v>
          </cell>
          <cell r="M22">
            <v>69.559735878267958</v>
          </cell>
          <cell r="N22">
            <v>71.285783914949548</v>
          </cell>
          <cell r="O22">
            <v>73.069366886187183</v>
          </cell>
          <cell r="P22">
            <v>74.910484791980878</v>
          </cell>
          <cell r="Q22">
            <v>76.751602697774572</v>
          </cell>
          <cell r="R22">
            <v>78.707790472680372</v>
          </cell>
          <cell r="S22">
            <v>80.663978247586172</v>
          </cell>
          <cell r="T22">
            <v>82.677700957048032</v>
          </cell>
          <cell r="U22">
            <v>84.748958601065937</v>
          </cell>
          <cell r="V22">
            <v>86.877751179639887</v>
          </cell>
          <cell r="W22">
            <v>89.064078692769897</v>
          </cell>
          <cell r="X22">
            <v>91.250406205899907</v>
          </cell>
          <cell r="Y22">
            <v>93.5316663610474</v>
          </cell>
          <cell r="Z22">
            <v>95.869958020073582</v>
          </cell>
          <cell r="AA22">
            <v>98.266706970575413</v>
          </cell>
          <cell r="AB22">
            <v>100.72337464483978</v>
          </cell>
          <cell r="AC22">
            <v>103.24145901096077</v>
          </cell>
          <cell r="AD22">
            <v>105.82249548623477</v>
          </cell>
          <cell r="AE22">
            <v>108.46805787339063</v>
          </cell>
          <cell r="AF22">
            <v>111.17975932022539</v>
          </cell>
          <cell r="AG22">
            <v>113.95925330323101</v>
          </cell>
          <cell r="AH22">
            <v>116.80823463581179</v>
          </cell>
        </row>
        <row r="23">
          <cell r="A23" t="str">
            <v>DEG (Export)</v>
          </cell>
          <cell r="B23">
            <v>0</v>
          </cell>
          <cell r="C23">
            <v>0</v>
          </cell>
          <cell r="D23" t="str">
            <v>$/ton</v>
          </cell>
          <cell r="E23">
            <v>504.83590781180197</v>
          </cell>
          <cell r="F23">
            <v>525.26493238830369</v>
          </cell>
          <cell r="G23">
            <v>511.1429950318842</v>
          </cell>
          <cell r="H23">
            <v>519.5322865147424</v>
          </cell>
          <cell r="I23">
            <v>519.45336652409947</v>
          </cell>
          <cell r="J23">
            <v>527.48423267330827</v>
          </cell>
          <cell r="K23">
            <v>535.81937067579418</v>
          </cell>
          <cell r="L23">
            <v>543.76656194907991</v>
          </cell>
          <cell r="M23">
            <v>552.63609839389346</v>
          </cell>
          <cell r="N23">
            <v>561.39422867079998</v>
          </cell>
          <cell r="O23">
            <v>572.62852509793129</v>
          </cell>
          <cell r="P23">
            <v>583.66178099870785</v>
          </cell>
          <cell r="Q23">
            <v>594.76568403862029</v>
          </cell>
          <cell r="R23">
            <v>606.5259976347561</v>
          </cell>
          <cell r="S23">
            <v>617.76665198466219</v>
          </cell>
          <cell r="T23">
            <v>629.93009282937396</v>
          </cell>
          <cell r="U23">
            <v>642.31830778980031</v>
          </cell>
          <cell r="V23">
            <v>655.10274662130405</v>
          </cell>
          <cell r="W23">
            <v>668.21055789510513</v>
          </cell>
          <cell r="X23">
            <v>681.20914660611277</v>
          </cell>
          <cell r="Y23">
            <v>694.7671031579639</v>
          </cell>
          <cell r="Z23">
            <v>708.59490075170015</v>
          </cell>
          <cell r="AA23">
            <v>722.69790997451935</v>
          </cell>
          <cell r="AB23">
            <v>737.08160830324073</v>
          </cell>
          <cell r="AC23">
            <v>751.75158223170615</v>
          </cell>
          <cell r="AD23">
            <v>766.7135294405216</v>
          </cell>
          <cell r="AE23">
            <v>781.97326100998271</v>
          </cell>
          <cell r="AF23">
            <v>797.53670367704513</v>
          </cell>
          <cell r="AG23">
            <v>813.40990213721238</v>
          </cell>
          <cell r="AH23">
            <v>829.59902139223982</v>
          </cell>
        </row>
        <row r="24">
          <cell r="A24" t="str">
            <v>TEG (Export)</v>
          </cell>
          <cell r="B24">
            <v>0</v>
          </cell>
          <cell r="C24">
            <v>0</v>
          </cell>
          <cell r="D24" t="str">
            <v>$/ton</v>
          </cell>
          <cell r="E24">
            <v>504.83590781180197</v>
          </cell>
          <cell r="F24">
            <v>525.26493238830369</v>
          </cell>
          <cell r="G24">
            <v>511.1429950318842</v>
          </cell>
          <cell r="H24">
            <v>519.5322865147424</v>
          </cell>
          <cell r="I24">
            <v>519.45336652409947</v>
          </cell>
          <cell r="J24">
            <v>527.48423267330827</v>
          </cell>
          <cell r="K24">
            <v>535.81937067579418</v>
          </cell>
          <cell r="L24">
            <v>543.76656194907991</v>
          </cell>
          <cell r="M24">
            <v>552.63609839389346</v>
          </cell>
          <cell r="N24">
            <v>561.39422867079998</v>
          </cell>
          <cell r="O24">
            <v>572.62852509793129</v>
          </cell>
          <cell r="P24">
            <v>583.66178099870785</v>
          </cell>
          <cell r="Q24">
            <v>594.76568403862029</v>
          </cell>
          <cell r="R24">
            <v>606.5259976347561</v>
          </cell>
          <cell r="S24">
            <v>617.76665198466219</v>
          </cell>
          <cell r="T24">
            <v>629.93009282937396</v>
          </cell>
          <cell r="U24">
            <v>642.31830778980031</v>
          </cell>
          <cell r="V24">
            <v>655.10274662130405</v>
          </cell>
          <cell r="W24">
            <v>668.21055789510513</v>
          </cell>
          <cell r="X24">
            <v>681.20914660611277</v>
          </cell>
          <cell r="Y24">
            <v>694.7671031579639</v>
          </cell>
          <cell r="Z24">
            <v>708.59490075170015</v>
          </cell>
          <cell r="AA24">
            <v>722.69790997451935</v>
          </cell>
          <cell r="AB24">
            <v>737.08160830324073</v>
          </cell>
          <cell r="AC24">
            <v>751.75158223170615</v>
          </cell>
          <cell r="AD24">
            <v>766.7135294405216</v>
          </cell>
          <cell r="AE24">
            <v>781.97326100998271</v>
          </cell>
          <cell r="AF24">
            <v>797.53670367704513</v>
          </cell>
          <cell r="AG24">
            <v>813.40990213721238</v>
          </cell>
          <cell r="AH24">
            <v>829.59902139223982</v>
          </cell>
        </row>
        <row r="25">
          <cell r="A25" t="str">
            <v>Oxygen (Internal)</v>
          </cell>
          <cell r="B25" t="str">
            <v>Direct into Current</v>
          </cell>
          <cell r="C25">
            <v>2</v>
          </cell>
          <cell r="D25" t="str">
            <v>$/ton</v>
          </cell>
          <cell r="E25">
            <v>0</v>
          </cell>
          <cell r="F25">
            <v>0</v>
          </cell>
          <cell r="G25">
            <v>0</v>
          </cell>
          <cell r="H25">
            <v>0</v>
          </cell>
          <cell r="I25">
            <v>0</v>
          </cell>
          <cell r="J25">
            <v>36.370543003982917</v>
          </cell>
          <cell r="K25">
            <v>35.647920332226917</v>
          </cell>
          <cell r="L25">
            <v>35.495409347815233</v>
          </cell>
          <cell r="M25">
            <v>35.709374301776421</v>
          </cell>
          <cell r="N25">
            <v>35.926926300713419</v>
          </cell>
          <cell r="O25">
            <v>36.153849780370187</v>
          </cell>
          <cell r="P25">
            <v>36.390395867163186</v>
          </cell>
          <cell r="Q25">
            <v>36.631075495528677</v>
          </cell>
          <cell r="R25">
            <v>36.887616904910523</v>
          </cell>
          <cell r="S25">
            <v>37.148755394496895</v>
          </cell>
          <cell r="T25">
            <v>37.420532393547298</v>
          </cell>
          <cell r="U25">
            <v>37.703250633092615</v>
          </cell>
          <cell r="V25">
            <v>37.997225011419118</v>
          </cell>
          <cell r="W25">
            <v>38.302783043249534</v>
          </cell>
          <cell r="X25">
            <v>38.614178200821314</v>
          </cell>
          <cell r="Y25">
            <v>38.941736809206958</v>
          </cell>
          <cell r="Z25">
            <v>39.28184846806635</v>
          </cell>
          <cell r="AA25">
            <v>39.635047935477829</v>
          </cell>
          <cell r="AB25">
            <v>40.001894523144891</v>
          </cell>
          <cell r="AC25">
            <v>40.382973276460952</v>
          </cell>
          <cell r="AD25">
            <v>40.77889621274069</v>
          </cell>
          <cell r="AE25">
            <v>41.190303620523558</v>
          </cell>
          <cell r="AF25">
            <v>41.617865423000751</v>
          </cell>
          <cell r="AG25">
            <v>42.062282608770559</v>
          </cell>
          <cell r="AH25">
            <v>43.914204537430805</v>
          </cell>
        </row>
        <row r="26">
          <cell r="A26" t="str">
            <v>Catalyst (Butene-1)</v>
          </cell>
          <cell r="B26" t="str">
            <v>0.0056$/lb in 1998</v>
          </cell>
          <cell r="C26">
            <v>0</v>
          </cell>
          <cell r="D26" t="str">
            <v>$/ton Butene-1</v>
          </cell>
          <cell r="E26">
            <v>12.104867121951218</v>
          </cell>
          <cell r="F26">
            <v>12.33485959726829</v>
          </cell>
          <cell r="G26">
            <v>12.61327154107317</v>
          </cell>
          <cell r="H26">
            <v>12.927998086243901</v>
          </cell>
          <cell r="I26">
            <v>13.254829498536584</v>
          </cell>
          <cell r="J26">
            <v>13.593765777951218</v>
          </cell>
          <cell r="K26">
            <v>13.932702057365852</v>
          </cell>
          <cell r="L26">
            <v>14.271638336780486</v>
          </cell>
          <cell r="M26">
            <v>14.634784350439023</v>
          </cell>
          <cell r="N26">
            <v>14.997930364097559</v>
          </cell>
          <cell r="O26">
            <v>15.373181244878047</v>
          </cell>
          <cell r="P26">
            <v>15.760536992780485</v>
          </cell>
          <cell r="Q26">
            <v>16.147892740682924</v>
          </cell>
          <cell r="R26">
            <v>16.559458222829267</v>
          </cell>
          <cell r="S26">
            <v>16.971023704975607</v>
          </cell>
          <cell r="T26">
            <v>17.394694054243899</v>
          </cell>
          <cell r="U26">
            <v>17.830469270634143</v>
          </cell>
          <cell r="V26">
            <v>18.278349354146339</v>
          </cell>
          <cell r="W26">
            <v>18.738334304780487</v>
          </cell>
          <cell r="X26">
            <v>19.198319255414631</v>
          </cell>
          <cell r="Y26">
            <v>19.678277236799996</v>
          </cell>
          <cell r="Z26">
            <v>20.170234167719997</v>
          </cell>
          <cell r="AA26">
            <v>20.674490021912995</v>
          </cell>
          <cell r="AB26">
            <v>21.191352272460815</v>
          </cell>
          <cell r="AC26">
            <v>21.721136079272334</v>
          </cell>
          <cell r="AD26">
            <v>22.264164481254138</v>
          </cell>
          <cell r="AE26">
            <v>22.820768593285489</v>
          </cell>
          <cell r="AF26">
            <v>23.391287808117625</v>
          </cell>
          <cell r="AG26">
            <v>23.976070003320565</v>
          </cell>
          <cell r="AH26">
            <v>24.57547175340358</v>
          </cell>
        </row>
        <row r="27">
          <cell r="A27" t="str">
            <v>Ethylene/Propylene Mix</v>
          </cell>
          <cell r="B27" t="str">
            <v>50% of C2 price</v>
          </cell>
          <cell r="C27">
            <v>0</v>
          </cell>
          <cell r="D27" t="str">
            <v>$/ton</v>
          </cell>
          <cell r="E27">
            <v>199.25715480193702</v>
          </cell>
          <cell r="F27">
            <v>170.65807970957903</v>
          </cell>
          <cell r="G27">
            <v>161.7435181753664</v>
          </cell>
          <cell r="H27">
            <v>164.2275578765699</v>
          </cell>
          <cell r="I27">
            <v>162.49831643014019</v>
          </cell>
          <cell r="J27">
            <v>164.41600913824655</v>
          </cell>
          <cell r="K27">
            <v>166.55193141334905</v>
          </cell>
          <cell r="L27">
            <v>168.47181835803477</v>
          </cell>
          <cell r="M27">
            <v>170.73074096195668</v>
          </cell>
          <cell r="N27">
            <v>172.94057235518383</v>
          </cell>
          <cell r="O27">
            <v>176.38592518829313</v>
          </cell>
          <cell r="P27">
            <v>179.60762950135484</v>
          </cell>
          <cell r="Q27">
            <v>182.9005733424149</v>
          </cell>
          <cell r="R27">
            <v>186.3557494357602</v>
          </cell>
          <cell r="S27">
            <v>189.52864884326308</v>
          </cell>
          <cell r="T27">
            <v>193.15582845222801</v>
          </cell>
          <cell r="U27">
            <v>196.81914490034171</v>
          </cell>
          <cell r="V27">
            <v>200.62249209578658</v>
          </cell>
          <cell r="W27">
            <v>204.5230271749904</v>
          </cell>
          <cell r="X27">
            <v>208.38836702545149</v>
          </cell>
          <cell r="Y27">
            <v>212.41394366378853</v>
          </cell>
          <cell r="Z27">
            <v>216.51055640465145</v>
          </cell>
          <cell r="AA27">
            <v>220.67924106776766</v>
          </cell>
          <cell r="AB27">
            <v>224.92104086628675</v>
          </cell>
          <cell r="AC27">
            <v>229.23700612906447</v>
          </cell>
          <cell r="AD27">
            <v>233.62819400443962</v>
          </cell>
          <cell r="AE27">
            <v>238.09566814475286</v>
          </cell>
          <cell r="AF27">
            <v>242.64049837082902</v>
          </cell>
          <cell r="AG27">
            <v>247.26376031561853</v>
          </cell>
          <cell r="AH27">
            <v>251.96653504616575</v>
          </cell>
        </row>
        <row r="28">
          <cell r="A28" t="str">
            <v>C4 Mix</v>
          </cell>
          <cell r="B28" t="str">
            <v>45% of C2 price</v>
          </cell>
          <cell r="C28">
            <v>0</v>
          </cell>
          <cell r="D28" t="str">
            <v>$/ton</v>
          </cell>
          <cell r="E28">
            <v>179.33143932174332</v>
          </cell>
          <cell r="F28">
            <v>153.59227173862112</v>
          </cell>
          <cell r="G28">
            <v>145.56916635782977</v>
          </cell>
          <cell r="H28">
            <v>147.80480208891291</v>
          </cell>
          <cell r="I28">
            <v>146.24848478712619</v>
          </cell>
          <cell r="J28">
            <v>147.97440822442189</v>
          </cell>
          <cell r="K28">
            <v>149.89673827201415</v>
          </cell>
          <cell r="L28">
            <v>151.62463652223127</v>
          </cell>
          <cell r="M28">
            <v>153.65766686576103</v>
          </cell>
          <cell r="N28">
            <v>155.64651511966548</v>
          </cell>
          <cell r="O28">
            <v>158.74733266946382</v>
          </cell>
          <cell r="P28">
            <v>161.64686655121938</v>
          </cell>
          <cell r="Q28">
            <v>164.61051600817342</v>
          </cell>
          <cell r="R28">
            <v>167.72017449218421</v>
          </cell>
          <cell r="S28">
            <v>170.5757839589368</v>
          </cell>
          <cell r="T28">
            <v>173.84024560700522</v>
          </cell>
          <cell r="U28">
            <v>177.13723041030755</v>
          </cell>
          <cell r="V28">
            <v>180.56024288620793</v>
          </cell>
          <cell r="W28">
            <v>184.07072445749139</v>
          </cell>
          <cell r="X28">
            <v>187.54953032290635</v>
          </cell>
          <cell r="Y28">
            <v>191.17254929740966</v>
          </cell>
          <cell r="Z28">
            <v>194.85950076418632</v>
          </cell>
          <cell r="AA28">
            <v>198.61131696099088</v>
          </cell>
          <cell r="AB28">
            <v>202.42893677965807</v>
          </cell>
          <cell r="AC28">
            <v>206.31330551615801</v>
          </cell>
          <cell r="AD28">
            <v>210.26537460399564</v>
          </cell>
          <cell r="AE28">
            <v>214.28610133027757</v>
          </cell>
          <cell r="AF28">
            <v>218.37644853374613</v>
          </cell>
          <cell r="AG28">
            <v>222.53738428405666</v>
          </cell>
          <cell r="AH28">
            <v>226.76988154154918</v>
          </cell>
        </row>
        <row r="29">
          <cell r="A29" t="str">
            <v>C5+ LAO's</v>
          </cell>
          <cell r="B29" t="str">
            <v>150% of C2 price</v>
          </cell>
          <cell r="C29">
            <v>0</v>
          </cell>
          <cell r="D29" t="str">
            <v>$/ton</v>
          </cell>
          <cell r="E29">
            <v>597.771464405811</v>
          </cell>
          <cell r="F29">
            <v>511.97423912873705</v>
          </cell>
          <cell r="G29">
            <v>485.23055452609918</v>
          </cell>
          <cell r="H29">
            <v>492.68267362970971</v>
          </cell>
          <cell r="I29">
            <v>487.49494929042055</v>
          </cell>
          <cell r="J29">
            <v>493.24802741473968</v>
          </cell>
          <cell r="K29">
            <v>499.6557942400471</v>
          </cell>
          <cell r="L29">
            <v>505.41545507410433</v>
          </cell>
          <cell r="M29">
            <v>512.19222288587002</v>
          </cell>
          <cell r="N29">
            <v>518.82171706555152</v>
          </cell>
          <cell r="O29">
            <v>529.15777556487944</v>
          </cell>
          <cell r="P29">
            <v>538.82288850406451</v>
          </cell>
          <cell r="Q29">
            <v>548.70172002724473</v>
          </cell>
          <cell r="R29">
            <v>559.06724830728069</v>
          </cell>
          <cell r="S29">
            <v>568.58594652978923</v>
          </cell>
          <cell r="T29">
            <v>579.46748535668405</v>
          </cell>
          <cell r="U29">
            <v>590.45743470102514</v>
          </cell>
          <cell r="V29">
            <v>601.86747628735975</v>
          </cell>
          <cell r="W29">
            <v>613.56908152497124</v>
          </cell>
          <cell r="X29">
            <v>625.16510107635452</v>
          </cell>
          <cell r="Y29">
            <v>637.24183099136553</v>
          </cell>
          <cell r="Z29">
            <v>649.53166921395439</v>
          </cell>
          <cell r="AA29">
            <v>662.0377232033029</v>
          </cell>
          <cell r="AB29">
            <v>674.76312259886026</v>
          </cell>
          <cell r="AC29">
            <v>687.71101838719346</v>
          </cell>
          <cell r="AD29">
            <v>700.88458201331889</v>
          </cell>
          <cell r="AE29">
            <v>714.28700443425862</v>
          </cell>
          <cell r="AF29">
            <v>727.92149511248704</v>
          </cell>
          <cell r="AG29">
            <v>741.79128094685564</v>
          </cell>
          <cell r="AH29">
            <v>755.89960513849724</v>
          </cell>
        </row>
        <row r="30">
          <cell r="A30" t="str">
            <v>Purge Gas</v>
          </cell>
          <cell r="B30" t="str">
            <v>Methane equivalent</v>
          </cell>
          <cell r="C30">
            <v>0</v>
          </cell>
          <cell r="D30" t="str">
            <v>$/ton</v>
          </cell>
          <cell r="E30">
            <v>0</v>
          </cell>
          <cell r="F30">
            <v>32.679611640000005</v>
          </cell>
          <cell r="G30">
            <v>32.679611640000005</v>
          </cell>
          <cell r="H30">
            <v>32.679611640000005</v>
          </cell>
          <cell r="I30">
            <v>32.679611640000005</v>
          </cell>
          <cell r="J30">
            <v>32.679611640000005</v>
          </cell>
          <cell r="K30">
            <v>32.679611640000005</v>
          </cell>
          <cell r="L30">
            <v>32.679611640000005</v>
          </cell>
          <cell r="M30">
            <v>32.679611640000005</v>
          </cell>
          <cell r="N30">
            <v>32.679611640000005</v>
          </cell>
          <cell r="O30">
            <v>32.679611640000005</v>
          </cell>
          <cell r="P30">
            <v>32.679611640000005</v>
          </cell>
          <cell r="Q30">
            <v>32.679611640000005</v>
          </cell>
          <cell r="R30">
            <v>32.679611640000005</v>
          </cell>
          <cell r="S30">
            <v>32.679611640000005</v>
          </cell>
          <cell r="T30">
            <v>32.679611640000005</v>
          </cell>
          <cell r="U30">
            <v>32.679611640000005</v>
          </cell>
          <cell r="V30">
            <v>32.679611640000005</v>
          </cell>
          <cell r="W30">
            <v>32.679611640000005</v>
          </cell>
          <cell r="X30">
            <v>32.679611640000005</v>
          </cell>
          <cell r="Y30">
            <v>32.679611640000005</v>
          </cell>
          <cell r="Z30">
            <v>32.679611640000005</v>
          </cell>
          <cell r="AA30">
            <v>32.679611640000005</v>
          </cell>
          <cell r="AB30">
            <v>32.679611640000005</v>
          </cell>
          <cell r="AC30">
            <v>32.679611640000005</v>
          </cell>
          <cell r="AD30">
            <v>32.679611640000005</v>
          </cell>
          <cell r="AE30">
            <v>32.679611640000005</v>
          </cell>
          <cell r="AF30">
            <v>32.679611640000005</v>
          </cell>
          <cell r="AG30">
            <v>32.679611640000005</v>
          </cell>
          <cell r="AH30">
            <v>32.679611640000005</v>
          </cell>
        </row>
        <row r="31">
          <cell r="A31" t="str">
            <v>Polymer Freight (Western Europe)</v>
          </cell>
          <cell r="B31">
            <v>0</v>
          </cell>
          <cell r="C31">
            <v>0</v>
          </cell>
          <cell r="D31" t="str">
            <v>$/ton</v>
          </cell>
          <cell r="E31">
            <v>60</v>
          </cell>
          <cell r="F31">
            <v>61.139999999999993</v>
          </cell>
          <cell r="G31">
            <v>62.52</v>
          </cell>
          <cell r="H31">
            <v>64.08</v>
          </cell>
          <cell r="I31">
            <v>65.7</v>
          </cell>
          <cell r="J31">
            <v>67.38</v>
          </cell>
          <cell r="K31">
            <v>69.06</v>
          </cell>
          <cell r="L31">
            <v>70.740000000000009</v>
          </cell>
          <cell r="M31">
            <v>72.540000000000006</v>
          </cell>
          <cell r="N31">
            <v>74.34</v>
          </cell>
          <cell r="O31">
            <v>76.2</v>
          </cell>
          <cell r="P31">
            <v>78.12</v>
          </cell>
          <cell r="Q31">
            <v>80.040000000000006</v>
          </cell>
          <cell r="R31">
            <v>82.080000000000013</v>
          </cell>
          <cell r="S31">
            <v>84.11999999999999</v>
          </cell>
          <cell r="T31">
            <v>86.22</v>
          </cell>
          <cell r="U31">
            <v>88.38000000000001</v>
          </cell>
          <cell r="V31">
            <v>90.6</v>
          </cell>
          <cell r="W31">
            <v>92.88</v>
          </cell>
          <cell r="X31">
            <v>95.160000000000011</v>
          </cell>
          <cell r="Y31">
            <v>97.539000000000001</v>
          </cell>
          <cell r="Z31">
            <v>99.977474999999998</v>
          </cell>
          <cell r="AA31">
            <v>102.47691187499998</v>
          </cell>
          <cell r="AB31">
            <v>105.03883467187497</v>
          </cell>
          <cell r="AC31">
            <v>107.66480553867183</v>
          </cell>
          <cell r="AD31">
            <v>110.35642567713862</v>
          </cell>
          <cell r="AE31">
            <v>113.11533631906707</v>
          </cell>
          <cell r="AF31">
            <v>115.94321972704374</v>
          </cell>
          <cell r="AG31">
            <v>118.84180022021982</v>
          </cell>
          <cell r="AH31">
            <v>121.81284522572531</v>
          </cell>
        </row>
        <row r="32">
          <cell r="A32" t="str">
            <v>Polymer Freight (East Asia)</v>
          </cell>
          <cell r="B32">
            <v>0</v>
          </cell>
          <cell r="C32">
            <v>0</v>
          </cell>
          <cell r="D32" t="str">
            <v>$/ton</v>
          </cell>
          <cell r="E32">
            <v>56</v>
          </cell>
          <cell r="F32">
            <v>57.063999999999993</v>
          </cell>
          <cell r="G32">
            <v>58.352000000000004</v>
          </cell>
          <cell r="H32">
            <v>59.808000000000007</v>
          </cell>
          <cell r="I32">
            <v>61.32</v>
          </cell>
          <cell r="J32">
            <v>62.887999999999998</v>
          </cell>
          <cell r="K32">
            <v>64.456000000000003</v>
          </cell>
          <cell r="L32">
            <v>66.024000000000001</v>
          </cell>
          <cell r="M32">
            <v>67.704000000000008</v>
          </cell>
          <cell r="N32">
            <v>69.384</v>
          </cell>
          <cell r="O32">
            <v>71.12</v>
          </cell>
          <cell r="P32">
            <v>72.912000000000006</v>
          </cell>
          <cell r="Q32">
            <v>74.704000000000008</v>
          </cell>
          <cell r="R32">
            <v>76.608000000000004</v>
          </cell>
          <cell r="S32">
            <v>78.512</v>
          </cell>
          <cell r="T32">
            <v>80.472000000000008</v>
          </cell>
          <cell r="U32">
            <v>82.488</v>
          </cell>
          <cell r="V32">
            <v>84.56</v>
          </cell>
          <cell r="W32">
            <v>86.688000000000002</v>
          </cell>
          <cell r="X32">
            <v>88.816000000000003</v>
          </cell>
          <cell r="Y32">
            <v>91.0364</v>
          </cell>
          <cell r="Z32">
            <v>93.312309999999997</v>
          </cell>
          <cell r="AA32">
            <v>95.645117749999983</v>
          </cell>
          <cell r="AB32">
            <v>98.036245693749976</v>
          </cell>
          <cell r="AC32">
            <v>100.48715183609372</v>
          </cell>
          <cell r="AD32">
            <v>102.99933063199605</v>
          </cell>
          <cell r="AE32">
            <v>105.57431389779593</v>
          </cell>
          <cell r="AF32">
            <v>108.21367174524082</v>
          </cell>
          <cell r="AG32">
            <v>110.91901353887184</v>
          </cell>
          <cell r="AH32">
            <v>113.69198887734363</v>
          </cell>
        </row>
        <row r="33">
          <cell r="A33" t="str">
            <v>Polymer Freight (West Asia)</v>
          </cell>
          <cell r="B33">
            <v>0</v>
          </cell>
          <cell r="C33">
            <v>0</v>
          </cell>
          <cell r="D33" t="str">
            <v>$/ton</v>
          </cell>
          <cell r="E33">
            <v>40</v>
          </cell>
          <cell r="F33">
            <v>40.76</v>
          </cell>
          <cell r="G33">
            <v>41.68</v>
          </cell>
          <cell r="H33">
            <v>42.72</v>
          </cell>
          <cell r="I33">
            <v>43.8</v>
          </cell>
          <cell r="J33">
            <v>44.92</v>
          </cell>
          <cell r="K33">
            <v>46.04</v>
          </cell>
          <cell r="L33">
            <v>47.160000000000004</v>
          </cell>
          <cell r="M33">
            <v>48.36</v>
          </cell>
          <cell r="N33">
            <v>49.56</v>
          </cell>
          <cell r="O33">
            <v>50.8</v>
          </cell>
          <cell r="P33">
            <v>52.08</v>
          </cell>
          <cell r="Q33">
            <v>53.36</v>
          </cell>
          <cell r="R33">
            <v>54.720000000000006</v>
          </cell>
          <cell r="S33">
            <v>56.08</v>
          </cell>
          <cell r="T33">
            <v>57.480000000000004</v>
          </cell>
          <cell r="U33">
            <v>58.92</v>
          </cell>
          <cell r="V33">
            <v>60.4</v>
          </cell>
          <cell r="W33">
            <v>61.92</v>
          </cell>
          <cell r="X33">
            <v>63.440000000000005</v>
          </cell>
          <cell r="Y33">
            <v>65.025999999999996</v>
          </cell>
          <cell r="Z33">
            <v>66.651650000000004</v>
          </cell>
          <cell r="AA33">
            <v>68.31794124999999</v>
          </cell>
          <cell r="AB33">
            <v>70.025889781249987</v>
          </cell>
          <cell r="AC33">
            <v>71.776537025781224</v>
          </cell>
          <cell r="AD33">
            <v>73.570950451425745</v>
          </cell>
          <cell r="AE33">
            <v>75.410224212711384</v>
          </cell>
          <cell r="AF33">
            <v>77.29547981802915</v>
          </cell>
          <cell r="AG33">
            <v>79.227866813479878</v>
          </cell>
          <cell r="AH33">
            <v>81.208563483816874</v>
          </cell>
        </row>
        <row r="34">
          <cell r="A34" t="str">
            <v>Polymer Freight (Iran)</v>
          </cell>
          <cell r="B34">
            <v>0</v>
          </cell>
          <cell r="C34">
            <v>0</v>
          </cell>
          <cell r="D34" t="str">
            <v>$/ton</v>
          </cell>
          <cell r="E34">
            <v>20</v>
          </cell>
          <cell r="F34">
            <v>20.38</v>
          </cell>
          <cell r="G34">
            <v>20.84</v>
          </cell>
          <cell r="H34">
            <v>21.36</v>
          </cell>
          <cell r="I34">
            <v>21.9</v>
          </cell>
          <cell r="J34">
            <v>22.46</v>
          </cell>
          <cell r="K34">
            <v>23.02</v>
          </cell>
          <cell r="L34">
            <v>23.580000000000002</v>
          </cell>
          <cell r="M34">
            <v>24.18</v>
          </cell>
          <cell r="N34">
            <v>24.78</v>
          </cell>
          <cell r="O34">
            <v>25.4</v>
          </cell>
          <cell r="P34">
            <v>26.04</v>
          </cell>
          <cell r="Q34">
            <v>26.68</v>
          </cell>
          <cell r="R34">
            <v>27.360000000000003</v>
          </cell>
          <cell r="S34">
            <v>28.04</v>
          </cell>
          <cell r="T34">
            <v>28.740000000000002</v>
          </cell>
          <cell r="U34">
            <v>29.46</v>
          </cell>
          <cell r="V34">
            <v>30.2</v>
          </cell>
          <cell r="W34">
            <v>30.96</v>
          </cell>
          <cell r="X34">
            <v>31.720000000000002</v>
          </cell>
          <cell r="Y34">
            <v>32.512999999999998</v>
          </cell>
          <cell r="Z34">
            <v>33.325825000000002</v>
          </cell>
          <cell r="AA34">
            <v>34.158970624999995</v>
          </cell>
          <cell r="AB34">
            <v>35.012944890624993</v>
          </cell>
          <cell r="AC34">
            <v>35.888268512890612</v>
          </cell>
          <cell r="AD34">
            <v>36.785475225712872</v>
          </cell>
          <cell r="AE34">
            <v>37.705112106355692</v>
          </cell>
          <cell r="AF34">
            <v>38.647739909014575</v>
          </cell>
          <cell r="AG34">
            <v>39.613933406739939</v>
          </cell>
          <cell r="AH34">
            <v>40.604281741908437</v>
          </cell>
        </row>
        <row r="35">
          <cell r="A35" t="str">
            <v>MEG Freight (Western Europe)</v>
          </cell>
          <cell r="B35">
            <v>0</v>
          </cell>
          <cell r="C35">
            <v>0</v>
          </cell>
          <cell r="D35" t="str">
            <v>$/ton</v>
          </cell>
          <cell r="E35">
            <v>67</v>
          </cell>
          <cell r="F35">
            <v>68.272999999999996</v>
          </cell>
          <cell r="G35">
            <v>69.814000000000007</v>
          </cell>
          <cell r="H35">
            <v>71.555999999999997</v>
          </cell>
          <cell r="I35">
            <v>73.364999999999995</v>
          </cell>
          <cell r="J35">
            <v>75.241</v>
          </cell>
          <cell r="K35">
            <v>77.117000000000004</v>
          </cell>
          <cell r="L35">
            <v>78.993000000000009</v>
          </cell>
          <cell r="M35">
            <v>81.003</v>
          </cell>
          <cell r="N35">
            <v>83.013000000000005</v>
          </cell>
          <cell r="O35">
            <v>85.09</v>
          </cell>
          <cell r="P35">
            <v>87.234000000000009</v>
          </cell>
          <cell r="Q35">
            <v>89.378</v>
          </cell>
          <cell r="R35">
            <v>91.656000000000006</v>
          </cell>
          <cell r="S35">
            <v>93.933999999999997</v>
          </cell>
          <cell r="T35">
            <v>96.279000000000011</v>
          </cell>
          <cell r="U35">
            <v>98.691000000000003</v>
          </cell>
          <cell r="V35">
            <v>101.17</v>
          </cell>
          <cell r="W35">
            <v>103.71600000000001</v>
          </cell>
          <cell r="X35">
            <v>106.262</v>
          </cell>
          <cell r="Y35">
            <v>108.91855</v>
          </cell>
          <cell r="Z35">
            <v>111.64151375</v>
          </cell>
          <cell r="AA35">
            <v>114.43255159374999</v>
          </cell>
          <cell r="AB35">
            <v>117.29336538359372</v>
          </cell>
          <cell r="AC35">
            <v>120.22569951818355</v>
          </cell>
          <cell r="AD35">
            <v>123.23134200613812</v>
          </cell>
          <cell r="AE35">
            <v>126.31212555629156</v>
          </cell>
          <cell r="AF35">
            <v>129.46992869519883</v>
          </cell>
          <cell r="AG35">
            <v>132.70667691257881</v>
          </cell>
          <cell r="AH35">
            <v>136.02434383539327</v>
          </cell>
        </row>
        <row r="36">
          <cell r="A36" t="str">
            <v>MEG Freight (East Asia)</v>
          </cell>
          <cell r="B36">
            <v>0</v>
          </cell>
          <cell r="C36">
            <v>0</v>
          </cell>
          <cell r="D36" t="str">
            <v>$/ton</v>
          </cell>
          <cell r="E36">
            <v>45</v>
          </cell>
          <cell r="F36">
            <v>45.854999999999997</v>
          </cell>
          <cell r="G36">
            <v>46.89</v>
          </cell>
          <cell r="H36">
            <v>48.06</v>
          </cell>
          <cell r="I36">
            <v>49.274999999999999</v>
          </cell>
          <cell r="J36">
            <v>50.534999999999997</v>
          </cell>
          <cell r="K36">
            <v>51.795000000000002</v>
          </cell>
          <cell r="L36">
            <v>53.055</v>
          </cell>
          <cell r="M36">
            <v>54.405000000000001</v>
          </cell>
          <cell r="N36">
            <v>55.755000000000003</v>
          </cell>
          <cell r="O36">
            <v>57.15</v>
          </cell>
          <cell r="P36">
            <v>58.59</v>
          </cell>
          <cell r="Q36">
            <v>60.03</v>
          </cell>
          <cell r="R36">
            <v>61.56</v>
          </cell>
          <cell r="S36">
            <v>63.089999999999996</v>
          </cell>
          <cell r="T36">
            <v>64.665000000000006</v>
          </cell>
          <cell r="U36">
            <v>66.285000000000011</v>
          </cell>
          <cell r="V36">
            <v>67.95</v>
          </cell>
          <cell r="W36">
            <v>69.66</v>
          </cell>
          <cell r="X36">
            <v>71.37</v>
          </cell>
          <cell r="Y36">
            <v>73.154250000000005</v>
          </cell>
          <cell r="Z36">
            <v>74.983106250000006</v>
          </cell>
          <cell r="AA36">
            <v>76.857683906249989</v>
          </cell>
          <cell r="AB36">
            <v>78.779126003906228</v>
          </cell>
          <cell r="AC36">
            <v>80.748604154003871</v>
          </cell>
          <cell r="AD36">
            <v>82.767319257853956</v>
          </cell>
          <cell r="AE36">
            <v>84.836502239300302</v>
          </cell>
          <cell r="AF36">
            <v>86.957414795282801</v>
          </cell>
          <cell r="AG36">
            <v>89.131350165164861</v>
          </cell>
          <cell r="AH36">
            <v>91.359633919293984</v>
          </cell>
        </row>
        <row r="37">
          <cell r="A37" t="str">
            <v>MEG Freight (West Asia)</v>
          </cell>
          <cell r="B37">
            <v>0</v>
          </cell>
          <cell r="C37">
            <v>0</v>
          </cell>
          <cell r="D37" t="str">
            <v>$/ton</v>
          </cell>
          <cell r="E37">
            <v>40</v>
          </cell>
          <cell r="F37">
            <v>40.76</v>
          </cell>
          <cell r="G37">
            <v>41.68</v>
          </cell>
          <cell r="H37">
            <v>42.72</v>
          </cell>
          <cell r="I37">
            <v>43.8</v>
          </cell>
          <cell r="J37">
            <v>44.92</v>
          </cell>
          <cell r="K37">
            <v>46.04</v>
          </cell>
          <cell r="L37">
            <v>47.160000000000004</v>
          </cell>
          <cell r="M37">
            <v>48.36</v>
          </cell>
          <cell r="N37">
            <v>49.56</v>
          </cell>
          <cell r="O37">
            <v>50.8</v>
          </cell>
          <cell r="P37">
            <v>52.08</v>
          </cell>
          <cell r="Q37">
            <v>53.36</v>
          </cell>
          <cell r="R37">
            <v>54.720000000000006</v>
          </cell>
          <cell r="S37">
            <v>56.08</v>
          </cell>
          <cell r="T37">
            <v>57.480000000000004</v>
          </cell>
          <cell r="U37">
            <v>58.92</v>
          </cell>
          <cell r="V37">
            <v>60.4</v>
          </cell>
          <cell r="W37">
            <v>61.92</v>
          </cell>
          <cell r="X37">
            <v>63.440000000000005</v>
          </cell>
          <cell r="Y37">
            <v>65.025999999999996</v>
          </cell>
          <cell r="Z37">
            <v>66.651650000000004</v>
          </cell>
          <cell r="AA37">
            <v>68.31794124999999</v>
          </cell>
          <cell r="AB37">
            <v>70.025889781249987</v>
          </cell>
          <cell r="AC37">
            <v>71.776537025781224</v>
          </cell>
          <cell r="AD37">
            <v>73.570950451425745</v>
          </cell>
          <cell r="AE37">
            <v>75.410224212711384</v>
          </cell>
          <cell r="AF37">
            <v>77.29547981802915</v>
          </cell>
          <cell r="AG37">
            <v>79.227866813479878</v>
          </cell>
          <cell r="AH37">
            <v>81.208563483816874</v>
          </cell>
        </row>
        <row r="38">
          <cell r="A38" t="str">
            <v>MEG Freight (Iran)</v>
          </cell>
          <cell r="B38">
            <v>0</v>
          </cell>
          <cell r="C38">
            <v>0</v>
          </cell>
          <cell r="D38" t="str">
            <v>$/ton</v>
          </cell>
          <cell r="E38">
            <v>20</v>
          </cell>
          <cell r="F38">
            <v>20.38</v>
          </cell>
          <cell r="G38">
            <v>20.84</v>
          </cell>
          <cell r="H38">
            <v>21.36</v>
          </cell>
          <cell r="I38">
            <v>21.9</v>
          </cell>
          <cell r="J38">
            <v>22.46</v>
          </cell>
          <cell r="K38">
            <v>23.02</v>
          </cell>
          <cell r="L38">
            <v>23.580000000000002</v>
          </cell>
          <cell r="M38">
            <v>24.18</v>
          </cell>
          <cell r="N38">
            <v>24.78</v>
          </cell>
          <cell r="O38">
            <v>25.4</v>
          </cell>
          <cell r="P38">
            <v>26.04</v>
          </cell>
          <cell r="Q38">
            <v>26.68</v>
          </cell>
          <cell r="R38">
            <v>27.360000000000003</v>
          </cell>
          <cell r="S38">
            <v>28.04</v>
          </cell>
          <cell r="T38">
            <v>28.740000000000002</v>
          </cell>
          <cell r="U38">
            <v>29.46</v>
          </cell>
          <cell r="V38">
            <v>30.2</v>
          </cell>
          <cell r="W38">
            <v>30.96</v>
          </cell>
          <cell r="X38">
            <v>31.720000000000002</v>
          </cell>
          <cell r="Y38">
            <v>32.512999999999998</v>
          </cell>
          <cell r="Z38">
            <v>33.325825000000002</v>
          </cell>
          <cell r="AA38">
            <v>34.158970624999995</v>
          </cell>
          <cell r="AB38">
            <v>35.012944890624993</v>
          </cell>
          <cell r="AC38">
            <v>35.888268512890612</v>
          </cell>
          <cell r="AD38">
            <v>36.785475225712872</v>
          </cell>
          <cell r="AE38">
            <v>37.705112106355692</v>
          </cell>
          <cell r="AF38">
            <v>38.647739909014575</v>
          </cell>
          <cell r="AG38">
            <v>39.613933406739939</v>
          </cell>
          <cell r="AH38">
            <v>40.604281741908437</v>
          </cell>
        </row>
        <row r="39">
          <cell r="A39" t="str">
            <v>Styrene Freight (Western Europe)</v>
          </cell>
          <cell r="B39">
            <v>0</v>
          </cell>
          <cell r="C39">
            <v>0</v>
          </cell>
          <cell r="D39" t="str">
            <v>$/ton</v>
          </cell>
          <cell r="E39">
            <v>70</v>
          </cell>
          <cell r="F39">
            <v>71.33</v>
          </cell>
          <cell r="G39">
            <v>72.94</v>
          </cell>
          <cell r="H39">
            <v>74.760000000000005</v>
          </cell>
          <cell r="I39">
            <v>76.649999999999991</v>
          </cell>
          <cell r="J39">
            <v>78.61</v>
          </cell>
          <cell r="K39">
            <v>80.570000000000007</v>
          </cell>
          <cell r="L39">
            <v>82.53</v>
          </cell>
          <cell r="M39">
            <v>84.63000000000001</v>
          </cell>
          <cell r="N39">
            <v>86.73</v>
          </cell>
          <cell r="O39">
            <v>88.9</v>
          </cell>
          <cell r="P39">
            <v>91.14</v>
          </cell>
          <cell r="Q39">
            <v>93.38000000000001</v>
          </cell>
          <cell r="R39">
            <v>95.76</v>
          </cell>
          <cell r="S39">
            <v>98.14</v>
          </cell>
          <cell r="T39">
            <v>100.59</v>
          </cell>
          <cell r="U39">
            <v>103.11</v>
          </cell>
          <cell r="V39">
            <v>105.7</v>
          </cell>
          <cell r="W39">
            <v>108.36</v>
          </cell>
          <cell r="X39">
            <v>111.02000000000001</v>
          </cell>
          <cell r="Y39">
            <v>113.7955</v>
          </cell>
          <cell r="Z39">
            <v>116.6403875</v>
          </cell>
          <cell r="AA39">
            <v>119.55639718749998</v>
          </cell>
          <cell r="AB39">
            <v>122.54530711718746</v>
          </cell>
          <cell r="AC39">
            <v>125.60893979511714</v>
          </cell>
          <cell r="AD39">
            <v>128.74916328999504</v>
          </cell>
          <cell r="AE39">
            <v>131.9678923722449</v>
          </cell>
          <cell r="AF39">
            <v>135.26708968155103</v>
          </cell>
          <cell r="AG39">
            <v>138.64876692358979</v>
          </cell>
          <cell r="AH39">
            <v>142.11498609667953</v>
          </cell>
        </row>
        <row r="40">
          <cell r="A40" t="str">
            <v>Styrene Freight (East Asia)</v>
          </cell>
          <cell r="B40">
            <v>0</v>
          </cell>
          <cell r="C40">
            <v>0</v>
          </cell>
          <cell r="D40" t="str">
            <v>$/ton</v>
          </cell>
          <cell r="E40">
            <v>47</v>
          </cell>
          <cell r="F40">
            <v>47.892999999999994</v>
          </cell>
          <cell r="G40">
            <v>48.974000000000004</v>
          </cell>
          <cell r="H40">
            <v>50.196000000000005</v>
          </cell>
          <cell r="I40">
            <v>51.464999999999996</v>
          </cell>
          <cell r="J40">
            <v>52.780999999999999</v>
          </cell>
          <cell r="K40">
            <v>54.097000000000001</v>
          </cell>
          <cell r="L40">
            <v>55.413000000000004</v>
          </cell>
          <cell r="M40">
            <v>56.823</v>
          </cell>
          <cell r="N40">
            <v>58.233000000000004</v>
          </cell>
          <cell r="O40">
            <v>59.69</v>
          </cell>
          <cell r="P40">
            <v>61.194000000000003</v>
          </cell>
          <cell r="Q40">
            <v>62.698</v>
          </cell>
          <cell r="R40">
            <v>64.296000000000006</v>
          </cell>
          <cell r="S40">
            <v>65.893999999999991</v>
          </cell>
          <cell r="T40">
            <v>67.539000000000001</v>
          </cell>
          <cell r="U40">
            <v>69.231000000000009</v>
          </cell>
          <cell r="V40">
            <v>70.97</v>
          </cell>
          <cell r="W40">
            <v>72.756</v>
          </cell>
          <cell r="X40">
            <v>74.542000000000002</v>
          </cell>
          <cell r="Y40">
            <v>76.405550000000005</v>
          </cell>
          <cell r="Z40">
            <v>78.315688750000007</v>
          </cell>
          <cell r="AA40">
            <v>80.273580968749997</v>
          </cell>
          <cell r="AB40">
            <v>82.28042049296873</v>
          </cell>
          <cell r="AC40">
            <v>84.337431005292942</v>
          </cell>
          <cell r="AD40">
            <v>86.445866780425249</v>
          </cell>
          <cell r="AE40">
            <v>88.607013449935863</v>
          </cell>
          <cell r="AF40">
            <v>90.822188786184256</v>
          </cell>
          <cell r="AG40">
            <v>93.092743505838854</v>
          </cell>
          <cell r="AH40">
            <v>95.42006209348483</v>
          </cell>
        </row>
        <row r="41">
          <cell r="A41" t="str">
            <v>Styrene Freight (West Asia)</v>
          </cell>
          <cell r="B41">
            <v>0</v>
          </cell>
          <cell r="C41">
            <v>0</v>
          </cell>
          <cell r="D41" t="str">
            <v>$/ton</v>
          </cell>
          <cell r="E41">
            <v>42</v>
          </cell>
          <cell r="F41">
            <v>42.797999999999995</v>
          </cell>
          <cell r="G41">
            <v>43.764000000000003</v>
          </cell>
          <cell r="H41">
            <v>44.856000000000002</v>
          </cell>
          <cell r="I41">
            <v>45.99</v>
          </cell>
          <cell r="J41">
            <v>47.165999999999997</v>
          </cell>
          <cell r="K41">
            <v>48.341999999999999</v>
          </cell>
          <cell r="L41">
            <v>49.518000000000001</v>
          </cell>
          <cell r="M41">
            <v>50.778000000000006</v>
          </cell>
          <cell r="N41">
            <v>52.038000000000004</v>
          </cell>
          <cell r="O41">
            <v>53.34</v>
          </cell>
          <cell r="P41">
            <v>54.684000000000005</v>
          </cell>
          <cell r="Q41">
            <v>56.028000000000006</v>
          </cell>
          <cell r="R41">
            <v>57.456000000000003</v>
          </cell>
          <cell r="S41">
            <v>58.883999999999993</v>
          </cell>
          <cell r="T41">
            <v>60.353999999999999</v>
          </cell>
          <cell r="U41">
            <v>61.866000000000007</v>
          </cell>
          <cell r="V41">
            <v>63.42</v>
          </cell>
          <cell r="W41">
            <v>65.016000000000005</v>
          </cell>
          <cell r="X41">
            <v>66.612000000000009</v>
          </cell>
          <cell r="Y41">
            <v>68.277299999999997</v>
          </cell>
          <cell r="Z41">
            <v>69.984232500000005</v>
          </cell>
          <cell r="AA41">
            <v>71.733838312499998</v>
          </cell>
          <cell r="AB41">
            <v>73.527184270312475</v>
          </cell>
          <cell r="AC41">
            <v>75.36536387707028</v>
          </cell>
          <cell r="AD41">
            <v>77.249497973997023</v>
          </cell>
          <cell r="AE41">
            <v>79.180735423346945</v>
          </cell>
          <cell r="AF41">
            <v>81.160253808930619</v>
          </cell>
          <cell r="AG41">
            <v>83.189260154153871</v>
          </cell>
          <cell r="AH41">
            <v>85.268991658007721</v>
          </cell>
        </row>
        <row r="42">
          <cell r="A42" t="str">
            <v>Styrene Freight (Iran)</v>
          </cell>
          <cell r="B42">
            <v>0</v>
          </cell>
          <cell r="C42">
            <v>0</v>
          </cell>
          <cell r="D42" t="str">
            <v>$/ton</v>
          </cell>
          <cell r="E42">
            <v>21.5</v>
          </cell>
          <cell r="F42">
            <v>21.908499999999997</v>
          </cell>
          <cell r="G42">
            <v>22.403000000000002</v>
          </cell>
          <cell r="H42">
            <v>22.962</v>
          </cell>
          <cell r="I42">
            <v>23.5425</v>
          </cell>
          <cell r="J42">
            <v>24.144500000000001</v>
          </cell>
          <cell r="K42">
            <v>24.746500000000001</v>
          </cell>
          <cell r="L42">
            <v>25.348500000000001</v>
          </cell>
          <cell r="M42">
            <v>25.993500000000001</v>
          </cell>
          <cell r="N42">
            <v>26.638500000000001</v>
          </cell>
          <cell r="O42">
            <v>27.305</v>
          </cell>
          <cell r="P42">
            <v>27.993000000000002</v>
          </cell>
          <cell r="Q42">
            <v>28.681000000000001</v>
          </cell>
          <cell r="R42">
            <v>29.412000000000003</v>
          </cell>
          <cell r="S42">
            <v>30.142999999999997</v>
          </cell>
          <cell r="T42">
            <v>30.895500000000002</v>
          </cell>
          <cell r="U42">
            <v>31.669500000000003</v>
          </cell>
          <cell r="V42">
            <v>32.465000000000003</v>
          </cell>
          <cell r="W42">
            <v>33.282000000000004</v>
          </cell>
          <cell r="X42">
            <v>34.099000000000004</v>
          </cell>
          <cell r="Y42">
            <v>34.951475000000002</v>
          </cell>
          <cell r="Z42">
            <v>35.825261875000002</v>
          </cell>
          <cell r="AA42">
            <v>36.720893421874997</v>
          </cell>
          <cell r="AB42">
            <v>37.638915757421863</v>
          </cell>
          <cell r="AC42">
            <v>38.579888651357408</v>
          </cell>
          <cell r="AD42">
            <v>39.544385867641338</v>
          </cell>
          <cell r="AE42">
            <v>40.532995514332363</v>
          </cell>
          <cell r="AF42">
            <v>41.546320402190673</v>
          </cell>
          <cell r="AG42">
            <v>42.584978412245434</v>
          </cell>
          <cell r="AH42">
            <v>43.649602872551569</v>
          </cell>
        </row>
        <row r="43">
          <cell r="A43" t="str">
            <v>Packaging</v>
          </cell>
          <cell r="B43">
            <v>0</v>
          </cell>
          <cell r="C43">
            <v>0</v>
          </cell>
          <cell r="D43" t="str">
            <v>$/ton</v>
          </cell>
          <cell r="E43">
            <v>15</v>
          </cell>
          <cell r="F43">
            <v>15.284999999999998</v>
          </cell>
          <cell r="G43">
            <v>15.63</v>
          </cell>
          <cell r="H43">
            <v>16.02</v>
          </cell>
          <cell r="I43">
            <v>16.425000000000001</v>
          </cell>
          <cell r="J43">
            <v>16.844999999999999</v>
          </cell>
          <cell r="K43">
            <v>17.265000000000001</v>
          </cell>
          <cell r="L43">
            <v>17.685000000000002</v>
          </cell>
          <cell r="M43">
            <v>18.135000000000002</v>
          </cell>
          <cell r="N43">
            <v>18.585000000000001</v>
          </cell>
          <cell r="O43">
            <v>19.05</v>
          </cell>
          <cell r="P43">
            <v>19.53</v>
          </cell>
          <cell r="Q43">
            <v>20.010000000000002</v>
          </cell>
          <cell r="R43">
            <v>20.520000000000003</v>
          </cell>
          <cell r="S43">
            <v>21.029999999999998</v>
          </cell>
          <cell r="T43">
            <v>21.555</v>
          </cell>
          <cell r="U43">
            <v>22.095000000000002</v>
          </cell>
          <cell r="V43">
            <v>22.65</v>
          </cell>
          <cell r="W43">
            <v>23.22</v>
          </cell>
          <cell r="X43">
            <v>23.790000000000003</v>
          </cell>
          <cell r="Y43">
            <v>24.38475</v>
          </cell>
          <cell r="Z43">
            <v>24.99436875</v>
          </cell>
          <cell r="AA43">
            <v>25.619227968749996</v>
          </cell>
          <cell r="AB43">
            <v>26.259708667968741</v>
          </cell>
          <cell r="AC43">
            <v>26.916201384667957</v>
          </cell>
          <cell r="AD43">
            <v>27.589106419284654</v>
          </cell>
          <cell r="AE43">
            <v>28.278834079766767</v>
          </cell>
          <cell r="AF43">
            <v>28.985804931760935</v>
          </cell>
          <cell r="AG43">
            <v>29.710450055054956</v>
          </cell>
          <cell r="AH43">
            <v>30.453211306431328</v>
          </cell>
        </row>
        <row r="44">
          <cell r="A44" t="str">
            <v>Sales Support (LLDPE)</v>
          </cell>
          <cell r="B44">
            <v>0</v>
          </cell>
          <cell r="C44">
            <v>0</v>
          </cell>
          <cell r="D44" t="str">
            <v>$/ton</v>
          </cell>
          <cell r="E44">
            <v>28.337500000000002</v>
          </cell>
          <cell r="F44">
            <v>27.054449999999999</v>
          </cell>
          <cell r="G44">
            <v>32.823</v>
          </cell>
          <cell r="H44">
            <v>33.588600000000007</v>
          </cell>
          <cell r="I44">
            <v>34.4925</v>
          </cell>
          <cell r="J44">
            <v>34.9253</v>
          </cell>
          <cell r="K44">
            <v>35.335700000000003</v>
          </cell>
          <cell r="L44">
            <v>35.782650000000004</v>
          </cell>
          <cell r="M44">
            <v>36.209550000000007</v>
          </cell>
          <cell r="N44">
            <v>36.612450000000003</v>
          </cell>
          <cell r="O44">
            <v>37.147500000000001</v>
          </cell>
          <cell r="P44">
            <v>37.758000000000003</v>
          </cell>
          <cell r="Q44">
            <v>38.352499999999999</v>
          </cell>
          <cell r="R44">
            <v>38.988</v>
          </cell>
          <cell r="S44">
            <v>39.606499999999997</v>
          </cell>
          <cell r="T44">
            <v>40.236000000000004</v>
          </cell>
          <cell r="U44">
            <v>40.949400000000004</v>
          </cell>
          <cell r="V44">
            <v>41.600500000000004</v>
          </cell>
          <cell r="W44">
            <v>42.260400000000004</v>
          </cell>
          <cell r="X44">
            <v>42.901300000000006</v>
          </cell>
          <cell r="Y44">
            <v>43.571141726190483</v>
          </cell>
          <cell r="Z44">
            <v>44.251442061750502</v>
          </cell>
          <cell r="AA44">
            <v>44.942364302732962</v>
          </cell>
          <cell r="AB44">
            <v>45.644074294822332</v>
          </cell>
          <cell r="AC44">
            <v>46.356740473143482</v>
          </cell>
          <cell r="AD44">
            <v>47.080533902692096</v>
          </cell>
          <cell r="AE44">
            <v>47.815628319396204</v>
          </cell>
          <cell r="AF44">
            <v>48.562200171818994</v>
          </cell>
          <cell r="AG44">
            <v>49.320428663512679</v>
          </cell>
          <cell r="AH44">
            <v>50.090495796033636</v>
          </cell>
        </row>
        <row r="45">
          <cell r="A45" t="str">
            <v>Sales Support (HDPE)</v>
          </cell>
          <cell r="B45">
            <v>0</v>
          </cell>
          <cell r="C45">
            <v>0</v>
          </cell>
          <cell r="D45" t="str">
            <v>$/ton</v>
          </cell>
          <cell r="E45">
            <v>28.911500000000004</v>
          </cell>
          <cell r="F45">
            <v>25.627849999999999</v>
          </cell>
          <cell r="G45">
            <v>31.364200000000004</v>
          </cell>
          <cell r="H45">
            <v>32.146800000000006</v>
          </cell>
          <cell r="I45">
            <v>33.014250000000004</v>
          </cell>
          <cell r="J45">
            <v>33.40925</v>
          </cell>
          <cell r="K45">
            <v>33.781850000000006</v>
          </cell>
          <cell r="L45">
            <v>34.249950000000005</v>
          </cell>
          <cell r="M45">
            <v>34.577400000000004</v>
          </cell>
          <cell r="N45">
            <v>34.939800000000005</v>
          </cell>
          <cell r="O45">
            <v>35.496500000000005</v>
          </cell>
          <cell r="P45">
            <v>36.000300000000003</v>
          </cell>
          <cell r="Q45">
            <v>36.618300000000005</v>
          </cell>
          <cell r="R45">
            <v>37.141200000000005</v>
          </cell>
          <cell r="S45">
            <v>37.713799999999999</v>
          </cell>
          <cell r="T45">
            <v>38.296050000000001</v>
          </cell>
          <cell r="U45">
            <v>38.960850000000008</v>
          </cell>
          <cell r="V45">
            <v>39.562000000000005</v>
          </cell>
          <cell r="W45">
            <v>40.170600000000007</v>
          </cell>
          <cell r="X45">
            <v>40.760200000000005</v>
          </cell>
          <cell r="Y45">
            <v>41.37670784200386</v>
          </cell>
          <cell r="Z45">
            <v>42.002540513602568</v>
          </cell>
          <cell r="AA45">
            <v>42.637839055089621</v>
          </cell>
          <cell r="AB45">
            <v>43.2827466400269</v>
          </cell>
          <cell r="AC45">
            <v>43.937408607510925</v>
          </cell>
          <cell r="AD45">
            <v>44.601972494927026</v>
          </cell>
          <cell r="AE45">
            <v>45.276588071199029</v>
          </cell>
          <cell r="AF45">
            <v>45.961407370541821</v>
          </cell>
          <cell r="AG45">
            <v>46.656584726724383</v>
          </cell>
          <cell r="AH45">
            <v>47.362276807851131</v>
          </cell>
        </row>
        <row r="46">
          <cell r="A46" t="str">
            <v>Sales Support (MEG)</v>
          </cell>
          <cell r="B46">
            <v>0</v>
          </cell>
          <cell r="C46">
            <v>0</v>
          </cell>
          <cell r="D46" t="str">
            <v>$/ton</v>
          </cell>
          <cell r="E46">
            <v>12.949374899999999</v>
          </cell>
          <cell r="F46">
            <v>12.289139999999998</v>
          </cell>
          <cell r="G46">
            <v>14.25456</v>
          </cell>
          <cell r="H46">
            <v>13.200480000000001</v>
          </cell>
          <cell r="I46">
            <v>13.567049999999998</v>
          </cell>
          <cell r="J46">
            <v>13.711829999999999</v>
          </cell>
          <cell r="K46">
            <v>13.84653</v>
          </cell>
          <cell r="L46">
            <v>14.00652</v>
          </cell>
          <cell r="M46">
            <v>14.181570000000001</v>
          </cell>
          <cell r="N46">
            <v>14.310449999999999</v>
          </cell>
          <cell r="O46">
            <v>14.5161</v>
          </cell>
          <cell r="P46">
            <v>14.725619999999999</v>
          </cell>
          <cell r="Q46">
            <v>14.96748</v>
          </cell>
          <cell r="R46">
            <v>15.184800000000001</v>
          </cell>
          <cell r="S46">
            <v>15.478079999999999</v>
          </cell>
          <cell r="T46">
            <v>15.69204</v>
          </cell>
          <cell r="U46">
            <v>15.952590000000001</v>
          </cell>
          <cell r="V46">
            <v>16.217400000000001</v>
          </cell>
          <cell r="W46">
            <v>16.4862</v>
          </cell>
          <cell r="X46">
            <v>16.700579999999999</v>
          </cell>
          <cell r="Y46">
            <v>16.925214561971831</v>
          </cell>
          <cell r="Z46">
            <v>17.152870616995536</v>
          </cell>
          <cell r="AA46">
            <v>17.383588806280478</v>
          </cell>
          <cell r="AB46">
            <v>17.617410317688893</v>
          </cell>
          <cell r="AC46">
            <v>17.854376893088794</v>
          </cell>
          <cell r="AD46">
            <v>18.784209224817129</v>
          </cell>
          <cell r="AE46">
            <v>19.15461403590524</v>
          </cell>
          <cell r="AF46">
            <v>19.531798956782254</v>
          </cell>
          <cell r="AG46">
            <v>19.915871489930669</v>
          </cell>
          <cell r="AH46">
            <v>20.306940275388524</v>
          </cell>
        </row>
        <row r="47">
          <cell r="A47" t="str">
            <v>Sales Support (Styrene)</v>
          </cell>
          <cell r="B47">
            <v>0</v>
          </cell>
          <cell r="C47">
            <v>0</v>
          </cell>
          <cell r="D47" t="str">
            <v>$/ton</v>
          </cell>
          <cell r="E47">
            <v>14.783849999999999</v>
          </cell>
          <cell r="F47">
            <v>12.319709999999999</v>
          </cell>
          <cell r="G47">
            <v>17.161739999999998</v>
          </cell>
          <cell r="H47">
            <v>17.39772</v>
          </cell>
          <cell r="I47">
            <v>17.640449999999998</v>
          </cell>
          <cell r="J47">
            <v>17.788319999999999</v>
          </cell>
          <cell r="K47">
            <v>18.024660000000001</v>
          </cell>
          <cell r="L47">
            <v>18.286290000000001</v>
          </cell>
          <cell r="M47">
            <v>18.53397</v>
          </cell>
          <cell r="N47">
            <v>18.808020000000003</v>
          </cell>
          <cell r="O47">
            <v>19.126199999999997</v>
          </cell>
          <cell r="P47">
            <v>19.451879999999999</v>
          </cell>
          <cell r="Q47">
            <v>19.809899999999999</v>
          </cell>
          <cell r="R47">
            <v>20.191680000000002</v>
          </cell>
          <cell r="S47">
            <v>20.525279999999999</v>
          </cell>
          <cell r="T47">
            <v>20.908349999999999</v>
          </cell>
          <cell r="U47">
            <v>21.299579999999999</v>
          </cell>
          <cell r="V47">
            <v>21.698699999999999</v>
          </cell>
          <cell r="W47">
            <v>22.105439999999998</v>
          </cell>
          <cell r="X47">
            <v>22.50534</v>
          </cell>
          <cell r="Y47">
            <v>22.922587112394957</v>
          </cell>
          <cell r="Z47">
            <v>23.347569951190934</v>
          </cell>
          <cell r="AA47">
            <v>23.780431936105341</v>
          </cell>
          <cell r="AB47">
            <v>24.221319145845101</v>
          </cell>
          <cell r="AC47">
            <v>24.670380367404093</v>
          </cell>
          <cell r="AD47">
            <v>25.117452178491529</v>
          </cell>
          <cell r="AE47">
            <v>25.567342989755481</v>
          </cell>
          <cell r="AF47">
            <v>26.025292012521998</v>
          </cell>
          <cell r="AG47">
            <v>26.491443581307347</v>
          </cell>
          <cell r="AH47">
            <v>26.965944615873006</v>
          </cell>
        </row>
        <row r="48">
          <cell r="A48" t="str">
            <v>LLDPE price (Western Europe)</v>
          </cell>
          <cell r="B48">
            <v>0</v>
          </cell>
          <cell r="C48">
            <v>0</v>
          </cell>
          <cell r="D48" t="str">
            <v>$/ton</v>
          </cell>
          <cell r="E48">
            <v>623.77266671155905</v>
          </cell>
          <cell r="F48">
            <v>640.02978399268511</v>
          </cell>
          <cell r="G48">
            <v>627.34633444320423</v>
          </cell>
          <cell r="H48">
            <v>635.86551514896905</v>
          </cell>
          <cell r="I48">
            <v>633.51709875493214</v>
          </cell>
          <cell r="J48">
            <v>641.18641724338329</v>
          </cell>
          <cell r="K48">
            <v>649.86760728656941</v>
          </cell>
          <cell r="L48">
            <v>657.87986305880293</v>
          </cell>
          <cell r="M48">
            <v>687.70567510775834</v>
          </cell>
          <cell r="N48">
            <v>696.95216420479846</v>
          </cell>
          <cell r="O48">
            <v>709.64221079593221</v>
          </cell>
          <cell r="P48">
            <v>721.791848865926</v>
          </cell>
          <cell r="Q48">
            <v>734.0430353444757</v>
          </cell>
          <cell r="R48">
            <v>746.98656513890705</v>
          </cell>
          <cell r="S48">
            <v>759.04804488098137</v>
          </cell>
          <cell r="T48">
            <v>772.43386986249266</v>
          </cell>
          <cell r="U48">
            <v>785.98212635551852</v>
          </cell>
          <cell r="V48">
            <v>799.97670010011939</v>
          </cell>
          <cell r="W48">
            <v>814.29517281285587</v>
          </cell>
          <cell r="X48">
            <v>828.40877348461947</v>
          </cell>
          <cell r="Y48">
            <v>843.12916054936306</v>
          </cell>
          <cell r="Z48">
            <v>858.10104172724584</v>
          </cell>
          <cell r="AA48">
            <v>873.32841939239927</v>
          </cell>
          <cell r="AB48">
            <v>888.8153507186795</v>
          </cell>
          <cell r="AC48">
            <v>904.5659481423636</v>
          </cell>
          <cell r="AD48">
            <v>920.58437981796931</v>
          </cell>
          <cell r="AE48">
            <v>936.87487006664117</v>
          </cell>
          <cell r="AF48">
            <v>953.44169981653147</v>
          </cell>
          <cell r="AG48">
            <v>970.28920703457686</v>
          </cell>
          <cell r="AH48">
            <v>987.42178714904992</v>
          </cell>
        </row>
        <row r="49">
          <cell r="A49" t="str">
            <v>LLDPE price (East Asia)</v>
          </cell>
          <cell r="B49">
            <v>0</v>
          </cell>
          <cell r="C49">
            <v>0</v>
          </cell>
          <cell r="D49" t="str">
            <v>$/ton</v>
          </cell>
          <cell r="E49">
            <v>549.74749999999995</v>
          </cell>
          <cell r="F49">
            <v>524.85632999999996</v>
          </cell>
          <cell r="G49">
            <v>636.76620000000003</v>
          </cell>
          <cell r="H49">
            <v>651.61883999999998</v>
          </cell>
          <cell r="I49">
            <v>669.15449999999998</v>
          </cell>
          <cell r="J49">
            <v>677.55081999999993</v>
          </cell>
          <cell r="K49">
            <v>685.51258000000007</v>
          </cell>
          <cell r="L49">
            <v>694.18340999999998</v>
          </cell>
          <cell r="M49">
            <v>724.19100000000003</v>
          </cell>
          <cell r="N49">
            <v>732.24900000000002</v>
          </cell>
          <cell r="O49">
            <v>742.95</v>
          </cell>
          <cell r="P49">
            <v>755.16000000000008</v>
          </cell>
          <cell r="Q49">
            <v>767.05000000000007</v>
          </cell>
          <cell r="R49">
            <v>779.7600000000001</v>
          </cell>
          <cell r="S49">
            <v>792.13</v>
          </cell>
          <cell r="T49">
            <v>804.72</v>
          </cell>
          <cell r="U49">
            <v>818.98800000000006</v>
          </cell>
          <cell r="V49">
            <v>832.01</v>
          </cell>
          <cell r="W49">
            <v>845.20799999999997</v>
          </cell>
          <cell r="X49">
            <v>858.02600000000007</v>
          </cell>
          <cell r="Y49">
            <v>871.42283452380957</v>
          </cell>
          <cell r="Z49">
            <v>885.02884123500996</v>
          </cell>
          <cell r="AA49">
            <v>898.84728605465909</v>
          </cell>
          <cell r="AB49">
            <v>912.88148589644652</v>
          </cell>
          <cell r="AC49">
            <v>927.13480946286973</v>
          </cell>
          <cell r="AD49">
            <v>941.61067805384187</v>
          </cell>
          <cell r="AE49">
            <v>956.31256638792399</v>
          </cell>
          <cell r="AF49">
            <v>971.2440034363799</v>
          </cell>
          <cell r="AG49">
            <v>986.40857327025356</v>
          </cell>
          <cell r="AH49">
            <v>1001.8099159206726</v>
          </cell>
        </row>
        <row r="50">
          <cell r="A50" t="str">
            <v>LLDPE price (West Asia)</v>
          </cell>
          <cell r="B50">
            <v>0</v>
          </cell>
          <cell r="C50">
            <v>0</v>
          </cell>
          <cell r="D50" t="str">
            <v>$/ton</v>
          </cell>
          <cell r="E50">
            <v>549.74749999999995</v>
          </cell>
          <cell r="F50">
            <v>524.85632999999996</v>
          </cell>
          <cell r="G50">
            <v>636.76620000000003</v>
          </cell>
          <cell r="H50">
            <v>651.61883999999998</v>
          </cell>
          <cell r="I50">
            <v>669.15449999999998</v>
          </cell>
          <cell r="J50">
            <v>677.55081999999993</v>
          </cell>
          <cell r="K50">
            <v>685.51258000000007</v>
          </cell>
          <cell r="L50">
            <v>694.18340999999998</v>
          </cell>
          <cell r="M50">
            <v>724.19100000000003</v>
          </cell>
          <cell r="N50">
            <v>732.24900000000002</v>
          </cell>
          <cell r="O50">
            <v>742.95</v>
          </cell>
          <cell r="P50">
            <v>755.16000000000008</v>
          </cell>
          <cell r="Q50">
            <v>767.05000000000007</v>
          </cell>
          <cell r="R50">
            <v>779.7600000000001</v>
          </cell>
          <cell r="S50">
            <v>792.13</v>
          </cell>
          <cell r="T50">
            <v>804.72</v>
          </cell>
          <cell r="U50">
            <v>818.98800000000006</v>
          </cell>
          <cell r="V50">
            <v>832.01</v>
          </cell>
          <cell r="W50">
            <v>845.20799999999997</v>
          </cell>
          <cell r="X50">
            <v>858.02600000000007</v>
          </cell>
          <cell r="Y50">
            <v>871.42283452380957</v>
          </cell>
          <cell r="Z50">
            <v>885.02884123500996</v>
          </cell>
          <cell r="AA50">
            <v>898.84728605465909</v>
          </cell>
          <cell r="AB50">
            <v>912.88148589644652</v>
          </cell>
          <cell r="AC50">
            <v>927.13480946286973</v>
          </cell>
          <cell r="AD50">
            <v>941.61067805384187</v>
          </cell>
          <cell r="AE50">
            <v>956.31256638792399</v>
          </cell>
          <cell r="AF50">
            <v>971.2440034363799</v>
          </cell>
          <cell r="AG50">
            <v>986.40857327025356</v>
          </cell>
          <cell r="AH50">
            <v>1001.8099159206726</v>
          </cell>
        </row>
        <row r="51">
          <cell r="A51" t="str">
            <v>LLDPE price (Iran)</v>
          </cell>
          <cell r="B51">
            <v>0</v>
          </cell>
          <cell r="C51">
            <v>0</v>
          </cell>
          <cell r="D51" t="str">
            <v>$/ton</v>
          </cell>
          <cell r="E51">
            <v>549.74749999999995</v>
          </cell>
          <cell r="F51">
            <v>524.85632999999996</v>
          </cell>
          <cell r="G51">
            <v>636.76620000000003</v>
          </cell>
          <cell r="H51">
            <v>651.61883999999998</v>
          </cell>
          <cell r="I51">
            <v>669.15449999999998</v>
          </cell>
          <cell r="J51">
            <v>677.55081999999993</v>
          </cell>
          <cell r="K51">
            <v>685.51258000000007</v>
          </cell>
          <cell r="L51">
            <v>694.18340999999998</v>
          </cell>
          <cell r="M51">
            <v>724.19100000000003</v>
          </cell>
          <cell r="N51">
            <v>732.24900000000002</v>
          </cell>
          <cell r="O51">
            <v>742.95</v>
          </cell>
          <cell r="P51">
            <v>755.16000000000008</v>
          </cell>
          <cell r="Q51">
            <v>767.05000000000007</v>
          </cell>
          <cell r="R51">
            <v>779.7600000000001</v>
          </cell>
          <cell r="S51">
            <v>792.13</v>
          </cell>
          <cell r="T51">
            <v>804.72</v>
          </cell>
          <cell r="U51">
            <v>818.98800000000006</v>
          </cell>
          <cell r="V51">
            <v>832.01</v>
          </cell>
          <cell r="W51">
            <v>845.20799999999997</v>
          </cell>
          <cell r="X51">
            <v>858.02600000000007</v>
          </cell>
          <cell r="Y51">
            <v>871.42283452380957</v>
          </cell>
          <cell r="Z51">
            <v>885.02884123500996</v>
          </cell>
          <cell r="AA51">
            <v>898.84728605465909</v>
          </cell>
          <cell r="AB51">
            <v>912.88148589644652</v>
          </cell>
          <cell r="AC51">
            <v>927.13480946286973</v>
          </cell>
          <cell r="AD51">
            <v>941.61067805384187</v>
          </cell>
          <cell r="AE51">
            <v>956.31256638792399</v>
          </cell>
          <cell r="AF51">
            <v>971.2440034363799</v>
          </cell>
          <cell r="AG51">
            <v>986.40857327025356</v>
          </cell>
          <cell r="AH51">
            <v>1001.8099159206726</v>
          </cell>
        </row>
        <row r="52">
          <cell r="A52" t="str">
            <v>HDPE price (Western Europe)</v>
          </cell>
          <cell r="B52">
            <v>0</v>
          </cell>
          <cell r="C52">
            <v>0</v>
          </cell>
          <cell r="D52" t="str">
            <v>$/ton</v>
          </cell>
          <cell r="E52">
            <v>710.47582374822866</v>
          </cell>
          <cell r="F52">
            <v>646.76540813299584</v>
          </cell>
          <cell r="G52">
            <v>633.96608778763573</v>
          </cell>
          <cell r="H52">
            <v>642.58258064594872</v>
          </cell>
          <cell r="I52">
            <v>640.22330870601218</v>
          </cell>
          <cell r="J52">
            <v>647.9824670444159</v>
          </cell>
          <cell r="K52">
            <v>656.763798109915</v>
          </cell>
          <cell r="L52">
            <v>664.86968801856585</v>
          </cell>
          <cell r="M52">
            <v>695.02131343273174</v>
          </cell>
          <cell r="N52">
            <v>704.37531204646177</v>
          </cell>
          <cell r="O52">
            <v>717.20787474650251</v>
          </cell>
          <cell r="P52">
            <v>729.49520593423961</v>
          </cell>
          <cell r="Q52">
            <v>741.8853159858279</v>
          </cell>
          <cell r="R52">
            <v>754.97566687474807</v>
          </cell>
          <cell r="S52">
            <v>767.17537561769859</v>
          </cell>
          <cell r="T52">
            <v>780.71328773578159</v>
          </cell>
          <cell r="U52">
            <v>794.41588044057153</v>
          </cell>
          <cell r="V52">
            <v>808.56988840630311</v>
          </cell>
          <cell r="W52">
            <v>823.05167924347916</v>
          </cell>
          <cell r="X52">
            <v>837.32680459758592</v>
          </cell>
          <cell r="Y52">
            <v>852.21570455409187</v>
          </cell>
          <cell r="Z52">
            <v>867.35928280131304</v>
          </cell>
          <cell r="AA52">
            <v>882.76160188080587</v>
          </cell>
          <cell r="AB52">
            <v>898.42678027076079</v>
          </cell>
          <cell r="AC52">
            <v>914.35899287017992</v>
          </cell>
          <cell r="AD52">
            <v>930.56247147658655</v>
          </cell>
          <cell r="AE52">
            <v>947.04150525671332</v>
          </cell>
          <cell r="AF52">
            <v>963.80044120960645</v>
          </cell>
          <cell r="AG52">
            <v>980.84368462155533</v>
          </cell>
          <cell r="AH52">
            <v>998.17569951223538</v>
          </cell>
        </row>
        <row r="53">
          <cell r="A53" t="str">
            <v>HDPE price (East Asia)</v>
          </cell>
          <cell r="B53">
            <v>0</v>
          </cell>
          <cell r="C53">
            <v>0</v>
          </cell>
          <cell r="D53" t="str">
            <v>$/ton</v>
          </cell>
          <cell r="E53">
            <v>560.88310000000001</v>
          </cell>
          <cell r="F53">
            <v>497.1802899999999</v>
          </cell>
          <cell r="G53">
            <v>608.46547999999996</v>
          </cell>
          <cell r="H53">
            <v>623.64792</v>
          </cell>
          <cell r="I53">
            <v>640.47645</v>
          </cell>
          <cell r="J53">
            <v>648.1394499999999</v>
          </cell>
          <cell r="K53">
            <v>655.36788999999999</v>
          </cell>
          <cell r="L53">
            <v>664.44902999999999</v>
          </cell>
          <cell r="M53">
            <v>691.548</v>
          </cell>
          <cell r="N53">
            <v>698.79600000000005</v>
          </cell>
          <cell r="O53">
            <v>709.93000000000006</v>
          </cell>
          <cell r="P53">
            <v>720.00599999999997</v>
          </cell>
          <cell r="Q53">
            <v>732.36599999999999</v>
          </cell>
          <cell r="R53">
            <v>742.82400000000007</v>
          </cell>
          <cell r="S53">
            <v>754.27599999999995</v>
          </cell>
          <cell r="T53">
            <v>765.92100000000005</v>
          </cell>
          <cell r="U53">
            <v>779.2170000000001</v>
          </cell>
          <cell r="V53">
            <v>791.24</v>
          </cell>
          <cell r="W53">
            <v>803.41200000000003</v>
          </cell>
          <cell r="X53">
            <v>815.20400000000006</v>
          </cell>
          <cell r="Y53">
            <v>827.53415684007712</v>
          </cell>
          <cell r="Z53">
            <v>840.05081027205131</v>
          </cell>
          <cell r="AA53">
            <v>852.75678110179228</v>
          </cell>
          <cell r="AB53">
            <v>865.65493280053795</v>
          </cell>
          <cell r="AC53">
            <v>878.74817215021847</v>
          </cell>
          <cell r="AD53">
            <v>892.0394498985404</v>
          </cell>
          <cell r="AE53">
            <v>905.53176142398058</v>
          </cell>
          <cell r="AF53">
            <v>919.22814741083641</v>
          </cell>
          <cell r="AG53">
            <v>933.13169453448756</v>
          </cell>
          <cell r="AH53">
            <v>947.24553615702268</v>
          </cell>
        </row>
        <row r="54">
          <cell r="A54" t="str">
            <v>HDPE price (West Asia)</v>
          </cell>
          <cell r="B54">
            <v>0</v>
          </cell>
          <cell r="C54">
            <v>0</v>
          </cell>
          <cell r="D54" t="str">
            <v>$/ton</v>
          </cell>
          <cell r="E54">
            <v>560.88310000000001</v>
          </cell>
          <cell r="F54">
            <v>497.1802899999999</v>
          </cell>
          <cell r="G54">
            <v>608.46547999999996</v>
          </cell>
          <cell r="H54">
            <v>623.64792</v>
          </cell>
          <cell r="I54">
            <v>640.47645</v>
          </cell>
          <cell r="J54">
            <v>648.1394499999999</v>
          </cell>
          <cell r="K54">
            <v>655.36788999999999</v>
          </cell>
          <cell r="L54">
            <v>664.44902999999999</v>
          </cell>
          <cell r="M54">
            <v>691.548</v>
          </cell>
          <cell r="N54">
            <v>698.79600000000005</v>
          </cell>
          <cell r="O54">
            <v>709.93000000000006</v>
          </cell>
          <cell r="P54">
            <v>720.00599999999997</v>
          </cell>
          <cell r="Q54">
            <v>732.36599999999999</v>
          </cell>
          <cell r="R54">
            <v>742.82400000000007</v>
          </cell>
          <cell r="S54">
            <v>754.27599999999995</v>
          </cell>
          <cell r="T54">
            <v>765.92100000000005</v>
          </cell>
          <cell r="U54">
            <v>779.2170000000001</v>
          </cell>
          <cell r="V54">
            <v>791.24</v>
          </cell>
          <cell r="W54">
            <v>803.41200000000003</v>
          </cell>
          <cell r="X54">
            <v>815.20400000000006</v>
          </cell>
          <cell r="Y54">
            <v>827.53415684007712</v>
          </cell>
          <cell r="Z54">
            <v>840.05081027205131</v>
          </cell>
          <cell r="AA54">
            <v>852.75678110179228</v>
          </cell>
          <cell r="AB54">
            <v>865.65493280053795</v>
          </cell>
          <cell r="AC54">
            <v>878.74817215021847</v>
          </cell>
          <cell r="AD54">
            <v>892.0394498985404</v>
          </cell>
          <cell r="AE54">
            <v>905.53176142398058</v>
          </cell>
          <cell r="AF54">
            <v>919.22814741083641</v>
          </cell>
          <cell r="AG54">
            <v>933.13169453448756</v>
          </cell>
          <cell r="AH54">
            <v>947.24553615702268</v>
          </cell>
        </row>
        <row r="55">
          <cell r="A55" t="str">
            <v>HDPE price (Iran)</v>
          </cell>
          <cell r="B55">
            <v>0</v>
          </cell>
          <cell r="C55">
            <v>0</v>
          </cell>
          <cell r="D55" t="str">
            <v>$/ton</v>
          </cell>
          <cell r="E55">
            <v>560.88310000000001</v>
          </cell>
          <cell r="F55">
            <v>497.1802899999999</v>
          </cell>
          <cell r="G55">
            <v>608.46547999999996</v>
          </cell>
          <cell r="H55">
            <v>623.64792</v>
          </cell>
          <cell r="I55">
            <v>640.47645</v>
          </cell>
          <cell r="J55">
            <v>648.1394499999999</v>
          </cell>
          <cell r="K55">
            <v>655.36788999999999</v>
          </cell>
          <cell r="L55">
            <v>664.44902999999999</v>
          </cell>
          <cell r="M55">
            <v>691.548</v>
          </cell>
          <cell r="N55">
            <v>698.79600000000005</v>
          </cell>
          <cell r="O55">
            <v>709.93000000000006</v>
          </cell>
          <cell r="P55">
            <v>720.00599999999997</v>
          </cell>
          <cell r="Q55">
            <v>732.36599999999999</v>
          </cell>
          <cell r="R55">
            <v>742.82400000000007</v>
          </cell>
          <cell r="S55">
            <v>754.27599999999995</v>
          </cell>
          <cell r="T55">
            <v>765.92100000000005</v>
          </cell>
          <cell r="U55">
            <v>779.2170000000001</v>
          </cell>
          <cell r="V55">
            <v>791.24</v>
          </cell>
          <cell r="W55">
            <v>803.41200000000003</v>
          </cell>
          <cell r="X55">
            <v>815.20400000000006</v>
          </cell>
          <cell r="Y55">
            <v>827.53415684007712</v>
          </cell>
          <cell r="Z55">
            <v>840.05081027205131</v>
          </cell>
          <cell r="AA55">
            <v>852.75678110179228</v>
          </cell>
          <cell r="AB55">
            <v>865.65493280053795</v>
          </cell>
          <cell r="AC55">
            <v>878.74817215021847</v>
          </cell>
          <cell r="AD55">
            <v>892.0394498985404</v>
          </cell>
          <cell r="AE55">
            <v>905.53176142398058</v>
          </cell>
          <cell r="AF55">
            <v>919.22814741083641</v>
          </cell>
          <cell r="AG55">
            <v>933.13169453448756</v>
          </cell>
          <cell r="AH55">
            <v>947.24553615702268</v>
          </cell>
        </row>
        <row r="56">
          <cell r="A56" t="str">
            <v>MEG price (Western Europe)</v>
          </cell>
          <cell r="B56">
            <v>0</v>
          </cell>
          <cell r="C56">
            <v>0</v>
          </cell>
          <cell r="D56" t="str">
            <v>$/ton</v>
          </cell>
          <cell r="E56">
            <v>484.16326052190362</v>
          </cell>
          <cell r="F56">
            <v>479.73806619966626</v>
          </cell>
          <cell r="G56">
            <v>466.09303650331174</v>
          </cell>
          <cell r="H56">
            <v>473.50223528434793</v>
          </cell>
          <cell r="I56">
            <v>472.95603625930096</v>
          </cell>
          <cell r="J56">
            <v>479.99094124938068</v>
          </cell>
          <cell r="K56">
            <v>487.30418643045442</v>
          </cell>
          <cell r="L56">
            <v>494.24702588464498</v>
          </cell>
          <cell r="M56">
            <v>517.54757332743452</v>
          </cell>
          <cell r="N56">
            <v>525.44695523748794</v>
          </cell>
          <cell r="O56">
            <v>535.71741555355686</v>
          </cell>
          <cell r="P56">
            <v>545.77190434657768</v>
          </cell>
          <cell r="Q56">
            <v>555.88661259770072</v>
          </cell>
          <cell r="R56">
            <v>566.59910882585132</v>
          </cell>
          <cell r="S56">
            <v>576.80097776295861</v>
          </cell>
          <cell r="T56">
            <v>587.87144234722132</v>
          </cell>
          <cell r="U56">
            <v>599.13571767130463</v>
          </cell>
          <cell r="V56">
            <v>610.7590788611634</v>
          </cell>
          <cell r="W56">
            <v>622.67076125130927</v>
          </cell>
          <cell r="X56">
            <v>634.46736870155826</v>
          </cell>
          <cell r="Y56">
            <v>646.75324600086162</v>
          </cell>
          <cell r="Z56">
            <v>659.25687505969177</v>
          </cell>
          <cell r="AA56">
            <v>671.9814647927127</v>
          </cell>
          <cell r="AB56">
            <v>684.93024846547235</v>
          </cell>
          <cell r="AC56">
            <v>698.10648290637471</v>
          </cell>
          <cell r="AD56">
            <v>711.5134476640311</v>
          </cell>
          <cell r="AE56">
            <v>725.15444410775399</v>
          </cell>
          <cell r="AF56">
            <v>739.03279446887291</v>
          </cell>
          <cell r="AG56">
            <v>753.15184082048063</v>
          </cell>
          <cell r="AH56">
            <v>767.51494399312548</v>
          </cell>
        </row>
        <row r="57">
          <cell r="A57" t="str">
            <v>MEG price (East Asia)</v>
          </cell>
          <cell r="B57">
            <v>0</v>
          </cell>
          <cell r="C57">
            <v>0</v>
          </cell>
          <cell r="D57" t="str">
            <v>$/ton</v>
          </cell>
          <cell r="E57">
            <v>418.69645509999998</v>
          </cell>
          <cell r="F57">
            <v>397.34885999999995</v>
          </cell>
          <cell r="G57">
            <v>460.89744000000002</v>
          </cell>
          <cell r="H57">
            <v>426.81551999999999</v>
          </cell>
          <cell r="I57">
            <v>438.66795000000002</v>
          </cell>
          <cell r="J57">
            <v>443.34916999999996</v>
          </cell>
          <cell r="K57">
            <v>447.70446999999996</v>
          </cell>
          <cell r="L57">
            <v>452.87747999999999</v>
          </cell>
          <cell r="M57">
            <v>472.71900000000005</v>
          </cell>
          <cell r="N57">
            <v>477.01500000000004</v>
          </cell>
          <cell r="O57">
            <v>483.87</v>
          </cell>
          <cell r="P57">
            <v>490.85400000000004</v>
          </cell>
          <cell r="Q57">
            <v>498.91600000000005</v>
          </cell>
          <cell r="R57">
            <v>506.16</v>
          </cell>
          <cell r="S57">
            <v>515.93599999999992</v>
          </cell>
          <cell r="T57">
            <v>523.06799999999998</v>
          </cell>
          <cell r="U57">
            <v>531.75300000000004</v>
          </cell>
          <cell r="V57">
            <v>540.58000000000004</v>
          </cell>
          <cell r="W57">
            <v>549.54</v>
          </cell>
          <cell r="X57">
            <v>556.68600000000004</v>
          </cell>
          <cell r="Y57">
            <v>564.17381873239435</v>
          </cell>
          <cell r="Z57">
            <v>571.76235389985129</v>
          </cell>
          <cell r="AA57">
            <v>579.45296020934916</v>
          </cell>
          <cell r="AB57">
            <v>587.24701058962989</v>
          </cell>
          <cell r="AC57">
            <v>595.14589643629313</v>
          </cell>
          <cell r="AD57">
            <v>626.14030749390429</v>
          </cell>
          <cell r="AE57">
            <v>638.48713453017479</v>
          </cell>
          <cell r="AF57">
            <v>651.05996522607506</v>
          </cell>
          <cell r="AG57">
            <v>663.86238299768911</v>
          </cell>
          <cell r="AH57">
            <v>676.89800917961747</v>
          </cell>
        </row>
        <row r="58">
          <cell r="A58" t="str">
            <v>MEG price (West Asia)</v>
          </cell>
          <cell r="B58">
            <v>0</v>
          </cell>
          <cell r="C58">
            <v>0</v>
          </cell>
          <cell r="D58" t="str">
            <v>$/ton</v>
          </cell>
          <cell r="E58">
            <v>418.69645509999998</v>
          </cell>
          <cell r="F58">
            <v>397.34885999999995</v>
          </cell>
          <cell r="G58">
            <v>460.89744000000002</v>
          </cell>
          <cell r="H58">
            <v>426.81551999999999</v>
          </cell>
          <cell r="I58">
            <v>438.66795000000002</v>
          </cell>
          <cell r="J58">
            <v>443.34916999999996</v>
          </cell>
          <cell r="K58">
            <v>447.70446999999996</v>
          </cell>
          <cell r="L58">
            <v>452.87747999999999</v>
          </cell>
          <cell r="M58">
            <v>472.71900000000005</v>
          </cell>
          <cell r="N58">
            <v>477.01500000000004</v>
          </cell>
          <cell r="O58">
            <v>483.87</v>
          </cell>
          <cell r="P58">
            <v>490.85400000000004</v>
          </cell>
          <cell r="Q58">
            <v>498.91600000000005</v>
          </cell>
          <cell r="R58">
            <v>506.16</v>
          </cell>
          <cell r="S58">
            <v>515.93599999999992</v>
          </cell>
          <cell r="T58">
            <v>523.06799999999998</v>
          </cell>
          <cell r="U58">
            <v>531.75300000000004</v>
          </cell>
          <cell r="V58">
            <v>540.58000000000004</v>
          </cell>
          <cell r="W58">
            <v>549.54</v>
          </cell>
          <cell r="X58">
            <v>556.68600000000004</v>
          </cell>
          <cell r="Y58">
            <v>564.17381873239435</v>
          </cell>
          <cell r="Z58">
            <v>571.76235389985129</v>
          </cell>
          <cell r="AA58">
            <v>579.45296020934916</v>
          </cell>
          <cell r="AB58">
            <v>587.24701058962989</v>
          </cell>
          <cell r="AC58">
            <v>595.14589643629313</v>
          </cell>
          <cell r="AD58">
            <v>626.14030749390429</v>
          </cell>
          <cell r="AE58">
            <v>638.48713453017479</v>
          </cell>
          <cell r="AF58">
            <v>651.05996522607506</v>
          </cell>
          <cell r="AG58">
            <v>663.86238299768911</v>
          </cell>
          <cell r="AH58">
            <v>676.89800917961747</v>
          </cell>
        </row>
        <row r="59">
          <cell r="A59" t="str">
            <v>MEG price (Iran)</v>
          </cell>
          <cell r="B59">
            <v>0</v>
          </cell>
          <cell r="C59">
            <v>0</v>
          </cell>
          <cell r="D59" t="str">
            <v>$/ton</v>
          </cell>
          <cell r="E59">
            <v>418.69645509999998</v>
          </cell>
          <cell r="F59">
            <v>397.34885999999995</v>
          </cell>
          <cell r="G59">
            <v>460.89744000000002</v>
          </cell>
          <cell r="H59">
            <v>426.81551999999999</v>
          </cell>
          <cell r="I59">
            <v>438.66795000000002</v>
          </cell>
          <cell r="J59">
            <v>443.34916999999996</v>
          </cell>
          <cell r="K59">
            <v>447.70446999999996</v>
          </cell>
          <cell r="L59">
            <v>452.87747999999999</v>
          </cell>
          <cell r="M59">
            <v>472.71900000000005</v>
          </cell>
          <cell r="N59">
            <v>477.01500000000004</v>
          </cell>
          <cell r="O59">
            <v>483.87</v>
          </cell>
          <cell r="P59">
            <v>490.85400000000004</v>
          </cell>
          <cell r="Q59">
            <v>498.91600000000005</v>
          </cell>
          <cell r="R59">
            <v>506.16</v>
          </cell>
          <cell r="S59">
            <v>515.93599999999992</v>
          </cell>
          <cell r="T59">
            <v>523.06799999999998</v>
          </cell>
          <cell r="U59">
            <v>531.75300000000004</v>
          </cell>
          <cell r="V59">
            <v>540.58000000000004</v>
          </cell>
          <cell r="W59">
            <v>549.54</v>
          </cell>
          <cell r="X59">
            <v>556.68600000000004</v>
          </cell>
          <cell r="Y59">
            <v>564.17381873239435</v>
          </cell>
          <cell r="Z59">
            <v>571.76235389985129</v>
          </cell>
          <cell r="AA59">
            <v>579.45296020934916</v>
          </cell>
          <cell r="AB59">
            <v>587.24701058962989</v>
          </cell>
          <cell r="AC59">
            <v>595.14589643629313</v>
          </cell>
          <cell r="AD59">
            <v>626.14030749390429</v>
          </cell>
          <cell r="AE59">
            <v>638.48713453017479</v>
          </cell>
          <cell r="AF59">
            <v>651.05996522607506</v>
          </cell>
          <cell r="AG59">
            <v>663.86238299768911</v>
          </cell>
          <cell r="AH59">
            <v>676.89800917961747</v>
          </cell>
        </row>
        <row r="60">
          <cell r="A60" t="str">
            <v>Styrene price (Western Europe)</v>
          </cell>
          <cell r="B60">
            <v>0</v>
          </cell>
          <cell r="C60">
            <v>0</v>
          </cell>
          <cell r="D60" t="str">
            <v>$/ton</v>
          </cell>
          <cell r="E60">
            <v>587.97210304479756</v>
          </cell>
          <cell r="F60">
            <v>554.49500410845587</v>
          </cell>
          <cell r="G60">
            <v>537.03919011458345</v>
          </cell>
          <cell r="H60">
            <v>548.30309709354185</v>
          </cell>
          <cell r="I60">
            <v>563.74464231134345</v>
          </cell>
          <cell r="J60">
            <v>574.20603240267815</v>
          </cell>
          <cell r="K60">
            <v>582.59132056376382</v>
          </cell>
          <cell r="L60">
            <v>591.08804561476029</v>
          </cell>
          <cell r="M60">
            <v>618.6454608282877</v>
          </cell>
          <cell r="N60">
            <v>627.87278725387137</v>
          </cell>
          <cell r="O60">
            <v>640.42210345864532</v>
          </cell>
          <cell r="P60">
            <v>653.08803443777288</v>
          </cell>
          <cell r="Q60">
            <v>665.71677006608832</v>
          </cell>
          <cell r="R60">
            <v>679.15612927043594</v>
          </cell>
          <cell r="S60">
            <v>692.04581721398461</v>
          </cell>
          <cell r="T60">
            <v>705.8073287701153</v>
          </cell>
          <cell r="U60">
            <v>720.50817130864368</v>
          </cell>
          <cell r="V60">
            <v>735.2020851405598</v>
          </cell>
          <cell r="W60">
            <v>750.26009180149686</v>
          </cell>
          <cell r="X60">
            <v>765.19585133178259</v>
          </cell>
          <cell r="Y60">
            <v>780.75723280308512</v>
          </cell>
          <cell r="Z60">
            <v>796.61843594087031</v>
          </cell>
          <cell r="AA60">
            <v>812.78472596504275</v>
          </cell>
          <cell r="AB60">
            <v>829.26144396796076</v>
          </cell>
          <cell r="AC60">
            <v>846.05400741729659</v>
          </cell>
          <cell r="AD60">
            <v>863.18392945912819</v>
          </cell>
          <cell r="AE60">
            <v>880.65791389606761</v>
          </cell>
          <cell r="AF60">
            <v>898.48279572056185</v>
          </cell>
          <cell r="AG60">
            <v>916.66554362612135</v>
          </cell>
          <cell r="AH60">
            <v>935.21326256504722</v>
          </cell>
        </row>
        <row r="61">
          <cell r="A61" t="str">
            <v>Styrene price (East Asia)</v>
          </cell>
          <cell r="B61">
            <v>0</v>
          </cell>
          <cell r="C61">
            <v>0</v>
          </cell>
          <cell r="D61" t="str">
            <v>$/ton</v>
          </cell>
          <cell r="E61">
            <v>478.01114999999999</v>
          </cell>
          <cell r="F61">
            <v>398.33729</v>
          </cell>
          <cell r="G61">
            <v>554.89625999999998</v>
          </cell>
          <cell r="H61">
            <v>562.52627999999993</v>
          </cell>
          <cell r="I61">
            <v>570.37455</v>
          </cell>
          <cell r="J61">
            <v>575.15567999999996</v>
          </cell>
          <cell r="K61">
            <v>582.79733999999996</v>
          </cell>
          <cell r="L61">
            <v>591.25671</v>
          </cell>
          <cell r="M61">
            <v>617.79900000000009</v>
          </cell>
          <cell r="N61">
            <v>626.93400000000008</v>
          </cell>
          <cell r="O61">
            <v>637.54</v>
          </cell>
          <cell r="P61">
            <v>648.39600000000007</v>
          </cell>
          <cell r="Q61">
            <v>660.33</v>
          </cell>
          <cell r="R61">
            <v>673.05600000000004</v>
          </cell>
          <cell r="S61">
            <v>684.17599999999993</v>
          </cell>
          <cell r="T61">
            <v>696.94500000000005</v>
          </cell>
          <cell r="U61">
            <v>709.98599999999999</v>
          </cell>
          <cell r="V61">
            <v>723.29</v>
          </cell>
          <cell r="W61">
            <v>736.84800000000007</v>
          </cell>
          <cell r="X61">
            <v>750.178</v>
          </cell>
          <cell r="Y61">
            <v>764.0862370798319</v>
          </cell>
          <cell r="Z61">
            <v>778.25233170636454</v>
          </cell>
          <cell r="AA61">
            <v>792.6810645368447</v>
          </cell>
          <cell r="AB61">
            <v>807.37730486150338</v>
          </cell>
          <cell r="AC61">
            <v>822.34601224680307</v>
          </cell>
          <cell r="AD61">
            <v>837.24840594971772</v>
          </cell>
          <cell r="AE61">
            <v>852.24476632518281</v>
          </cell>
          <cell r="AF61">
            <v>867.50973375073329</v>
          </cell>
          <cell r="AG61">
            <v>883.04811937691159</v>
          </cell>
          <cell r="AH61">
            <v>898.86482052910026</v>
          </cell>
        </row>
        <row r="62">
          <cell r="A62" t="str">
            <v>Styrene price (West Asia)</v>
          </cell>
          <cell r="B62">
            <v>0</v>
          </cell>
          <cell r="C62">
            <v>0</v>
          </cell>
          <cell r="D62" t="str">
            <v>$/ton</v>
          </cell>
          <cell r="E62">
            <v>478.01114999999999</v>
          </cell>
          <cell r="F62">
            <v>398.33729</v>
          </cell>
          <cell r="G62">
            <v>554.89625999999998</v>
          </cell>
          <cell r="H62">
            <v>562.52627999999993</v>
          </cell>
          <cell r="I62">
            <v>570.37455</v>
          </cell>
          <cell r="J62">
            <v>575.15567999999996</v>
          </cell>
          <cell r="K62">
            <v>582.79733999999996</v>
          </cell>
          <cell r="L62">
            <v>591.25671</v>
          </cell>
          <cell r="M62">
            <v>617.79900000000009</v>
          </cell>
          <cell r="N62">
            <v>626.93400000000008</v>
          </cell>
          <cell r="O62">
            <v>637.54</v>
          </cell>
          <cell r="P62">
            <v>648.39600000000007</v>
          </cell>
          <cell r="Q62">
            <v>660.33</v>
          </cell>
          <cell r="R62">
            <v>673.05600000000004</v>
          </cell>
          <cell r="S62">
            <v>684.17599999999993</v>
          </cell>
          <cell r="T62">
            <v>696.94500000000005</v>
          </cell>
          <cell r="U62">
            <v>709.98599999999999</v>
          </cell>
          <cell r="V62">
            <v>723.29</v>
          </cell>
          <cell r="W62">
            <v>736.84800000000007</v>
          </cell>
          <cell r="X62">
            <v>750.178</v>
          </cell>
          <cell r="Y62">
            <v>764.0862370798319</v>
          </cell>
          <cell r="Z62">
            <v>778.25233170636454</v>
          </cell>
          <cell r="AA62">
            <v>792.6810645368447</v>
          </cell>
          <cell r="AB62">
            <v>807.37730486150338</v>
          </cell>
          <cell r="AC62">
            <v>822.34601224680307</v>
          </cell>
          <cell r="AD62">
            <v>837.24840594971772</v>
          </cell>
          <cell r="AE62">
            <v>852.24476632518281</v>
          </cell>
          <cell r="AF62">
            <v>867.50973375073329</v>
          </cell>
          <cell r="AG62">
            <v>883.04811937691159</v>
          </cell>
          <cell r="AH62">
            <v>898.86482052910026</v>
          </cell>
        </row>
        <row r="63">
          <cell r="A63" t="str">
            <v>Styrene price (Iran)</v>
          </cell>
          <cell r="B63">
            <v>0</v>
          </cell>
          <cell r="C63">
            <v>0</v>
          </cell>
          <cell r="D63" t="str">
            <v>$/ton</v>
          </cell>
          <cell r="E63">
            <v>478.01114999999999</v>
          </cell>
          <cell r="F63">
            <v>398.33729</v>
          </cell>
          <cell r="G63">
            <v>554.89625999999998</v>
          </cell>
          <cell r="H63">
            <v>562.52627999999993</v>
          </cell>
          <cell r="I63">
            <v>570.37455</v>
          </cell>
          <cell r="J63">
            <v>575.15567999999996</v>
          </cell>
          <cell r="K63">
            <v>582.79733999999996</v>
          </cell>
          <cell r="L63">
            <v>591.25671</v>
          </cell>
          <cell r="M63">
            <v>617.79900000000009</v>
          </cell>
          <cell r="N63">
            <v>626.93400000000008</v>
          </cell>
          <cell r="O63">
            <v>637.54</v>
          </cell>
          <cell r="P63">
            <v>648.39600000000007</v>
          </cell>
          <cell r="Q63">
            <v>660.33</v>
          </cell>
          <cell r="R63">
            <v>673.05600000000004</v>
          </cell>
          <cell r="S63">
            <v>684.17599999999993</v>
          </cell>
          <cell r="T63">
            <v>696.94500000000005</v>
          </cell>
          <cell r="U63">
            <v>709.98599999999999</v>
          </cell>
          <cell r="V63">
            <v>723.29</v>
          </cell>
          <cell r="W63">
            <v>736.84800000000007</v>
          </cell>
          <cell r="X63">
            <v>750.178</v>
          </cell>
          <cell r="Y63">
            <v>764.0862370798319</v>
          </cell>
          <cell r="Z63">
            <v>778.25233170636454</v>
          </cell>
          <cell r="AA63">
            <v>792.6810645368447</v>
          </cell>
          <cell r="AB63">
            <v>807.37730486150338</v>
          </cell>
          <cell r="AC63">
            <v>822.34601224680307</v>
          </cell>
          <cell r="AD63">
            <v>837.24840594971772</v>
          </cell>
          <cell r="AE63">
            <v>852.24476632518281</v>
          </cell>
          <cell r="AF63">
            <v>867.50973375073329</v>
          </cell>
          <cell r="AG63">
            <v>883.04811937691159</v>
          </cell>
          <cell r="AH63">
            <v>898.86482052910026</v>
          </cell>
        </row>
        <row r="64">
          <cell r="A64" t="str">
            <v>Benzene</v>
          </cell>
          <cell r="B64">
            <v>0</v>
          </cell>
          <cell r="C64">
            <v>0</v>
          </cell>
          <cell r="D64" t="str">
            <v>$/ton</v>
          </cell>
          <cell r="E64">
            <v>316.587470472456</v>
          </cell>
          <cell r="F64">
            <v>294.96116730371529</v>
          </cell>
          <cell r="G64">
            <v>278.86411396856647</v>
          </cell>
          <cell r="H64">
            <v>286.90276591460321</v>
          </cell>
          <cell r="I64">
            <v>306.08905690504832</v>
          </cell>
          <cell r="J64">
            <v>313.18128138622689</v>
          </cell>
          <cell r="K64">
            <v>317.38858108555405</v>
          </cell>
          <cell r="L64">
            <v>322.0445481202018</v>
          </cell>
          <cell r="M64">
            <v>326.62485810968576</v>
          </cell>
          <cell r="N64">
            <v>331.27163583777474</v>
          </cell>
          <cell r="O64">
            <v>338.62073746862728</v>
          </cell>
          <cell r="P64">
            <v>346.19968041255549</v>
          </cell>
          <cell r="Q64">
            <v>353.74166101049497</v>
          </cell>
          <cell r="R64">
            <v>361.7761461211291</v>
          </cell>
          <cell r="S64">
            <v>369.48671156452934</v>
          </cell>
          <cell r="T64">
            <v>377.70313882900223</v>
          </cell>
          <cell r="U64">
            <v>386.94872869641864</v>
          </cell>
          <cell r="V64">
            <v>395.90583672046421</v>
          </cell>
          <cell r="W64">
            <v>405.09766940999737</v>
          </cell>
          <cell r="X64">
            <v>414.26213592314485</v>
          </cell>
          <cell r="Y64">
            <v>423.82090473153897</v>
          </cell>
          <cell r="Z64">
            <v>433.60023451620657</v>
          </cell>
          <cell r="AA64">
            <v>443.60521454598853</v>
          </cell>
          <cell r="AB64">
            <v>453.84105152055054</v>
          </cell>
          <cell r="AC64">
            <v>464.31307228000571</v>
          </cell>
          <cell r="AD64">
            <v>475.02672657705966</v>
          </cell>
          <cell r="AE64">
            <v>485.98758991312076</v>
          </cell>
          <cell r="AF64">
            <v>497.20136643985109</v>
          </cell>
          <cell r="AG64">
            <v>508.67389192766905</v>
          </cell>
          <cell r="AH64">
            <v>520.41113680274668</v>
          </cell>
        </row>
        <row r="65">
          <cell r="A65" t="str">
            <v>Land Cost (unit)</v>
          </cell>
          <cell r="B65">
            <v>0</v>
          </cell>
          <cell r="C65">
            <v>0</v>
          </cell>
          <cell r="D65" t="str">
            <v>$/m2</v>
          </cell>
          <cell r="E65">
            <v>0</v>
          </cell>
          <cell r="F65">
            <v>0</v>
          </cell>
          <cell r="G65">
            <v>0</v>
          </cell>
          <cell r="H65">
            <v>0</v>
          </cell>
          <cell r="I65">
            <v>0</v>
          </cell>
          <cell r="J65">
            <v>2</v>
          </cell>
          <cell r="K65">
            <v>2</v>
          </cell>
          <cell r="L65">
            <v>2</v>
          </cell>
          <cell r="M65">
            <v>2</v>
          </cell>
          <cell r="N65">
            <v>2</v>
          </cell>
          <cell r="O65">
            <v>2</v>
          </cell>
          <cell r="P65">
            <v>2</v>
          </cell>
          <cell r="Q65">
            <v>2</v>
          </cell>
          <cell r="R65">
            <v>2</v>
          </cell>
          <cell r="S65">
            <v>2</v>
          </cell>
          <cell r="T65">
            <v>2</v>
          </cell>
          <cell r="U65">
            <v>2</v>
          </cell>
          <cell r="V65">
            <v>2</v>
          </cell>
          <cell r="W65">
            <v>2</v>
          </cell>
          <cell r="X65">
            <v>2</v>
          </cell>
          <cell r="Y65">
            <v>2</v>
          </cell>
          <cell r="Z65">
            <v>2</v>
          </cell>
          <cell r="AA65">
            <v>2</v>
          </cell>
          <cell r="AB65">
            <v>2</v>
          </cell>
          <cell r="AC65">
            <v>2</v>
          </cell>
          <cell r="AD65">
            <v>2</v>
          </cell>
          <cell r="AE65">
            <v>2</v>
          </cell>
          <cell r="AF65">
            <v>2</v>
          </cell>
          <cell r="AG65">
            <v>2</v>
          </cell>
          <cell r="AH65">
            <v>2</v>
          </cell>
        </row>
        <row r="66">
          <cell r="A66" t="str">
            <v>Land Cost</v>
          </cell>
          <cell r="B66">
            <v>0</v>
          </cell>
          <cell r="C66">
            <v>0</v>
          </cell>
          <cell r="D66" t="str">
            <v>$ million</v>
          </cell>
          <cell r="E66">
            <v>0</v>
          </cell>
          <cell r="F66">
            <v>0</v>
          </cell>
          <cell r="G66">
            <v>0</v>
          </cell>
          <cell r="H66">
            <v>0</v>
          </cell>
          <cell r="I66">
            <v>0</v>
          </cell>
          <cell r="J66">
            <v>1.7</v>
          </cell>
          <cell r="K66">
            <v>1.7</v>
          </cell>
          <cell r="L66">
            <v>1.7</v>
          </cell>
          <cell r="M66">
            <v>1.7</v>
          </cell>
          <cell r="N66">
            <v>1.7</v>
          </cell>
          <cell r="O66">
            <v>1.7</v>
          </cell>
          <cell r="P66">
            <v>1.7</v>
          </cell>
          <cell r="Q66">
            <v>1.7</v>
          </cell>
          <cell r="R66">
            <v>1.7</v>
          </cell>
          <cell r="S66">
            <v>1.7</v>
          </cell>
          <cell r="T66">
            <v>1.7</v>
          </cell>
          <cell r="U66">
            <v>1.7</v>
          </cell>
          <cell r="V66">
            <v>1.7</v>
          </cell>
          <cell r="W66">
            <v>1.7</v>
          </cell>
          <cell r="X66">
            <v>1.7</v>
          </cell>
          <cell r="Y66">
            <v>1.7</v>
          </cell>
          <cell r="Z66">
            <v>1.7</v>
          </cell>
          <cell r="AA66">
            <v>1.7</v>
          </cell>
          <cell r="AB66">
            <v>1.7</v>
          </cell>
          <cell r="AC66">
            <v>1.7</v>
          </cell>
          <cell r="AD66">
            <v>1.7</v>
          </cell>
          <cell r="AE66">
            <v>1.7</v>
          </cell>
          <cell r="AF66">
            <v>1.7</v>
          </cell>
          <cell r="AG66">
            <v>1.7</v>
          </cell>
          <cell r="AH66">
            <v>1.7</v>
          </cell>
        </row>
        <row r="67">
          <cell r="A67" t="str">
            <v>Handling Cost (Polymers)</v>
          </cell>
          <cell r="B67">
            <v>0</v>
          </cell>
          <cell r="C67">
            <v>0</v>
          </cell>
          <cell r="D67" t="str">
            <v>$/ton</v>
          </cell>
          <cell r="E67">
            <v>5</v>
          </cell>
          <cell r="F67">
            <v>5.0949999999999998</v>
          </cell>
          <cell r="G67">
            <v>5.21</v>
          </cell>
          <cell r="H67">
            <v>5.34</v>
          </cell>
          <cell r="I67">
            <v>5.4749999999999996</v>
          </cell>
          <cell r="J67">
            <v>5.6150000000000002</v>
          </cell>
          <cell r="K67">
            <v>5.7549999999999999</v>
          </cell>
          <cell r="L67">
            <v>5.8950000000000005</v>
          </cell>
          <cell r="M67">
            <v>6.0449999999999999</v>
          </cell>
          <cell r="N67">
            <v>6.1950000000000003</v>
          </cell>
          <cell r="O67">
            <v>6.35</v>
          </cell>
          <cell r="P67">
            <v>6.51</v>
          </cell>
          <cell r="Q67">
            <v>6.67</v>
          </cell>
          <cell r="R67">
            <v>6.8400000000000007</v>
          </cell>
          <cell r="S67">
            <v>7.01</v>
          </cell>
          <cell r="T67">
            <v>7.1850000000000005</v>
          </cell>
          <cell r="U67">
            <v>7.3650000000000002</v>
          </cell>
          <cell r="V67">
            <v>7.55</v>
          </cell>
          <cell r="W67">
            <v>7.74</v>
          </cell>
          <cell r="X67">
            <v>7.9300000000000006</v>
          </cell>
          <cell r="Y67">
            <v>8.1282499999999995</v>
          </cell>
          <cell r="Z67">
            <v>8.3314562500000005</v>
          </cell>
          <cell r="AA67">
            <v>8.5397426562499987</v>
          </cell>
          <cell r="AB67">
            <v>8.7532362226562483</v>
          </cell>
          <cell r="AC67">
            <v>8.972067128222653</v>
          </cell>
          <cell r="AD67">
            <v>9.1963688064282181</v>
          </cell>
          <cell r="AE67">
            <v>9.426278026588923</v>
          </cell>
          <cell r="AF67">
            <v>9.6619349772536438</v>
          </cell>
          <cell r="AG67">
            <v>9.9034833516849847</v>
          </cell>
          <cell r="AH67">
            <v>10.151070435477109</v>
          </cell>
        </row>
        <row r="68">
          <cell r="A68" t="str">
            <v>Handling Cost (Bulk Liquid)</v>
          </cell>
          <cell r="B68">
            <v>0</v>
          </cell>
          <cell r="C68">
            <v>0</v>
          </cell>
          <cell r="D68" t="str">
            <v>$/ton</v>
          </cell>
          <cell r="E68">
            <v>3</v>
          </cell>
          <cell r="F68">
            <v>3.0569999999999995</v>
          </cell>
          <cell r="G68">
            <v>3.1260000000000003</v>
          </cell>
          <cell r="H68">
            <v>3.2040000000000002</v>
          </cell>
          <cell r="I68">
            <v>3.2850000000000001</v>
          </cell>
          <cell r="J68">
            <v>3.3689999999999998</v>
          </cell>
          <cell r="K68">
            <v>3.4530000000000003</v>
          </cell>
          <cell r="L68">
            <v>3.5369999999999999</v>
          </cell>
          <cell r="M68">
            <v>3.6270000000000002</v>
          </cell>
          <cell r="N68">
            <v>3.7170000000000005</v>
          </cell>
          <cell r="O68">
            <v>3.81</v>
          </cell>
          <cell r="P68">
            <v>3.9060000000000001</v>
          </cell>
          <cell r="Q68">
            <v>4.0020000000000007</v>
          </cell>
          <cell r="R68">
            <v>4.1040000000000001</v>
          </cell>
          <cell r="S68">
            <v>4.2059999999999995</v>
          </cell>
          <cell r="T68">
            <v>4.3109999999999999</v>
          </cell>
          <cell r="U68">
            <v>4.4190000000000005</v>
          </cell>
          <cell r="V68">
            <v>4.53</v>
          </cell>
          <cell r="W68">
            <v>4.6440000000000001</v>
          </cell>
          <cell r="X68">
            <v>4.758</v>
          </cell>
          <cell r="Y68">
            <v>4.8769499999999999</v>
          </cell>
          <cell r="Z68">
            <v>4.9988737499999996</v>
          </cell>
          <cell r="AA68">
            <v>5.1238455937499996</v>
          </cell>
          <cell r="AB68">
            <v>5.2519417335937488</v>
          </cell>
          <cell r="AC68">
            <v>5.3832402769335914</v>
          </cell>
          <cell r="AD68">
            <v>5.5178212838569305</v>
          </cell>
          <cell r="AE68">
            <v>5.6557668159533536</v>
          </cell>
          <cell r="AF68">
            <v>5.7971609863521865</v>
          </cell>
          <cell r="AG68">
            <v>5.9420900110109915</v>
          </cell>
          <cell r="AH68">
            <v>6.0906422612862663</v>
          </cell>
        </row>
        <row r="69">
          <cell r="A69">
            <v>0</v>
          </cell>
          <cell r="B69">
            <v>0</v>
          </cell>
          <cell r="C69">
            <v>0</v>
          </cell>
          <cell r="D69">
            <v>0</v>
          </cell>
        </row>
        <row r="70">
          <cell r="A70">
            <v>0</v>
          </cell>
          <cell r="B70">
            <v>0</v>
          </cell>
          <cell r="C70">
            <v>0</v>
          </cell>
          <cell r="D70">
            <v>0</v>
          </cell>
        </row>
        <row r="71">
          <cell r="A71">
            <v>0</v>
          </cell>
          <cell r="B71">
            <v>0</v>
          </cell>
          <cell r="C71">
            <v>0</v>
          </cell>
          <cell r="D71">
            <v>0</v>
          </cell>
        </row>
        <row r="72">
          <cell r="A72">
            <v>0</v>
          </cell>
          <cell r="B72">
            <v>0</v>
          </cell>
          <cell r="C72">
            <v>0</v>
          </cell>
          <cell r="D72">
            <v>0</v>
          </cell>
        </row>
        <row r="73">
          <cell r="A73">
            <v>0</v>
          </cell>
          <cell r="B73">
            <v>0</v>
          </cell>
          <cell r="C73">
            <v>0</v>
          </cell>
          <cell r="D73">
            <v>0</v>
          </cell>
        </row>
        <row r="74">
          <cell r="A74" t="str">
            <v>Year</v>
          </cell>
          <cell r="B74">
            <v>0</v>
          </cell>
          <cell r="C74">
            <v>0</v>
          </cell>
          <cell r="D74">
            <v>2000</v>
          </cell>
          <cell r="E74">
            <v>2001</v>
          </cell>
          <cell r="F74">
            <v>2002</v>
          </cell>
          <cell r="G74">
            <v>2003</v>
          </cell>
          <cell r="H74">
            <v>2004</v>
          </cell>
          <cell r="I74">
            <v>2005</v>
          </cell>
          <cell r="J74">
            <v>2006</v>
          </cell>
          <cell r="K74">
            <v>2007</v>
          </cell>
          <cell r="L74">
            <v>2008</v>
          </cell>
          <cell r="M74">
            <v>2009</v>
          </cell>
          <cell r="N74">
            <v>2010</v>
          </cell>
          <cell r="O74">
            <v>2011</v>
          </cell>
          <cell r="P74">
            <v>2012</v>
          </cell>
          <cell r="Q74">
            <v>2013</v>
          </cell>
          <cell r="R74">
            <v>2014</v>
          </cell>
          <cell r="S74">
            <v>2015</v>
          </cell>
          <cell r="T74">
            <v>2016</v>
          </cell>
          <cell r="U74">
            <v>2017</v>
          </cell>
          <cell r="V74">
            <v>2018</v>
          </cell>
          <cell r="W74">
            <v>2019</v>
          </cell>
          <cell r="X74">
            <v>2020</v>
          </cell>
          <cell r="Y74">
            <v>2021</v>
          </cell>
          <cell r="Z74">
            <v>2022</v>
          </cell>
          <cell r="AA74">
            <v>2023</v>
          </cell>
          <cell r="AB74">
            <v>2024</v>
          </cell>
          <cell r="AC74">
            <v>2025</v>
          </cell>
          <cell r="AD74">
            <v>2026</v>
          </cell>
          <cell r="AE74">
            <v>2027</v>
          </cell>
          <cell r="AF74">
            <v>2028</v>
          </cell>
          <cell r="AG74">
            <v>2029</v>
          </cell>
          <cell r="AH74">
            <v>2030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rms"/>
      <sheetName val="Time series"/>
      <sheetName val="Historic prices"/>
      <sheetName val="Gr.form vs C2-50"/>
      <sheetName val="Historic prices (3)"/>
      <sheetName val="Res nieuwe form"/>
      <sheetName val="Gr.Cash costs (3)"/>
      <sheetName val="Gr.Cash costs (2)"/>
      <sheetName val="Gr.Cash costs"/>
      <sheetName val="Gr.Prijzen"/>
      <sheetName val="ICM"/>
    </sheetNames>
    <sheetDataSet>
      <sheetData sheetId="0">
        <row r="1">
          <cell r="C1">
            <v>150</v>
          </cell>
        </row>
      </sheetData>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input"/>
      <sheetName val="Report"/>
      <sheetName val="Gas Calculation"/>
      <sheetName val="Gas Cost"/>
      <sheetName val="GT Performance"/>
      <sheetName val="UB Performance"/>
      <sheetName val="STG Performance"/>
      <sheetName val="HRSG Performance"/>
      <sheetName val="Cost Calculation"/>
      <sheetName val="GT Compressore Effi"/>
      <sheetName val="CPCV"/>
      <sheetName val="Z value"/>
      <sheetName val="Sheet2"/>
    </sheetNames>
    <sheetDataSet>
      <sheetData sheetId="0">
        <row r="5">
          <cell r="G5">
            <v>6.049679027494852</v>
          </cell>
        </row>
        <row r="15">
          <cell r="G15">
            <v>50.185217913864484</v>
          </cell>
        </row>
        <row r="18">
          <cell r="G18">
            <v>0.71901691501000686</v>
          </cell>
        </row>
        <row r="19">
          <cell r="G19">
            <v>8.6798612526190677</v>
          </cell>
        </row>
        <row r="23">
          <cell r="G23">
            <v>207.80444353563033</v>
          </cell>
        </row>
        <row r="25">
          <cell r="G25">
            <v>278.26921512096624</v>
          </cell>
        </row>
        <row r="26">
          <cell r="G26">
            <v>26.522781611109789</v>
          </cell>
        </row>
        <row r="29">
          <cell r="G29">
            <v>83.32932966266732</v>
          </cell>
        </row>
        <row r="33">
          <cell r="G33">
            <v>107.8296555122278</v>
          </cell>
        </row>
        <row r="37">
          <cell r="G37">
            <v>63.198306988830446</v>
          </cell>
        </row>
        <row r="38">
          <cell r="G38">
            <v>8.2058804041947457</v>
          </cell>
        </row>
        <row r="41">
          <cell r="G41">
            <v>30.286872915626134</v>
          </cell>
        </row>
        <row r="43">
          <cell r="G43">
            <v>25.110965969918517</v>
          </cell>
        </row>
        <row r="46">
          <cell r="G46">
            <v>5.3487578656621304</v>
          </cell>
        </row>
        <row r="50">
          <cell r="G50">
            <v>979.48262602159332</v>
          </cell>
        </row>
        <row r="51">
          <cell r="G51">
            <v>1.7051292845264021</v>
          </cell>
        </row>
        <row r="53">
          <cell r="G53">
            <v>11.015625</v>
          </cell>
        </row>
        <row r="54">
          <cell r="G54">
            <v>11.015625</v>
          </cell>
        </row>
        <row r="59">
          <cell r="G59">
            <v>5.0330226560076579</v>
          </cell>
        </row>
        <row r="60">
          <cell r="G60">
            <v>0.43017213402371945</v>
          </cell>
        </row>
        <row r="62">
          <cell r="G62">
            <v>84.811322922681654</v>
          </cell>
        </row>
        <row r="63">
          <cell r="G63">
            <v>577.20553898532353</v>
          </cell>
        </row>
        <row r="66">
          <cell r="G66">
            <v>183.640625</v>
          </cell>
        </row>
        <row r="67">
          <cell r="G67">
            <v>499.9375</v>
          </cell>
        </row>
        <row r="68">
          <cell r="G68">
            <v>0</v>
          </cell>
        </row>
        <row r="70">
          <cell r="G70">
            <v>308.5625</v>
          </cell>
        </row>
        <row r="71">
          <cell r="G71">
            <v>171.125</v>
          </cell>
        </row>
        <row r="74">
          <cell r="G74">
            <v>21.8671875</v>
          </cell>
        </row>
        <row r="75">
          <cell r="G75">
            <v>135.3125</v>
          </cell>
        </row>
        <row r="76">
          <cell r="G76">
            <v>2256.5</v>
          </cell>
        </row>
        <row r="78">
          <cell r="G78">
            <v>0</v>
          </cell>
        </row>
        <row r="79">
          <cell r="G79">
            <v>0</v>
          </cell>
        </row>
        <row r="81">
          <cell r="G81">
            <v>10.675937457722618</v>
          </cell>
        </row>
        <row r="82">
          <cell r="G82">
            <v>15.700060417227711</v>
          </cell>
        </row>
        <row r="83">
          <cell r="G83">
            <v>891863.93166587455</v>
          </cell>
        </row>
        <row r="85">
          <cell r="G85">
            <v>99.375</v>
          </cell>
        </row>
        <row r="86">
          <cell r="G86">
            <v>1279.12109375</v>
          </cell>
        </row>
        <row r="87">
          <cell r="G87">
            <v>0</v>
          </cell>
        </row>
        <row r="89">
          <cell r="G89">
            <v>0</v>
          </cell>
        </row>
        <row r="90">
          <cell r="G90">
            <v>0</v>
          </cell>
        </row>
        <row r="93">
          <cell r="G93">
            <v>1999.75</v>
          </cell>
        </row>
        <row r="94">
          <cell r="G94">
            <v>2087.5</v>
          </cell>
        </row>
        <row r="97">
          <cell r="G97">
            <v>15.443359375</v>
          </cell>
        </row>
        <row r="98">
          <cell r="G98">
            <v>0</v>
          </cell>
        </row>
        <row r="99">
          <cell r="G99">
            <v>50.62109375</v>
          </cell>
        </row>
        <row r="103">
          <cell r="G103">
            <v>0</v>
          </cell>
        </row>
        <row r="107">
          <cell r="G107">
            <v>0</v>
          </cell>
        </row>
        <row r="110">
          <cell r="G110">
            <v>8.30078125E-3</v>
          </cell>
        </row>
        <row r="114">
          <cell r="G114">
            <v>1474.25</v>
          </cell>
        </row>
        <row r="118">
          <cell r="G118">
            <v>63.223397135788417</v>
          </cell>
        </row>
        <row r="121">
          <cell r="G121">
            <v>-1.5565628185868836E-2</v>
          </cell>
        </row>
        <row r="127">
          <cell r="G127">
            <v>1983.125</v>
          </cell>
        </row>
        <row r="130">
          <cell r="G130">
            <v>171.14102172851563</v>
          </cell>
        </row>
        <row r="134">
          <cell r="G134">
            <v>558.26762900164056</v>
          </cell>
        </row>
        <row r="138">
          <cell r="G138">
            <v>507.81661025106865</v>
          </cell>
        </row>
        <row r="141">
          <cell r="G141">
            <v>54.722898361482862</v>
          </cell>
        </row>
        <row r="145">
          <cell r="G145">
            <v>100.70039023660273</v>
          </cell>
        </row>
        <row r="149">
          <cell r="G149">
            <v>602.02715722892526</v>
          </cell>
        </row>
        <row r="152">
          <cell r="G152">
            <v>226.6534886287813</v>
          </cell>
        </row>
        <row r="156">
          <cell r="G156">
            <v>116.81407322073028</v>
          </cell>
        </row>
        <row r="163">
          <cell r="G163">
            <v>0</v>
          </cell>
        </row>
        <row r="167">
          <cell r="G167">
            <v>-7425.6728515625</v>
          </cell>
        </row>
        <row r="171">
          <cell r="G171">
            <v>311.78695678710938</v>
          </cell>
        </row>
        <row r="175">
          <cell r="G175">
            <v>1.750413179397583</v>
          </cell>
        </row>
        <row r="179">
          <cell r="G179">
            <v>705.379150390625</v>
          </cell>
        </row>
        <row r="186">
          <cell r="G186">
            <v>1746.6201171874998</v>
          </cell>
        </row>
        <row r="190">
          <cell r="G190">
            <v>622.453125</v>
          </cell>
        </row>
        <row r="193">
          <cell r="G193">
            <v>588.109375</v>
          </cell>
        </row>
        <row r="197">
          <cell r="G197">
            <v>108.78467358330775</v>
          </cell>
        </row>
        <row r="203">
          <cell r="G203">
            <v>12.443411354902778</v>
          </cell>
        </row>
        <row r="207">
          <cell r="G207">
            <v>43.134241766782829</v>
          </cell>
        </row>
        <row r="210">
          <cell r="G210">
            <v>0.56465283155201196</v>
          </cell>
        </row>
        <row r="211">
          <cell r="G211">
            <v>61.303378845539186</v>
          </cell>
        </row>
        <row r="214">
          <cell r="G214">
            <v>0.53616774111434595</v>
          </cell>
        </row>
        <row r="218">
          <cell r="G218">
            <v>9.4097075762079232</v>
          </cell>
        </row>
        <row r="219">
          <cell r="G219">
            <v>9.3071263999340186</v>
          </cell>
        </row>
        <row r="221">
          <cell r="G221">
            <v>6.0705947689712056E-3</v>
          </cell>
        </row>
        <row r="222">
          <cell r="G222">
            <v>7.358800261950983E-3</v>
          </cell>
        </row>
        <row r="225">
          <cell r="G225">
            <v>78.883932824385894</v>
          </cell>
        </row>
        <row r="229">
          <cell r="G229">
            <v>8.6597980266409493</v>
          </cell>
        </row>
        <row r="230">
          <cell r="G230">
            <v>9.5807316667867006</v>
          </cell>
        </row>
        <row r="235">
          <cell r="G235">
            <v>106.86949474824046</v>
          </cell>
        </row>
        <row r="240">
          <cell r="G240">
            <v>0.51852252342384741</v>
          </cell>
        </row>
        <row r="243">
          <cell r="G243">
            <v>0.46167251540624804</v>
          </cell>
        </row>
        <row r="247">
          <cell r="G247">
            <v>0.57456899696627739</v>
          </cell>
        </row>
        <row r="248">
          <cell r="G248">
            <v>9.5088304527534557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s>
    <sheetDataSet>
      <sheetData sheetId="0"/>
      <sheetData sheetId="1">
        <row r="4">
          <cell r="F4">
            <v>5.9030351638793945</v>
          </cell>
        </row>
        <row r="6">
          <cell r="F6">
            <v>23.586503982543945</v>
          </cell>
        </row>
        <row r="8">
          <cell r="F8">
            <v>19.495491027832031</v>
          </cell>
        </row>
        <row r="9">
          <cell r="F9">
            <v>20.964153289794922</v>
          </cell>
        </row>
        <row r="10">
          <cell r="F10">
            <v>36.799888610839844</v>
          </cell>
        </row>
        <row r="11">
          <cell r="F11">
            <v>377.2100830078125</v>
          </cell>
        </row>
        <row r="12">
          <cell r="F12">
            <v>4.6651096343994141</v>
          </cell>
        </row>
        <row r="13">
          <cell r="F13">
            <v>185.12338256835938</v>
          </cell>
        </row>
        <row r="14">
          <cell r="F14">
            <v>50.589202880859375</v>
          </cell>
        </row>
        <row r="16">
          <cell r="F16">
            <v>12.672587394714355</v>
          </cell>
        </row>
        <row r="17">
          <cell r="F17">
            <v>1.0044407844543457</v>
          </cell>
        </row>
        <row r="18">
          <cell r="F18">
            <v>8.4537839889526367</v>
          </cell>
        </row>
        <row r="19">
          <cell r="F19">
            <v>5.738680362701416</v>
          </cell>
        </row>
        <row r="20">
          <cell r="F20">
            <v>106.94502258300781</v>
          </cell>
        </row>
        <row r="21">
          <cell r="F21">
            <v>488.11746215820313</v>
          </cell>
        </row>
        <row r="22">
          <cell r="F22">
            <v>192.1973876953125</v>
          </cell>
        </row>
        <row r="23">
          <cell r="F23">
            <v>16.343908309936523</v>
          </cell>
        </row>
        <row r="24">
          <cell r="F24">
            <v>285.645263671875</v>
          </cell>
        </row>
        <row r="25">
          <cell r="F25">
            <v>27.780071258544922</v>
          </cell>
        </row>
        <row r="26">
          <cell r="F26">
            <v>17.54139518737793</v>
          </cell>
        </row>
        <row r="27">
          <cell r="F27">
            <v>123.22551727294922</v>
          </cell>
        </row>
        <row r="28">
          <cell r="F28">
            <v>135.520263671875</v>
          </cell>
        </row>
        <row r="29">
          <cell r="F29">
            <v>4.1246641427278519E-2</v>
          </cell>
        </row>
        <row r="30">
          <cell r="F30">
            <v>108.45578765869141</v>
          </cell>
        </row>
        <row r="31">
          <cell r="F31">
            <v>4.8699812889099121</v>
          </cell>
        </row>
        <row r="32">
          <cell r="F32">
            <v>108.94107055664063</v>
          </cell>
        </row>
        <row r="33">
          <cell r="F33">
            <v>0</v>
          </cell>
        </row>
        <row r="34">
          <cell r="F34">
            <v>0</v>
          </cell>
        </row>
        <row r="35">
          <cell r="F35">
            <v>65.135719299316406</v>
          </cell>
        </row>
        <row r="36">
          <cell r="F36">
            <v>82.543472290039063</v>
          </cell>
        </row>
        <row r="37">
          <cell r="F37">
            <v>7.9718904495239258</v>
          </cell>
        </row>
        <row r="38">
          <cell r="F38">
            <v>23.892322540283203</v>
          </cell>
        </row>
        <row r="39">
          <cell r="F39">
            <v>56.457405090332031</v>
          </cell>
        </row>
        <row r="40">
          <cell r="F40">
            <v>24.179828643798828</v>
          </cell>
        </row>
        <row r="41">
          <cell r="F41">
            <v>140.09980773925781</v>
          </cell>
        </row>
        <row r="42">
          <cell r="F42">
            <v>-2.7468752861022949</v>
          </cell>
        </row>
        <row r="43">
          <cell r="F43">
            <v>24.93293571472168</v>
          </cell>
        </row>
        <row r="44">
          <cell r="F44">
            <v>1.4989699125289917</v>
          </cell>
        </row>
        <row r="45">
          <cell r="F45">
            <v>4.6685895919799805</v>
          </cell>
        </row>
        <row r="46">
          <cell r="F46">
            <v>56.732147216796875</v>
          </cell>
        </row>
        <row r="47">
          <cell r="F47">
            <v>5.941932201385498</v>
          </cell>
        </row>
        <row r="48">
          <cell r="F48" t="str">
            <v/>
          </cell>
        </row>
        <row r="49">
          <cell r="F49">
            <v>650.099365234375</v>
          </cell>
        </row>
        <row r="50">
          <cell r="F50">
            <v>2.4776816368103027</v>
          </cell>
        </row>
        <row r="51">
          <cell r="F51">
            <v>4.7312183380126953</v>
          </cell>
        </row>
        <row r="52">
          <cell r="F52">
            <v>310.796875</v>
          </cell>
        </row>
        <row r="53">
          <cell r="F53">
            <v>236.3125</v>
          </cell>
        </row>
        <row r="54">
          <cell r="F54">
            <v>0</v>
          </cell>
        </row>
        <row r="55">
          <cell r="F55">
            <v>0</v>
          </cell>
        </row>
        <row r="56">
          <cell r="F56">
            <v>106.39232140600733</v>
          </cell>
        </row>
        <row r="57">
          <cell r="F57">
            <v>0</v>
          </cell>
        </row>
        <row r="58">
          <cell r="F58">
            <v>4.3135035661110637</v>
          </cell>
        </row>
        <row r="59">
          <cell r="F59">
            <v>16.884293820169511</v>
          </cell>
        </row>
        <row r="60">
          <cell r="F60">
            <v>52.0234375</v>
          </cell>
        </row>
        <row r="61">
          <cell r="F61">
            <v>-5.5967881469105496</v>
          </cell>
        </row>
        <row r="62">
          <cell r="F62">
            <v>15.636707744745486</v>
          </cell>
        </row>
        <row r="63">
          <cell r="F63">
            <v>55.6875</v>
          </cell>
        </row>
        <row r="64">
          <cell r="F64">
            <v>45.59375</v>
          </cell>
        </row>
        <row r="65">
          <cell r="F65">
            <v>18.390625</v>
          </cell>
        </row>
        <row r="66">
          <cell r="F66">
            <v>0.25</v>
          </cell>
        </row>
        <row r="67">
          <cell r="F67">
            <v>0</v>
          </cell>
        </row>
        <row r="68">
          <cell r="F68">
            <v>2381.5</v>
          </cell>
        </row>
        <row r="69">
          <cell r="F69">
            <v>69.78125</v>
          </cell>
        </row>
        <row r="70">
          <cell r="F70">
            <v>94.4375</v>
          </cell>
        </row>
        <row r="71">
          <cell r="F71">
            <v>143.75</v>
          </cell>
        </row>
        <row r="72">
          <cell r="F72">
            <v>122.3125</v>
          </cell>
        </row>
        <row r="73">
          <cell r="F73">
            <v>8.96875</v>
          </cell>
        </row>
        <row r="74">
          <cell r="F74">
            <v>28.09375</v>
          </cell>
        </row>
        <row r="75">
          <cell r="F75">
            <v>571.5</v>
          </cell>
        </row>
        <row r="76">
          <cell r="F76">
            <v>912.75</v>
          </cell>
        </row>
        <row r="77">
          <cell r="F77">
            <v>0</v>
          </cell>
        </row>
        <row r="78">
          <cell r="F78">
            <v>0</v>
          </cell>
        </row>
        <row r="79">
          <cell r="F79">
            <v>37.617973576066021</v>
          </cell>
        </row>
        <row r="80">
          <cell r="F80">
            <v>9.1885692313785903</v>
          </cell>
        </row>
        <row r="81">
          <cell r="F81">
            <v>13.536252332070791</v>
          </cell>
        </row>
        <row r="82">
          <cell r="F82">
            <v>796.25</v>
          </cell>
        </row>
        <row r="83">
          <cell r="F83">
            <v>-7.2764545446062255E-3</v>
          </cell>
        </row>
        <row r="84">
          <cell r="F84">
            <v>34.625</v>
          </cell>
        </row>
        <row r="85">
          <cell r="F85">
            <v>248.7265625</v>
          </cell>
        </row>
        <row r="86">
          <cell r="F86">
            <v>0</v>
          </cell>
        </row>
        <row r="87">
          <cell r="F87">
            <v>0</v>
          </cell>
        </row>
        <row r="88">
          <cell r="F88">
            <v>320.1875</v>
          </cell>
        </row>
        <row r="89">
          <cell r="F89">
            <v>72.859375</v>
          </cell>
        </row>
        <row r="90">
          <cell r="F90">
            <v>53731.535902688513</v>
          </cell>
        </row>
        <row r="91">
          <cell r="F91">
            <v>55485.947280687666</v>
          </cell>
        </row>
        <row r="92">
          <cell r="F92">
            <v>706.75</v>
          </cell>
        </row>
        <row r="93">
          <cell r="F93">
            <v>745</v>
          </cell>
        </row>
        <row r="94">
          <cell r="F94">
            <v>80.067317985528135</v>
          </cell>
        </row>
        <row r="95">
          <cell r="F95">
            <v>175.375</v>
          </cell>
        </row>
        <row r="96">
          <cell r="F96">
            <v>0</v>
          </cell>
        </row>
        <row r="97">
          <cell r="F97">
            <v>0</v>
          </cell>
        </row>
        <row r="98">
          <cell r="F98">
            <v>4.62890625</v>
          </cell>
        </row>
        <row r="99">
          <cell r="F99">
            <v>0</v>
          </cell>
        </row>
        <row r="100">
          <cell r="F100">
            <v>0</v>
          </cell>
        </row>
        <row r="101">
          <cell r="F101">
            <v>119.625</v>
          </cell>
        </row>
        <row r="102">
          <cell r="F102">
            <v>0</v>
          </cell>
        </row>
        <row r="103">
          <cell r="F103">
            <v>0.6334228515625</v>
          </cell>
        </row>
        <row r="104">
          <cell r="F104">
            <v>119.671875</v>
          </cell>
        </row>
        <row r="105">
          <cell r="F105">
            <v>0</v>
          </cell>
        </row>
        <row r="106">
          <cell r="F106">
            <v>0</v>
          </cell>
        </row>
        <row r="107">
          <cell r="F107">
            <v>88.47482881652256</v>
          </cell>
        </row>
        <row r="108">
          <cell r="F108">
            <v>9.2734375</v>
          </cell>
        </row>
        <row r="109">
          <cell r="F109">
            <v>1.708984375E-3</v>
          </cell>
        </row>
        <row r="110">
          <cell r="F110">
            <v>7.875</v>
          </cell>
        </row>
        <row r="111">
          <cell r="F111">
            <v>67.736225902880989</v>
          </cell>
        </row>
        <row r="112">
          <cell r="F112">
            <v>500.875</v>
          </cell>
        </row>
        <row r="113">
          <cell r="F113">
            <v>412.25</v>
          </cell>
        </row>
        <row r="114">
          <cell r="F114">
            <v>7.875</v>
          </cell>
        </row>
        <row r="115">
          <cell r="F115">
            <v>0</v>
          </cell>
        </row>
        <row r="116">
          <cell r="F116">
            <v>21.578125</v>
          </cell>
        </row>
        <row r="117">
          <cell r="F117">
            <v>86.980354609812238</v>
          </cell>
        </row>
        <row r="118">
          <cell r="F118">
            <v>500.75</v>
          </cell>
        </row>
        <row r="119">
          <cell r="F119">
            <v>34.40625</v>
          </cell>
        </row>
        <row r="120">
          <cell r="F120">
            <v>0</v>
          </cell>
        </row>
        <row r="121">
          <cell r="F121">
            <v>796.25</v>
          </cell>
        </row>
        <row r="122">
          <cell r="F122">
            <v>80.067317985528135</v>
          </cell>
        </row>
        <row r="123">
          <cell r="F123">
            <v>743.125</v>
          </cell>
        </row>
        <row r="124">
          <cell r="F124">
            <v>20.5390625</v>
          </cell>
        </row>
        <row r="125">
          <cell r="F125">
            <v>1.7096620006446872</v>
          </cell>
        </row>
        <row r="126">
          <cell r="F126">
            <v>672.5</v>
          </cell>
        </row>
        <row r="128">
          <cell r="F128">
            <v>17.464780616269934</v>
          </cell>
        </row>
        <row r="129">
          <cell r="F129">
            <v>497.6662125902086</v>
          </cell>
        </row>
        <row r="130">
          <cell r="F130">
            <v>522.30545621870317</v>
          </cell>
        </row>
        <row r="131">
          <cell r="F131">
            <v>19.898229630052686</v>
          </cell>
        </row>
        <row r="132">
          <cell r="F132">
            <v>23.01161350586931</v>
          </cell>
        </row>
        <row r="133">
          <cell r="F133">
            <v>495.07773117418463</v>
          </cell>
        </row>
        <row r="134">
          <cell r="F134">
            <v>508.74219505748079</v>
          </cell>
        </row>
        <row r="135">
          <cell r="F135">
            <v>17.452667438994133</v>
          </cell>
        </row>
        <row r="136">
          <cell r="F136">
            <v>17.561142020074342</v>
          </cell>
        </row>
        <row r="137">
          <cell r="F137">
            <v>47.35081548290367</v>
          </cell>
        </row>
        <row r="138">
          <cell r="F138">
            <v>47.379829946091363</v>
          </cell>
        </row>
        <row r="139">
          <cell r="F139">
            <v>14.607285307530368</v>
          </cell>
        </row>
        <row r="140">
          <cell r="F140">
            <v>16.220196464885067</v>
          </cell>
        </row>
        <row r="141">
          <cell r="F141">
            <v>86.295774588956732</v>
          </cell>
        </row>
        <row r="142">
          <cell r="F142">
            <v>97.896478464997728</v>
          </cell>
        </row>
        <row r="143">
          <cell r="F143">
            <v>17.037736060788923</v>
          </cell>
        </row>
        <row r="144">
          <cell r="F144">
            <v>25.775012746057456</v>
          </cell>
        </row>
        <row r="145">
          <cell r="F145">
            <v>634.70891136293653</v>
          </cell>
        </row>
        <row r="146">
          <cell r="F146">
            <v>0</v>
          </cell>
        </row>
        <row r="147">
          <cell r="F147">
            <v>601.6774270548816</v>
          </cell>
        </row>
        <row r="148">
          <cell r="F148">
            <v>16.090856659994639</v>
          </cell>
        </row>
        <row r="149">
          <cell r="F149">
            <v>26.693156300391919</v>
          </cell>
        </row>
        <row r="150">
          <cell r="F150">
            <v>167.33322367141059</v>
          </cell>
        </row>
        <row r="151">
          <cell r="F151">
            <v>189.75268677594627</v>
          </cell>
        </row>
        <row r="152">
          <cell r="F152">
            <v>117.31818059743114</v>
          </cell>
        </row>
        <row r="153">
          <cell r="F153">
            <v>504.4573149824102</v>
          </cell>
        </row>
        <row r="154">
          <cell r="F154">
            <v>119.77182002913368</v>
          </cell>
        </row>
        <row r="155">
          <cell r="F155">
            <v>494.612420717058</v>
          </cell>
        </row>
        <row r="156">
          <cell r="F156">
            <v>503.31900283303537</v>
          </cell>
        </row>
        <row r="157">
          <cell r="F157">
            <v>48.087251942690969</v>
          </cell>
        </row>
        <row r="158">
          <cell r="F158">
            <v>493.3318872656082</v>
          </cell>
        </row>
        <row r="159">
          <cell r="F159">
            <v>0</v>
          </cell>
        </row>
        <row r="160">
          <cell r="F160">
            <v>32730.5</v>
          </cell>
        </row>
        <row r="161">
          <cell r="F161">
            <v>39688</v>
          </cell>
        </row>
        <row r="184">
          <cell r="F184">
            <v>0</v>
          </cell>
        </row>
        <row r="185">
          <cell r="F185">
            <v>0</v>
          </cell>
        </row>
        <row r="186">
          <cell r="F186">
            <v>126.21875</v>
          </cell>
        </row>
        <row r="187">
          <cell r="F187">
            <v>165.921875</v>
          </cell>
        </row>
        <row r="191">
          <cell r="F191">
            <v>0.15382501482963562</v>
          </cell>
        </row>
        <row r="192">
          <cell r="F192">
            <v>2.549100399017334</v>
          </cell>
        </row>
        <row r="193">
          <cell r="F193">
            <v>112.22634887695313</v>
          </cell>
        </row>
        <row r="194">
          <cell r="F194">
            <v>115.85955047607422</v>
          </cell>
        </row>
        <row r="195">
          <cell r="F195">
            <v>18.826396942138672</v>
          </cell>
        </row>
        <row r="196">
          <cell r="F196">
            <v>18.388042449951172</v>
          </cell>
        </row>
        <row r="197">
          <cell r="F197">
            <v>11.650185585021973</v>
          </cell>
        </row>
        <row r="198">
          <cell r="F198">
            <v>11.283935546875</v>
          </cell>
        </row>
        <row r="199">
          <cell r="F199" t="str">
            <v/>
          </cell>
        </row>
        <row r="200">
          <cell r="F200">
            <v>36.647899627685547</v>
          </cell>
        </row>
        <row r="201">
          <cell r="F201">
            <v>36.418991088867188</v>
          </cell>
        </row>
        <row r="202">
          <cell r="F202" t="str">
            <v/>
          </cell>
        </row>
        <row r="203">
          <cell r="F203">
            <v>0</v>
          </cell>
        </row>
        <row r="204">
          <cell r="F204">
            <v>7.3707825504243374E-3</v>
          </cell>
        </row>
        <row r="205">
          <cell r="F205">
            <v>72.517509460449219</v>
          </cell>
        </row>
        <row r="206">
          <cell r="F206">
            <v>119.12283325195313</v>
          </cell>
        </row>
        <row r="207">
          <cell r="F207">
            <v>0.99908441305160522</v>
          </cell>
        </row>
        <row r="208">
          <cell r="F208">
            <v>0.6031680703163147</v>
          </cell>
        </row>
        <row r="209">
          <cell r="F209">
            <v>0.62935495376586914</v>
          </cell>
        </row>
        <row r="210">
          <cell r="F210">
            <v>7.8598179817199707</v>
          </cell>
        </row>
        <row r="211">
          <cell r="F211">
            <v>9.8262147903442383</v>
          </cell>
        </row>
        <row r="212">
          <cell r="F212">
            <v>9.5390748977661133</v>
          </cell>
        </row>
        <row r="213">
          <cell r="F213">
            <v>9.3589706420898438</v>
          </cell>
        </row>
        <row r="214">
          <cell r="F214">
            <v>8.6435014382004738E-3</v>
          </cell>
        </row>
        <row r="215">
          <cell r="F215">
            <v>2.0326878875494003E-3</v>
          </cell>
        </row>
        <row r="216">
          <cell r="F216">
            <v>1.0602939873933792E-2</v>
          </cell>
        </row>
        <row r="217">
          <cell r="F217">
            <v>9.2615475878119469E-3</v>
          </cell>
        </row>
        <row r="218">
          <cell r="F218">
            <v>31.543285369873047</v>
          </cell>
        </row>
        <row r="219">
          <cell r="F219">
            <v>31.199926376342773</v>
          </cell>
        </row>
        <row r="220">
          <cell r="F220">
            <v>39.692348480224609</v>
          </cell>
        </row>
        <row r="221">
          <cell r="F221">
            <v>35.274459838867188</v>
          </cell>
        </row>
        <row r="222">
          <cell r="F222">
            <v>7.6015195846557617</v>
          </cell>
        </row>
        <row r="223">
          <cell r="F223">
            <v>8.0033884048461914</v>
          </cell>
        </row>
        <row r="224">
          <cell r="F224">
            <v>9.8166007995605469</v>
          </cell>
        </row>
        <row r="225">
          <cell r="F225">
            <v>9.7352018356323242</v>
          </cell>
        </row>
        <row r="227">
          <cell r="F227" t="str">
            <v/>
          </cell>
        </row>
        <row r="229">
          <cell r="F229">
            <v>106.83514404296875</v>
          </cell>
        </row>
        <row r="230">
          <cell r="F230">
            <v>8.296629786491394E-2</v>
          </cell>
        </row>
        <row r="231">
          <cell r="F231">
            <v>9.7422513961791992</v>
          </cell>
        </row>
        <row r="232">
          <cell r="F232" t="str">
            <v/>
          </cell>
        </row>
        <row r="233">
          <cell r="F233">
            <v>9.1562513262033463E-3</v>
          </cell>
        </row>
        <row r="234">
          <cell r="F234">
            <v>0.50249505043029785</v>
          </cell>
        </row>
        <row r="235">
          <cell r="F235">
            <v>9.6525201797485352</v>
          </cell>
        </row>
        <row r="236">
          <cell r="F236">
            <v>7.0855650901794434</v>
          </cell>
        </row>
        <row r="237">
          <cell r="F237">
            <v>0.9996795654296875</v>
          </cell>
        </row>
        <row r="238">
          <cell r="F238">
            <v>0</v>
          </cell>
        </row>
        <row r="239">
          <cell r="F239">
            <v>0.99940484762191772</v>
          </cell>
        </row>
        <row r="240">
          <cell r="F240">
            <v>7.0291624069213867</v>
          </cell>
        </row>
        <row r="241">
          <cell r="F241">
            <v>0.64226526021957397</v>
          </cell>
        </row>
        <row r="242">
          <cell r="F242">
            <v>9.674952507019043</v>
          </cell>
        </row>
        <row r="243">
          <cell r="F243">
            <v>18147.517578125</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cenario Phenol"/>
      <sheetName val="Background and Option Evaluated"/>
      <sheetName val="Dashboard"/>
      <sheetName val="Sheet3"/>
      <sheetName val="Financial Model (84 Months)"/>
      <sheetName val="Products Output"/>
      <sheetName val="Feed"/>
      <sheetName val="Financial Model High Propane"/>
      <sheetName val="Financial Model Base Case"/>
      <sheetName val="Net Change in Margin"/>
      <sheetName val="Cracker Yields"/>
      <sheetName val="Capex"/>
      <sheetName val="Opex PVC"/>
      <sheetName val="Cashflow 350 KTPA"/>
      <sheetName val="Cashflow 500 KTPA"/>
      <sheetName val="Cashflow 500 KT EDC VCMCracking"/>
      <sheetName val="Cashflow - PVC Phenol"/>
      <sheetName val="Sales"/>
      <sheetName val="Salaries &amp; Wages Calculations"/>
      <sheetName val="Profitability"/>
      <sheetName val="Sensitivity-Profitability"/>
      <sheetName val="Cashflow Phenol"/>
      <sheetName val="Annual COP"/>
      <sheetName val="Opex Phenol"/>
      <sheetName val="Profitability - Current"/>
      <sheetName val=" Break EvenPoint"/>
      <sheetName val="BEP Sensitivity-350 KTPA"/>
      <sheetName val="BEP Sensitivity-500 KTPA"/>
      <sheetName val=" Profitabilty_PVC Phenol (2 (3)"/>
      <sheetName val=" Profitabilty_PVC Phenol (3)"/>
      <sheetName val=" Profitabilty_PVC Phenol"/>
      <sheetName val="Sensitivity_PVC Phenol"/>
      <sheetName val="Cashflow Current"/>
      <sheetName val="Sensitivity-Profit Current Case"/>
      <sheetName val="Sensitivity Current Case"/>
      <sheetName val=" Profitabilty_PVC Phenol 1"/>
      <sheetName val="DSCR-350 KTPA"/>
      <sheetName val="DSCR-PVC+Phenol"/>
      <sheetName val=" Means of Fin"/>
      <sheetName val="Interest Calculation"/>
      <sheetName val="Requirement"/>
      <sheetName val="Working Sheet"/>
      <sheetName val="Basis"/>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1">
          <cell r="D21">
            <v>4159.4497678079997</v>
          </cell>
        </row>
      </sheetData>
      <sheetData sheetId="13" refreshError="1">
        <row r="4">
          <cell r="A4" t="str">
            <v>Ethylene</v>
          </cell>
          <cell r="B4">
            <v>161200</v>
          </cell>
        </row>
        <row r="5">
          <cell r="A5" t="str">
            <v xml:space="preserve">Chlorine </v>
          </cell>
          <cell r="B5">
            <v>206500</v>
          </cell>
        </row>
        <row r="6">
          <cell r="A6" t="str">
            <v>Oxygen</v>
          </cell>
          <cell r="B6">
            <v>49000</v>
          </cell>
        </row>
        <row r="7">
          <cell r="A7" t="str">
            <v>EDC</v>
          </cell>
          <cell r="B7">
            <v>0</v>
          </cell>
        </row>
        <row r="62">
          <cell r="A62" t="str">
            <v>Capacity for 350 KTPA PVC Resin and 200 KTPA Phenol + 123 KTPA Acetone</v>
          </cell>
        </row>
      </sheetData>
      <sheetData sheetId="14" refreshError="1">
        <row r="8">
          <cell r="G8">
            <v>4159.4497678079997</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row r="14">
          <cell r="H14">
            <v>1208.4839999999999</v>
          </cell>
        </row>
        <row r="19">
          <cell r="H19">
            <v>1492.8133499999997</v>
          </cell>
          <cell r="I19">
            <v>1747.5478779</v>
          </cell>
          <cell r="J19">
            <v>1843.9946134319157</v>
          </cell>
          <cell r="K19">
            <v>1945.8060715050281</v>
          </cell>
          <cell r="L19">
            <v>2053.2826212363971</v>
          </cell>
          <cell r="M19">
            <v>2166.7415407162739</v>
          </cell>
          <cell r="N19">
            <v>2286.5179731084486</v>
          </cell>
          <cell r="O19">
            <v>2412.9659370067416</v>
          </cell>
          <cell r="P19">
            <v>2546.4593941353946</v>
          </cell>
          <cell r="Q19">
            <v>2687.3933776573294</v>
          </cell>
          <cell r="R19">
            <v>2836.1851845403676</v>
          </cell>
          <cell r="S19">
            <v>2993.2756356284244</v>
          </cell>
          <cell r="T19">
            <v>3159.1304072727207</v>
          </cell>
          <cell r="U19">
            <v>3334.241438598091</v>
          </cell>
          <cell r="V19">
            <v>3519.1284187120127</v>
          </cell>
          <cell r="W19">
            <v>3714.3403584098546</v>
          </cell>
          <cell r="X19">
            <v>3920.45725118974</v>
          </cell>
          <cell r="Y19">
            <v>4138.0918286652459</v>
          </cell>
          <cell r="Z19">
            <v>4367.8914157545842</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ing"/>
      <sheetName val="Cover Page"/>
      <sheetName val="ScenarioCacu"/>
      <sheetName val="Dashboard"/>
      <sheetName val="Sheet2"/>
      <sheetName val="Scenario"/>
      <sheetName val="Yield Calculation"/>
      <sheetName val="Annual COP"/>
      <sheetName val="Opex"/>
      <sheetName val="Capex"/>
      <sheetName val="Financials - 1st"/>
      <sheetName val="Financials - 2nd"/>
      <sheetName val="Financials - 3rd"/>
      <sheetName val="Financials - 4th"/>
      <sheetName val="Raw Material -Pricing Sheet"/>
      <sheetName val="Working Sheet"/>
      <sheetName val="Salaries &amp; Wages Calculations"/>
      <sheetName val="Basis"/>
      <sheetName val="Equipment Cost "/>
    </sheetNames>
    <sheetDataSet>
      <sheetData sheetId="0"/>
      <sheetData sheetId="1"/>
      <sheetData sheetId="2"/>
      <sheetData sheetId="3"/>
      <sheetData sheetId="4">
        <row r="2">
          <cell r="D2" t="str">
            <v>Financials</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cenario Phenol"/>
      <sheetName val="Sheet3"/>
      <sheetName val="Dashboard"/>
      <sheetName val="Opex PVC"/>
      <sheetName val="Capex"/>
      <sheetName val="Cashflow 350 KTPA"/>
      <sheetName val="Cashflow 500 KTPA"/>
      <sheetName val="Cashflow 500 KT EDC VCMCracking"/>
      <sheetName val="Cashflow - PVC Phenol"/>
      <sheetName val="Sensitivity-Profitability"/>
      <sheetName val="Sensitivity-350 KTPA"/>
      <sheetName val="Sensitivity-500 KTPA"/>
      <sheetName val="Cashflow Phenol"/>
      <sheetName val="Background and Option Evaluated"/>
      <sheetName val="Financial Model (84 Months)"/>
      <sheetName val="Products Output"/>
      <sheetName val="Feed"/>
      <sheetName val="Annual COP"/>
      <sheetName val="Financial Model High Propane"/>
      <sheetName val="Financial Model Base Case"/>
      <sheetName val="Net Change in Margin"/>
      <sheetName val="Cracker Yields"/>
      <sheetName val="Opex Phenol"/>
      <sheetName val="Sales"/>
      <sheetName val="Working Sheet"/>
      <sheetName val="Profitability"/>
      <sheetName val="Profitability - Current"/>
      <sheetName val=" Break EvenPoint"/>
      <sheetName val="Cashflow Current"/>
      <sheetName val="Sensitivity-Profit Current Case"/>
      <sheetName val="Sensitivity Current Case"/>
      <sheetName val=" Profitabilty_PVC Phenol"/>
      <sheetName val="Sensitivity_PVC Phenol"/>
      <sheetName val="DSCR-350 KTPA"/>
      <sheetName val="DSCR-PVC+Phenol"/>
      <sheetName val=" Means of Fin"/>
      <sheetName val="Interest Calculation"/>
      <sheetName val="Requirement"/>
      <sheetName val="Salaries &amp; Wages Calculations"/>
      <sheetName val="Basis"/>
      <sheetName val="Sheet1"/>
    </sheetNames>
    <sheetDataSet>
      <sheetData sheetId="0" refreshError="1"/>
      <sheetData sheetId="1" refreshError="1"/>
      <sheetData sheetId="2">
        <row r="2">
          <cell r="B2" t="str">
            <v>INR Crore</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Dashboard"/>
      <sheetName val="Sheet3"/>
      <sheetName val="Background and Option Evaluated"/>
      <sheetName val="Feed"/>
      <sheetName val="Cracker Yields"/>
      <sheetName val="Financial Model (84 Months)"/>
      <sheetName val="Financial Model Base Case"/>
      <sheetName val="Financial Model Prop. Fur. Add."/>
      <sheetName val="Financial Model Eth. Fur. Add."/>
      <sheetName val="Net Change in Margin"/>
      <sheetName val="Products Output"/>
      <sheetName val="Scenario Phenol"/>
      <sheetName val="Capex"/>
      <sheetName val="Opex PVC"/>
      <sheetName val="Sales"/>
      <sheetName val="Cashflow 350 KTPA"/>
      <sheetName val="Cashflow 500 KTPA"/>
      <sheetName val="Cashflow 500KT EDC VCM Cracking"/>
      <sheetName val="Cashflow - PVC Phenol Propane"/>
      <sheetName val="Cashflow - PVC Phenol Ethane"/>
      <sheetName val="Cashflow Phenol Option 1"/>
      <sheetName val="Opex Phenol"/>
      <sheetName val="Salaries &amp; Wages Calculations"/>
      <sheetName val="Profitability"/>
      <sheetName val="Sensitivity-Profitability"/>
      <sheetName val="Annual COP"/>
      <sheetName val="Profitability - Current"/>
      <sheetName val=" Break EvenPoint"/>
      <sheetName val="BEP Sensitivity-350 KTPA"/>
      <sheetName val="BEP Sensitivity-500 KTPA"/>
      <sheetName val=" Profitabilty_PVC Phenol (2 (3)"/>
      <sheetName val=" Profitabilty_PVC Phenol (3)"/>
      <sheetName val=" Profitabilty_PVC Phenol"/>
      <sheetName val="Sensitivity_PVC Phenol"/>
      <sheetName val="Cashflow Current"/>
      <sheetName val="Sensitivity-Profit Current Case"/>
      <sheetName val="Sensitivity Current Case"/>
      <sheetName val=" Profitabilty_PVC Phenol 1"/>
      <sheetName val="DSCR-350 KTPA"/>
      <sheetName val="DSCR-PVC+Phenol"/>
      <sheetName val=" Means of Fin"/>
      <sheetName val="Interest Calculation"/>
      <sheetName val="Requirement"/>
      <sheetName val="Working Sheet"/>
      <sheetName val="Basis"/>
      <sheetName val="Sheet1"/>
    </sheetNames>
    <sheetDataSet>
      <sheetData sheetId="0"/>
      <sheetData sheetId="1"/>
      <sheetData sheetId="2"/>
      <sheetData sheetId="3"/>
      <sheetData sheetId="4"/>
      <sheetData sheetId="5"/>
      <sheetData sheetId="6"/>
      <sheetData sheetId="7"/>
      <sheetData sheetId="8">
        <row r="57">
          <cell r="CM57">
            <v>74749.509166666656</v>
          </cell>
        </row>
        <row r="69">
          <cell r="CM69">
            <v>37679.592030365828</v>
          </cell>
        </row>
      </sheetData>
      <sheetData sheetId="9"/>
      <sheetData sheetId="10"/>
      <sheetData sheetId="11"/>
      <sheetData sheetId="12"/>
      <sheetData sheetId="13">
        <row r="1">
          <cell r="A1" t="str">
            <v>Capacity for 350 KTPA PVC Plant using Captive Ethylene</v>
          </cell>
          <cell r="E1" t="str">
            <v>Capacity for 500 KTPA PVC Plant (350 KTPA from captive Ethylene and 150 KTPA EDC / VCM Outsourced)</v>
          </cell>
          <cell r="I1" t="str">
            <v>Capacity for 500 KTPA PVC Resin (EDC / VCM to PVC Plant (EDC / VCM Outsourced)</v>
          </cell>
        </row>
        <row r="21">
          <cell r="H21">
            <v>6053.4501838079996</v>
          </cell>
          <cell r="L21">
            <v>4427.5</v>
          </cell>
        </row>
      </sheetData>
      <sheetData sheetId="14"/>
      <sheetData sheetId="15">
        <row r="5">
          <cell r="E5">
            <v>2616.2328208333329</v>
          </cell>
        </row>
        <row r="9">
          <cell r="E9">
            <v>3737.4754583333329</v>
          </cell>
        </row>
      </sheetData>
      <sheetData sheetId="16"/>
      <sheetData sheetId="17"/>
      <sheetData sheetId="18"/>
      <sheetData sheetId="19"/>
      <sheetData sheetId="20"/>
      <sheetData sheetId="21"/>
      <sheetData sheetId="22">
        <row r="4">
          <cell r="D4">
            <v>1393.2271899666821</v>
          </cell>
        </row>
      </sheetData>
      <sheetData sheetId="23">
        <row r="8">
          <cell r="D8">
            <v>26.91</v>
          </cell>
          <cell r="I8">
            <v>30.68</v>
          </cell>
        </row>
      </sheetData>
      <sheetData sheetId="24"/>
      <sheetData sheetId="25"/>
      <sheetData sheetId="26">
        <row r="10">
          <cell r="P10">
            <v>27800</v>
          </cell>
        </row>
        <row r="11">
          <cell r="P11">
            <v>5550</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eds prices (csv)"/>
      <sheetName val="Price PoInts"/>
      <sheetName val=" 2014 Onwards"/>
      <sheetName val="$ to INR"/>
    </sheetNames>
    <sheetDataSet>
      <sheetData sheetId="0" refreshError="1"/>
      <sheetData sheetId="1"/>
      <sheetData sheetId="2"/>
      <sheetData sheetId="3">
        <row r="3">
          <cell r="R3">
            <v>40575</v>
          </cell>
          <cell r="S3">
            <v>45.228749999999998</v>
          </cell>
        </row>
        <row r="4">
          <cell r="R4">
            <v>40603</v>
          </cell>
          <cell r="S4">
            <v>44.797500000000007</v>
          </cell>
        </row>
        <row r="5">
          <cell r="R5">
            <v>40634</v>
          </cell>
          <cell r="S5">
            <v>44.199999999999996</v>
          </cell>
        </row>
        <row r="6">
          <cell r="R6">
            <v>40664</v>
          </cell>
          <cell r="S6">
            <v>44.911000000000001</v>
          </cell>
        </row>
        <row r="7">
          <cell r="R7">
            <v>40695</v>
          </cell>
          <cell r="S7">
            <v>44.78875</v>
          </cell>
        </row>
        <row r="8">
          <cell r="R8">
            <v>40725</v>
          </cell>
          <cell r="S8">
            <v>44.435000000000002</v>
          </cell>
        </row>
        <row r="9">
          <cell r="R9">
            <v>40756</v>
          </cell>
          <cell r="S9">
            <v>45.753749999999997</v>
          </cell>
        </row>
        <row r="10">
          <cell r="R10">
            <v>40787</v>
          </cell>
          <cell r="S10">
            <v>48.047499999999999</v>
          </cell>
        </row>
        <row r="11">
          <cell r="R11">
            <v>40817</v>
          </cell>
          <cell r="S11">
            <v>49.106000000000002</v>
          </cell>
        </row>
        <row r="12">
          <cell r="R12">
            <v>40848</v>
          </cell>
          <cell r="S12">
            <v>51.122500000000002</v>
          </cell>
        </row>
        <row r="13">
          <cell r="R13">
            <v>40878</v>
          </cell>
          <cell r="S13">
            <v>52.545000000000002</v>
          </cell>
        </row>
        <row r="14">
          <cell r="R14">
            <v>40909</v>
          </cell>
          <cell r="S14">
            <v>50.471000000000004</v>
          </cell>
        </row>
        <row r="15">
          <cell r="R15">
            <v>40940</v>
          </cell>
          <cell r="S15">
            <v>49.306249999999999</v>
          </cell>
        </row>
        <row r="16">
          <cell r="R16">
            <v>40969</v>
          </cell>
          <cell r="S16">
            <v>50.487499999999997</v>
          </cell>
        </row>
        <row r="17">
          <cell r="R17">
            <v>41000</v>
          </cell>
          <cell r="S17">
            <v>52.152000000000008</v>
          </cell>
        </row>
        <row r="18">
          <cell r="R18">
            <v>41030</v>
          </cell>
          <cell r="S18">
            <v>54.745000000000005</v>
          </cell>
        </row>
        <row r="19">
          <cell r="R19">
            <v>41061</v>
          </cell>
          <cell r="S19">
            <v>55.863749999999996</v>
          </cell>
        </row>
        <row r="20">
          <cell r="R20">
            <v>41091</v>
          </cell>
          <cell r="S20">
            <v>55.378</v>
          </cell>
        </row>
        <row r="21">
          <cell r="R21">
            <v>41122</v>
          </cell>
          <cell r="S21">
            <v>55.512500000000003</v>
          </cell>
        </row>
        <row r="22">
          <cell r="R22">
            <v>41153</v>
          </cell>
          <cell r="S22">
            <v>53.561</v>
          </cell>
        </row>
        <row r="23">
          <cell r="R23">
            <v>41183</v>
          </cell>
          <cell r="S23">
            <v>53.506250000000001</v>
          </cell>
        </row>
        <row r="24">
          <cell r="R24">
            <v>41214</v>
          </cell>
          <cell r="S24">
            <v>54.868749999999991</v>
          </cell>
        </row>
        <row r="25">
          <cell r="R25">
            <v>41244</v>
          </cell>
          <cell r="S25">
            <v>54.710999999999991</v>
          </cell>
        </row>
        <row r="26">
          <cell r="R26">
            <v>41275</v>
          </cell>
          <cell r="S26">
            <v>53.897500000000008</v>
          </cell>
        </row>
        <row r="27">
          <cell r="R27">
            <v>41306</v>
          </cell>
          <cell r="S27">
            <v>54.276249999999997</v>
          </cell>
        </row>
        <row r="28">
          <cell r="R28">
            <v>41334</v>
          </cell>
          <cell r="S28">
            <v>54.364999999999995</v>
          </cell>
        </row>
        <row r="29">
          <cell r="R29">
            <v>41365</v>
          </cell>
          <cell r="S29">
            <v>54.162500000000001</v>
          </cell>
        </row>
        <row r="30">
          <cell r="R30">
            <v>41395</v>
          </cell>
          <cell r="S30">
            <v>55.526250000000005</v>
          </cell>
        </row>
        <row r="31">
          <cell r="R31">
            <v>41426</v>
          </cell>
          <cell r="S31">
            <v>58.721600000000002</v>
          </cell>
        </row>
        <row r="32">
          <cell r="R32">
            <v>41456</v>
          </cell>
          <cell r="S32">
            <v>59.845499999999994</v>
          </cell>
        </row>
        <row r="33">
          <cell r="R33">
            <v>41487</v>
          </cell>
          <cell r="S33">
            <v>62.813749999999999</v>
          </cell>
        </row>
        <row r="34">
          <cell r="R34">
            <v>41518</v>
          </cell>
          <cell r="S34">
            <v>62.962000000000003</v>
          </cell>
        </row>
        <row r="35">
          <cell r="R35">
            <v>41548</v>
          </cell>
          <cell r="S35">
            <v>61.368750000000006</v>
          </cell>
        </row>
        <row r="36">
          <cell r="R36">
            <v>41579</v>
          </cell>
          <cell r="S36">
            <v>62.647999999999996</v>
          </cell>
        </row>
        <row r="37">
          <cell r="R37">
            <v>41609</v>
          </cell>
          <cell r="S37">
            <v>61.951999999999998</v>
          </cell>
        </row>
        <row r="38">
          <cell r="R38">
            <v>41640</v>
          </cell>
          <cell r="S38">
            <v>62.207999999999998</v>
          </cell>
        </row>
        <row r="39">
          <cell r="R39">
            <v>41671</v>
          </cell>
          <cell r="S39">
            <v>62.023750000000007</v>
          </cell>
        </row>
        <row r="40">
          <cell r="R40">
            <v>41699</v>
          </cell>
          <cell r="S40">
            <v>60.632999999999996</v>
          </cell>
        </row>
        <row r="41">
          <cell r="R41">
            <v>41730</v>
          </cell>
          <cell r="S41">
            <v>60.326250000000002</v>
          </cell>
        </row>
        <row r="42">
          <cell r="R42">
            <v>41760</v>
          </cell>
          <cell r="S42">
            <v>59.067500000000003</v>
          </cell>
        </row>
        <row r="43">
          <cell r="R43">
            <v>41791</v>
          </cell>
          <cell r="S43">
            <v>59.766000000000005</v>
          </cell>
        </row>
        <row r="44">
          <cell r="R44">
            <v>41821</v>
          </cell>
          <cell r="S44">
            <v>60.41375</v>
          </cell>
        </row>
        <row r="45">
          <cell r="R45">
            <v>41852</v>
          </cell>
          <cell r="S45">
            <v>60.661999999999999</v>
          </cell>
        </row>
        <row r="46">
          <cell r="R46">
            <v>41883</v>
          </cell>
          <cell r="S46">
            <v>61.051249999999996</v>
          </cell>
        </row>
        <row r="47">
          <cell r="R47">
            <v>41913</v>
          </cell>
          <cell r="S47">
            <v>61.306249999999999</v>
          </cell>
        </row>
        <row r="48">
          <cell r="R48">
            <v>41944</v>
          </cell>
          <cell r="S48">
            <v>61.826000000000001</v>
          </cell>
        </row>
        <row r="49">
          <cell r="R49">
            <v>41974</v>
          </cell>
          <cell r="S49">
            <v>63.154249999999998</v>
          </cell>
        </row>
        <row r="50">
          <cell r="R50">
            <v>42005</v>
          </cell>
          <cell r="S50">
            <v>61.921250000000001</v>
          </cell>
        </row>
        <row r="51">
          <cell r="R51">
            <v>42036</v>
          </cell>
          <cell r="S51">
            <v>61.953499999999998</v>
          </cell>
        </row>
        <row r="52">
          <cell r="R52">
            <v>42064</v>
          </cell>
          <cell r="S52">
            <v>62.487199999999994</v>
          </cell>
        </row>
        <row r="53">
          <cell r="R53">
            <v>42095</v>
          </cell>
          <cell r="S53">
            <v>63.051749999999998</v>
          </cell>
        </row>
        <row r="54">
          <cell r="R54">
            <v>42125</v>
          </cell>
          <cell r="S54">
            <v>63.630800000000001</v>
          </cell>
        </row>
        <row r="55">
          <cell r="R55">
            <v>42156</v>
          </cell>
          <cell r="S55">
            <v>63.615749999999998</v>
          </cell>
        </row>
        <row r="56">
          <cell r="R56">
            <v>42186</v>
          </cell>
          <cell r="S56">
            <v>63.735999999999997</v>
          </cell>
        </row>
        <row r="57">
          <cell r="R57">
            <v>42217</v>
          </cell>
          <cell r="S57">
            <v>65.54740000000001</v>
          </cell>
        </row>
        <row r="58">
          <cell r="R58">
            <v>42248</v>
          </cell>
          <cell r="S58">
            <v>65.910750000000007</v>
          </cell>
        </row>
        <row r="59">
          <cell r="R59">
            <v>42278</v>
          </cell>
          <cell r="S59">
            <v>64.9495</v>
          </cell>
        </row>
        <row r="60">
          <cell r="R60">
            <v>42309</v>
          </cell>
          <cell r="S60">
            <v>66.361400000000003</v>
          </cell>
        </row>
        <row r="61">
          <cell r="R61">
            <v>42339</v>
          </cell>
          <cell r="S61">
            <v>66.415750000000003</v>
          </cell>
        </row>
        <row r="62">
          <cell r="R62">
            <v>42370</v>
          </cell>
          <cell r="S62">
            <v>67.57180000000001</v>
          </cell>
        </row>
        <row r="63">
          <cell r="R63">
            <v>42401</v>
          </cell>
          <cell r="S63">
            <v>68.084500000000006</v>
          </cell>
        </row>
        <row r="64">
          <cell r="R64">
            <v>42430</v>
          </cell>
          <cell r="S64">
            <v>66.624750000000006</v>
          </cell>
        </row>
        <row r="65">
          <cell r="R65">
            <v>42461</v>
          </cell>
          <cell r="S65">
            <v>66.573999999999998</v>
          </cell>
        </row>
        <row r="66">
          <cell r="R66">
            <v>42491</v>
          </cell>
          <cell r="S66">
            <v>66.978800000000007</v>
          </cell>
        </row>
        <row r="67">
          <cell r="R67">
            <v>42522</v>
          </cell>
          <cell r="S67">
            <v>67.27525</v>
          </cell>
        </row>
        <row r="68">
          <cell r="R68">
            <v>42552</v>
          </cell>
          <cell r="S68">
            <v>66.986199999999997</v>
          </cell>
        </row>
        <row r="69">
          <cell r="R69">
            <v>42583</v>
          </cell>
          <cell r="S69">
            <v>66.994</v>
          </cell>
        </row>
        <row r="70">
          <cell r="R70">
            <v>42614</v>
          </cell>
          <cell r="S70">
            <v>66.808250000000001</v>
          </cell>
        </row>
        <row r="71">
          <cell r="R71">
            <v>42644</v>
          </cell>
          <cell r="S71">
            <v>66.763800000000003</v>
          </cell>
        </row>
        <row r="72">
          <cell r="R72">
            <v>42675</v>
          </cell>
          <cell r="S72">
            <v>68.07650000000001</v>
          </cell>
        </row>
        <row r="73">
          <cell r="R73">
            <v>42705</v>
          </cell>
          <cell r="S73">
            <v>67.77924999999999</v>
          </cell>
        </row>
        <row r="74">
          <cell r="R74">
            <v>42736</v>
          </cell>
          <cell r="S74">
            <v>67.931799999999996</v>
          </cell>
        </row>
        <row r="75">
          <cell r="R75">
            <v>42767</v>
          </cell>
          <cell r="S75">
            <v>66.839750000000009</v>
          </cell>
        </row>
        <row r="76">
          <cell r="R76">
            <v>42795</v>
          </cell>
          <cell r="S76">
            <v>65.578749999999999</v>
          </cell>
        </row>
        <row r="77">
          <cell r="R77">
            <v>42826</v>
          </cell>
          <cell r="S77">
            <v>64.400999999999996</v>
          </cell>
        </row>
        <row r="78">
          <cell r="R78">
            <v>42856</v>
          </cell>
          <cell r="S78">
            <v>64.433250000000001</v>
          </cell>
        </row>
        <row r="79">
          <cell r="R79">
            <v>42887</v>
          </cell>
          <cell r="S79">
            <v>64.458750000000009</v>
          </cell>
        </row>
        <row r="80">
          <cell r="R80">
            <v>42917</v>
          </cell>
          <cell r="S80">
            <v>64.244800000000012</v>
          </cell>
        </row>
        <row r="81">
          <cell r="R81">
            <v>42948</v>
          </cell>
          <cell r="S81">
            <v>64.066249999999997</v>
          </cell>
        </row>
        <row r="82">
          <cell r="R82">
            <v>42979</v>
          </cell>
          <cell r="S82">
            <v>64.5</v>
          </cell>
        </row>
        <row r="83">
          <cell r="R83">
            <v>43009</v>
          </cell>
          <cell r="S83">
            <v>64.948000000000008</v>
          </cell>
        </row>
        <row r="84">
          <cell r="R84">
            <v>43040</v>
          </cell>
          <cell r="S84">
            <v>64.851249999999993</v>
          </cell>
        </row>
        <row r="85">
          <cell r="R85">
            <v>43070</v>
          </cell>
          <cell r="S85">
            <v>63.951999999999998</v>
          </cell>
        </row>
        <row r="86">
          <cell r="R86">
            <v>43101</v>
          </cell>
          <cell r="S86">
            <v>63.79</v>
          </cell>
        </row>
        <row r="87">
          <cell r="R87">
            <v>43132</v>
          </cell>
          <cell r="S87">
            <v>64.63</v>
          </cell>
        </row>
        <row r="88">
          <cell r="R88">
            <v>43160</v>
          </cell>
          <cell r="S88">
            <v>65.055000000000007</v>
          </cell>
        </row>
        <row r="89">
          <cell r="R89">
            <v>43191</v>
          </cell>
          <cell r="S89">
            <v>65.966999999999999</v>
          </cell>
        </row>
        <row r="90">
          <cell r="R90">
            <v>43221</v>
          </cell>
          <cell r="S90">
            <v>67.518749999999997</v>
          </cell>
        </row>
        <row r="91">
          <cell r="R91">
            <v>43252</v>
          </cell>
          <cell r="S91">
            <v>67.98</v>
          </cell>
        </row>
        <row r="92">
          <cell r="R92">
            <v>43282</v>
          </cell>
          <cell r="S92">
            <v>68.63900000000001</v>
          </cell>
        </row>
        <row r="93">
          <cell r="R93">
            <v>43313</v>
          </cell>
          <cell r="S93">
            <v>69.991250000000008</v>
          </cell>
        </row>
        <row r="94">
          <cell r="R94">
            <v>43344</v>
          </cell>
          <cell r="S94">
            <v>72.438000000000002</v>
          </cell>
        </row>
        <row r="95">
          <cell r="R95">
            <v>43374</v>
          </cell>
          <cell r="S95">
            <v>73.221249999999998</v>
          </cell>
        </row>
        <row r="96">
          <cell r="R96">
            <v>43405</v>
          </cell>
          <cell r="S96">
            <v>71.191249999999997</v>
          </cell>
        </row>
        <row r="97">
          <cell r="R97">
            <v>43435</v>
          </cell>
          <cell r="S97">
            <v>70.48060000000001</v>
          </cell>
        </row>
        <row r="98">
          <cell r="R98">
            <v>43466</v>
          </cell>
          <cell r="S98">
            <v>70.98599999999999</v>
          </cell>
        </row>
        <row r="99">
          <cell r="R99">
            <v>43497</v>
          </cell>
          <cell r="S99">
            <v>71.134999999999991</v>
          </cell>
        </row>
        <row r="100">
          <cell r="R100">
            <v>43525</v>
          </cell>
          <cell r="S100">
            <v>69.3</v>
          </cell>
        </row>
        <row r="101">
          <cell r="R101">
            <v>43556</v>
          </cell>
          <cell r="S101">
            <v>69.385499999999993</v>
          </cell>
        </row>
        <row r="102">
          <cell r="R102">
            <v>43586</v>
          </cell>
          <cell r="S102">
            <v>69.813749999999999</v>
          </cell>
        </row>
        <row r="103">
          <cell r="R103">
            <v>43617</v>
          </cell>
          <cell r="S103">
            <v>69.240600000000001</v>
          </cell>
        </row>
        <row r="104">
          <cell r="R104">
            <v>43647</v>
          </cell>
          <cell r="S104">
            <v>69</v>
          </cell>
        </row>
        <row r="105">
          <cell r="R105">
            <v>43678</v>
          </cell>
          <cell r="S105">
            <v>71.261250000000004</v>
          </cell>
        </row>
        <row r="106">
          <cell r="R106">
            <v>43709</v>
          </cell>
          <cell r="S106">
            <v>71.007800000000003</v>
          </cell>
        </row>
        <row r="107">
          <cell r="R107">
            <v>43739</v>
          </cell>
          <cell r="S107">
            <v>70.898499999999999</v>
          </cell>
        </row>
        <row r="108">
          <cell r="R108">
            <v>43770</v>
          </cell>
          <cell r="S108">
            <v>71.637749999999997</v>
          </cell>
        </row>
        <row r="109">
          <cell r="R109">
            <v>43800</v>
          </cell>
          <cell r="S109">
            <v>71.273200000000003</v>
          </cell>
        </row>
        <row r="110">
          <cell r="R110">
            <v>43831</v>
          </cell>
          <cell r="S110">
            <v>71.230999999999995</v>
          </cell>
        </row>
        <row r="111">
          <cell r="R111">
            <v>43862</v>
          </cell>
          <cell r="S111">
            <v>71.865499999999997</v>
          </cell>
        </row>
        <row r="112">
          <cell r="R112">
            <v>43891</v>
          </cell>
          <cell r="S112">
            <v>74.991</v>
          </cell>
        </row>
        <row r="113">
          <cell r="R113">
            <v>43922</v>
          </cell>
          <cell r="S113">
            <v>76.111999999999995</v>
          </cell>
        </row>
        <row r="114">
          <cell r="R114">
            <v>43952</v>
          </cell>
          <cell r="S114">
            <v>75.695999999999998</v>
          </cell>
        </row>
        <row r="115">
          <cell r="R115">
            <v>43983</v>
          </cell>
          <cell r="S115">
            <v>75.641500000000008</v>
          </cell>
        </row>
        <row r="116">
          <cell r="R116">
            <v>44013</v>
          </cell>
          <cell r="S116">
            <v>74.941999999999993</v>
          </cell>
        </row>
        <row r="117">
          <cell r="R117">
            <v>44044</v>
          </cell>
          <cell r="S117">
            <v>74.241799999999984</v>
          </cell>
        </row>
        <row r="118">
          <cell r="R118">
            <v>44075</v>
          </cell>
          <cell r="S118">
            <v>73.482000000000014</v>
          </cell>
        </row>
        <row r="119">
          <cell r="R119">
            <v>44105</v>
          </cell>
          <cell r="S119">
            <v>73.708750000000009</v>
          </cell>
        </row>
        <row r="120">
          <cell r="R120">
            <v>44136</v>
          </cell>
          <cell r="S120">
            <v>74.067000000000007</v>
          </cell>
        </row>
        <row r="121">
          <cell r="R121">
            <v>44166</v>
          </cell>
          <cell r="S121">
            <v>73.495499999999993</v>
          </cell>
        </row>
        <row r="122">
          <cell r="R122">
            <v>44197</v>
          </cell>
          <cell r="S122">
            <v>73.023400000000009</v>
          </cell>
        </row>
        <row r="123">
          <cell r="R123">
            <v>44228</v>
          </cell>
          <cell r="S123">
            <v>73.057500000000005</v>
          </cell>
        </row>
        <row r="124">
          <cell r="R124">
            <v>44256</v>
          </cell>
          <cell r="S124">
            <v>72.765250000000009</v>
          </cell>
        </row>
        <row r="125">
          <cell r="R125">
            <v>44287</v>
          </cell>
          <cell r="S125">
            <v>74.555500000000009</v>
          </cell>
        </row>
        <row r="126">
          <cell r="R126">
            <v>44317</v>
          </cell>
          <cell r="S126">
            <v>72.9238</v>
          </cell>
        </row>
        <row r="127">
          <cell r="R127">
            <v>44348</v>
          </cell>
          <cell r="S127">
            <v>74.015499999999989</v>
          </cell>
        </row>
        <row r="128">
          <cell r="R128">
            <v>44378</v>
          </cell>
          <cell r="S128">
            <v>74.463250000000002</v>
          </cell>
        </row>
        <row r="129">
          <cell r="R129">
            <v>44409</v>
          </cell>
          <cell r="S129">
            <v>73.855599999999981</v>
          </cell>
        </row>
        <row r="130">
          <cell r="R130">
            <v>44440</v>
          </cell>
          <cell r="S130">
            <v>73.77525</v>
          </cell>
        </row>
        <row r="131">
          <cell r="R131">
            <v>44470</v>
          </cell>
          <cell r="S131">
            <v>75.146000000000001</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Background and Option Evaluated"/>
      <sheetName val="Financial Model (84 Months)"/>
      <sheetName val="Products Output"/>
      <sheetName val="Feed"/>
      <sheetName val="Annual COP"/>
      <sheetName val="Financial Model High Propane"/>
      <sheetName val="Financial Model Base Case"/>
      <sheetName val="Net Change in Margin"/>
      <sheetName val="Cracker Yields"/>
      <sheetName val="Capex"/>
      <sheetName val="Opex PVC"/>
      <sheetName val="Opex Phenol"/>
      <sheetName val="Cashflow 350 KTPA"/>
      <sheetName val="Cashflow 500 KTPA"/>
      <sheetName val="Cashflow 500 KT EDC VCMCracking"/>
      <sheetName val="Cashflow - PVC Phenol"/>
      <sheetName val="Cashflow Phenol"/>
      <sheetName val="Sales"/>
      <sheetName val="Working Sheet"/>
      <sheetName val="Salaries &amp; Wages Calculations"/>
      <sheetName val="Profitability"/>
      <sheetName val="Sensitivity-Profitability"/>
      <sheetName val=" Break EvenPoint"/>
      <sheetName val="Sensitivity-350 KTPA"/>
      <sheetName val="Sensitivity-500 KTPA"/>
      <sheetName val="DSCR"/>
      <sheetName val=" Means of Fin"/>
      <sheetName val="Interest Calculation"/>
      <sheetName val="Basis"/>
      <sheetName val="Requirement"/>
      <sheetName val="Sheet1"/>
    </sheetNames>
    <sheetDataSet>
      <sheetData sheetId="0" refreshError="1"/>
      <sheetData sheetId="1" refreshError="1"/>
      <sheetData sheetId="2" refreshError="1"/>
      <sheetData sheetId="3">
        <row r="14">
          <cell r="B14">
            <v>87.961818106380861</v>
          </cell>
        </row>
      </sheetData>
      <sheetData sheetId="4">
        <row r="4">
          <cell r="B4">
            <v>535</v>
          </cell>
        </row>
        <row r="5">
          <cell r="B5">
            <v>1500</v>
          </cell>
        </row>
        <row r="6">
          <cell r="B6">
            <v>271</v>
          </cell>
        </row>
        <row r="7">
          <cell r="B7">
            <v>167</v>
          </cell>
        </row>
      </sheetData>
      <sheetData sheetId="5" refreshError="1"/>
      <sheetData sheetId="6" refreshError="1"/>
      <sheetData sheetId="7" refreshError="1"/>
      <sheetData sheetId="8" refreshError="1"/>
      <sheetData sheetId="9" refreshError="1"/>
      <sheetData sheetId="10" refreshError="1"/>
      <sheetData sheetId="11">
        <row r="64">
          <cell r="B64">
            <v>161200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3"/>
      <sheetName val="Chart5"/>
      <sheetName val="Sheet1"/>
      <sheetName val="Capex estimates"/>
      <sheetName val="DFCU-AU Production"/>
      <sheetName val="CPP"/>
      <sheetName val="Complex Contribution"/>
      <sheetName val="ASSUMPTIONS"/>
      <sheetName val="Dashboard"/>
      <sheetName val="Feedstock Mix (Input)"/>
      <sheetName val="Datasheet"/>
      <sheetName val="Yield_OPaL"/>
      <sheetName val="Ethylene-Propylene COP"/>
      <sheetName val="DFCU Yields as per PwC"/>
      <sheetName val="CASHFLOW-IRR-PAYBACK"/>
      <sheetName val="SALES"/>
      <sheetName val="OPERATING COSTS"/>
      <sheetName val="Products Output"/>
      <sheetName val="Chart-Polymer Margins"/>
      <sheetName val="Planning"/>
      <sheetName val="Polymer BOM"/>
      <sheetName val="Sheet4"/>
      <sheetName val="Chart6"/>
      <sheetName val="Prices and Cost of Production"/>
      <sheetName val="Prices and COP model"/>
      <sheetName val="Sheet7"/>
      <sheetName val="Polymer Prices"/>
      <sheetName val="Grade MIX"/>
      <sheetName val="Sheet2"/>
      <sheetName val="USD to INR"/>
      <sheetName val="Sheet3"/>
      <sheetName val="Chart7"/>
      <sheetName val="Phenol Price Prediction"/>
      <sheetName val="Feed Prices"/>
      <sheetName val="PVC Prices History"/>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row r="31">
          <cell r="BE31">
            <v>10338.423458333333</v>
          </cell>
        </row>
      </sheetData>
      <sheetData sheetId="13"/>
      <sheetData sheetId="14"/>
      <sheetData sheetId="15"/>
      <sheetData sheetId="16"/>
      <sheetData sheetId="17"/>
      <sheetData sheetId="18" refreshError="1"/>
      <sheetData sheetId="19"/>
      <sheetData sheetId="20"/>
      <sheetData sheetId="21"/>
      <sheetData sheetId="22" refreshError="1"/>
      <sheetData sheetId="23"/>
      <sheetData sheetId="24"/>
      <sheetData sheetId="25"/>
      <sheetData sheetId="26"/>
      <sheetData sheetId="27"/>
      <sheetData sheetId="28"/>
      <sheetData sheetId="29"/>
      <sheetData sheetId="30"/>
      <sheetData sheetId="31" refreshError="1"/>
      <sheetData sheetId="32"/>
      <sheetData sheetId="33"/>
      <sheetData sheetId="34"/>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heet2"/>
      <sheetName val="Feed"/>
      <sheetName val="Products Output"/>
      <sheetName val="Financial Model_OPaL"/>
      <sheetName val="Scenario"/>
      <sheetName val="Annual COP"/>
      <sheetName val="Financial Model (84 Months)"/>
      <sheetName val="Cracker Yields"/>
      <sheetName val="Capex"/>
      <sheetName val="Opex"/>
      <sheetName val="Cashflow Option 1"/>
      <sheetName val="Cashflow Option 2"/>
      <sheetName val="Cashflow Option 3"/>
      <sheetName val="Working Sheet"/>
      <sheetName val="Profitability"/>
      <sheetName val=" Break EvenPoint"/>
      <sheetName val="Sensitivity"/>
      <sheetName val="Sales"/>
      <sheetName val="Raw Material -Pricing Sheet"/>
      <sheetName val="Salaries &amp; Wages Calculations"/>
      <sheetName val="DSCR"/>
      <sheetName val=" Means of Fin"/>
      <sheetName val="Interest Calculation"/>
      <sheetName val="Ba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2">
          <cell r="D22">
            <v>1768.675</v>
          </cell>
        </row>
      </sheetData>
      <sheetData sheetId="10">
        <row r="4">
          <cell r="D4">
            <v>1342.7559703952168</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ow r="3">
          <cell r="E3">
            <v>1540.7678214285716</v>
          </cell>
        </row>
      </sheetData>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Financial Model_OPaL"/>
      <sheetName val="FM_Snr5"/>
      <sheetName val="Datasheet"/>
      <sheetName val="Revenue_Profile"/>
      <sheetName val="Feedstock Mix (Input)"/>
      <sheetName val="FM_Snr1"/>
      <sheetName val="Products Output"/>
      <sheetName val="Yield_OPaL"/>
      <sheetName val="FM_BC"/>
    </sheetNames>
    <sheetDataSet>
      <sheetData sheetId="0">
        <row r="5">
          <cell r="A5" t="str">
            <v>Scenario 5</v>
          </cell>
          <cell r="B5" t="str">
            <v>Additional 385 KTPA C3</v>
          </cell>
        </row>
      </sheetData>
      <sheetData sheetId="1"/>
      <sheetData sheetId="2"/>
      <sheetData sheetId="3">
        <row r="2">
          <cell r="B2">
            <v>25728</v>
          </cell>
        </row>
        <row r="3">
          <cell r="B3">
            <v>33299</v>
          </cell>
        </row>
        <row r="4">
          <cell r="B4">
            <v>30753</v>
          </cell>
        </row>
        <row r="5">
          <cell r="B5">
            <v>31825</v>
          </cell>
        </row>
        <row r="6">
          <cell r="B6">
            <v>70618</v>
          </cell>
        </row>
        <row r="7">
          <cell r="B7">
            <v>55610</v>
          </cell>
        </row>
        <row r="8">
          <cell r="B8">
            <v>21976</v>
          </cell>
        </row>
        <row r="9">
          <cell r="B9">
            <v>50250</v>
          </cell>
        </row>
        <row r="10">
          <cell r="B10">
            <v>79663</v>
          </cell>
        </row>
        <row r="11">
          <cell r="B11">
            <v>36113</v>
          </cell>
        </row>
        <row r="12">
          <cell r="B12">
            <v>10251</v>
          </cell>
        </row>
        <row r="13">
          <cell r="B13">
            <v>87100</v>
          </cell>
        </row>
        <row r="14">
          <cell r="B14">
            <v>41741</v>
          </cell>
        </row>
        <row r="15">
          <cell r="B15">
            <v>10251</v>
          </cell>
        </row>
        <row r="16">
          <cell r="B16">
            <v>10251</v>
          </cell>
          <cell r="C16">
            <v>153</v>
          </cell>
        </row>
        <row r="37">
          <cell r="B37">
            <v>636</v>
          </cell>
        </row>
        <row r="38">
          <cell r="B38">
            <v>695</v>
          </cell>
        </row>
        <row r="40">
          <cell r="B40">
            <v>270</v>
          </cell>
        </row>
        <row r="42">
          <cell r="B42">
            <v>735</v>
          </cell>
        </row>
        <row r="43">
          <cell r="B43">
            <v>805</v>
          </cell>
        </row>
        <row r="44">
          <cell r="B44">
            <v>260</v>
          </cell>
        </row>
        <row r="45">
          <cell r="B45">
            <v>300</v>
          </cell>
        </row>
      </sheetData>
      <sheetData sheetId="4">
        <row r="20">
          <cell r="B20">
            <v>2366</v>
          </cell>
        </row>
      </sheetData>
      <sheetData sheetId="5">
        <row r="3">
          <cell r="C3">
            <v>0.48704106621027421</v>
          </cell>
        </row>
        <row r="4">
          <cell r="C4">
            <v>1.3655356996549748</v>
          </cell>
          <cell r="R4">
            <v>1.1955986826332192</v>
          </cell>
        </row>
        <row r="5">
          <cell r="C5">
            <v>0.24670678307099875</v>
          </cell>
          <cell r="R5">
            <v>0.51735668588878092</v>
          </cell>
        </row>
        <row r="6">
          <cell r="C6">
            <v>0.15202964122825383</v>
          </cell>
          <cell r="R6">
            <v>0.10094764602707919</v>
          </cell>
        </row>
        <row r="13">
          <cell r="C13">
            <v>1</v>
          </cell>
          <cell r="R13">
            <v>1</v>
          </cell>
        </row>
        <row r="14">
          <cell r="C14">
            <v>0.36411554252733341</v>
          </cell>
          <cell r="R14">
            <v>0.38336445885752496</v>
          </cell>
        </row>
        <row r="15">
          <cell r="C15">
            <v>5.4023323349750102E-2</v>
          </cell>
          <cell r="R15">
            <v>4.9984353114865793E-2</v>
          </cell>
        </row>
        <row r="16">
          <cell r="C16">
            <v>0.11929483736469813</v>
          </cell>
          <cell r="R16">
            <v>0.10514805234135441</v>
          </cell>
        </row>
        <row r="17">
          <cell r="C17">
            <v>0.1049502558103544</v>
          </cell>
          <cell r="R17">
            <v>9.2072116051937547E-2</v>
          </cell>
        </row>
        <row r="18">
          <cell r="C18">
            <v>0.13420669203528543</v>
          </cell>
          <cell r="R18">
            <v>0.11829155888402373</v>
          </cell>
        </row>
        <row r="19">
          <cell r="C19">
            <v>5.1732994073575053E-2</v>
          </cell>
          <cell r="R19">
            <v>4.8759812742116611E-2</v>
          </cell>
        </row>
        <row r="20">
          <cell r="C20">
            <v>1.3999999999999996E-3</v>
          </cell>
          <cell r="R20">
            <v>1.3999999999999998E-3</v>
          </cell>
        </row>
        <row r="21">
          <cell r="C21">
            <v>4.0262007610585633E-2</v>
          </cell>
          <cell r="R21">
            <v>3.548746766520712E-2</v>
          </cell>
        </row>
        <row r="22">
          <cell r="C22">
            <v>0.3448278059482735</v>
          </cell>
          <cell r="R22">
            <v>0.35865689156960967</v>
          </cell>
        </row>
        <row r="23">
          <cell r="C23">
            <v>3.6499731444645848E-2</v>
          </cell>
          <cell r="R23">
            <v>4.2825648273164443E-2</v>
          </cell>
        </row>
      </sheetData>
      <sheetData sheetId="6"/>
      <sheetData sheetId="7"/>
      <sheetData sheetId="8"/>
      <sheetData sheetId="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Dashboard"/>
      <sheetName val="Sheet3"/>
      <sheetName val="Background and Option Evaluated"/>
      <sheetName val="Scenario"/>
      <sheetName val="Price Table"/>
      <sheetName val="Feed"/>
      <sheetName val="Financial Model (84 Months)"/>
      <sheetName val="Cracker Yields"/>
      <sheetName val="Financial Model Base Case"/>
      <sheetName val="Financial Model Prop. Fur. Add."/>
      <sheetName val="Financial Model Eth. Fur. Add."/>
      <sheetName val="Net Change in Margin"/>
      <sheetName val="Products Output"/>
      <sheetName val="Capex"/>
      <sheetName val="Opex PVC"/>
      <sheetName val="Sales"/>
      <sheetName val="Cashflow 350 KTPA"/>
      <sheetName val="Cashflow 500 KTPA"/>
      <sheetName val="Cashflow 500KT EDC VCM Cracking"/>
      <sheetName val="Cashflow - PVC Phenol Propane"/>
      <sheetName val="Cashflow - PVC Phenol Ethane"/>
      <sheetName val="Cashflow PhenolOption1-Propane"/>
      <sheetName val="Cashflow Phenol Option 1-Ethane"/>
      <sheetName val="Opex Phenol"/>
      <sheetName val="Salaries &amp; Wages Calculations"/>
      <sheetName val="Profitability"/>
      <sheetName val="Sensitivity-Profitability"/>
      <sheetName val="Annual COP"/>
      <sheetName val=" Break EvenPoint"/>
      <sheetName val="BEP Sensitivity-350 KTPA"/>
      <sheetName val="BEP Sensitivity-500 KTPA"/>
      <sheetName val=" Profitabilty_PVC Phenol (2 (3)"/>
      <sheetName val=" Profitabilty_PVC Phenol (3)"/>
      <sheetName val=" Profitabilty_PVC Phenol"/>
      <sheetName val="Sensitivity_PVC Phenol"/>
      <sheetName val="Cashflow Current"/>
      <sheetName val="Profitability - Current"/>
      <sheetName val="Sensitivity-Profit Current Case"/>
      <sheetName val="Sensitivity Current Case"/>
      <sheetName val=" Profitabilty_PVC Phenol 1"/>
      <sheetName val="DSCR-350 KTPA"/>
      <sheetName val="DSCR-PVC+Phenol"/>
      <sheetName val=" Means of Fin"/>
      <sheetName val="Interest Calculation"/>
      <sheetName val="Requirement"/>
      <sheetName val="Working Sheet"/>
      <sheetName val="Basi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
          <cell r="D4">
            <v>1344.288902571471</v>
          </cell>
          <cell r="E4">
            <v>1360.4203694023286</v>
          </cell>
          <cell r="F4">
            <v>1376.7454138351566</v>
          </cell>
          <cell r="G4">
            <v>1393.2663588011785</v>
          </cell>
          <cell r="H4">
            <v>1409.9855551067926</v>
          </cell>
          <cell r="I4">
            <v>1426.9053817680742</v>
          </cell>
          <cell r="J4">
            <v>1444.0282463492911</v>
          </cell>
          <cell r="K4">
            <v>1461.3565853054827</v>
          </cell>
          <cell r="L4">
            <v>1478.8928643291486</v>
          </cell>
          <cell r="M4">
            <v>1496.6395787010983</v>
          </cell>
          <cell r="N4">
            <v>1514.5992536455115</v>
          </cell>
          <cell r="O4">
            <v>1532.7744446892575</v>
          </cell>
          <cell r="P4">
            <v>1551.1677380255287</v>
          </cell>
          <cell r="Q4">
            <v>1569.781750881835</v>
          </cell>
          <cell r="R4">
            <v>1588.619131892417</v>
          </cell>
          <cell r="S4">
            <v>1607.682561475126</v>
          </cell>
          <cell r="T4">
            <v>1626.9747522128275</v>
          </cell>
          <cell r="U4">
            <v>1646.4984492393814</v>
          </cell>
          <cell r="V4">
            <v>1666.256430630254</v>
          </cell>
          <cell r="W4">
            <v>1686.2515077978171</v>
          </cell>
        </row>
        <row r="7">
          <cell r="D7">
            <v>26.91</v>
          </cell>
        </row>
        <row r="9">
          <cell r="D9">
            <v>199.07493038600003</v>
          </cell>
        </row>
        <row r="12">
          <cell r="D12">
            <v>30.538134374999998</v>
          </cell>
        </row>
        <row r="15">
          <cell r="D15">
            <v>80.54781646858082</v>
          </cell>
        </row>
        <row r="24">
          <cell r="D24">
            <v>1406.7968673382006</v>
          </cell>
          <cell r="E24">
            <v>1423.6784297462591</v>
          </cell>
          <cell r="F24">
            <v>1440.7625709032143</v>
          </cell>
          <cell r="G24">
            <v>1458.0517217540528</v>
          </cell>
          <cell r="H24">
            <v>1475.5483424151014</v>
          </cell>
          <cell r="I24">
            <v>1493.2549225240825</v>
          </cell>
          <cell r="J24">
            <v>1511.1739815943715</v>
          </cell>
          <cell r="K24">
            <v>1529.3080693735039</v>
          </cell>
          <cell r="L24">
            <v>1547.659766205986</v>
          </cell>
          <cell r="M24">
            <v>1566.2316834004578</v>
          </cell>
          <cell r="N24">
            <v>1585.0264636012632</v>
          </cell>
          <cell r="O24">
            <v>1604.0467811644785</v>
          </cell>
          <cell r="P24">
            <v>1623.2953425384521</v>
          </cell>
          <cell r="Q24">
            <v>1642.7748866489135</v>
          </cell>
          <cell r="R24">
            <v>1662.4881852887004</v>
          </cell>
          <cell r="S24">
            <v>1682.4380435121648</v>
          </cell>
          <cell r="T24">
            <v>1702.6273000343108</v>
          </cell>
          <cell r="U24">
            <v>1723.0588276347225</v>
          </cell>
          <cell r="V24">
            <v>1743.7355335663392</v>
          </cell>
          <cell r="W24">
            <v>1764.6603599691352</v>
          </cell>
        </row>
        <row r="27">
          <cell r="D27">
            <v>26.91</v>
          </cell>
        </row>
        <row r="29">
          <cell r="D29">
            <v>199.07493038600003</v>
          </cell>
        </row>
        <row r="32">
          <cell r="D32">
            <v>30.538134374999998</v>
          </cell>
        </row>
        <row r="35">
          <cell r="D35">
            <v>81.485435940081771</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Dashboard"/>
      <sheetName val="Sheet3"/>
      <sheetName val="Net Change in Margin"/>
      <sheetName val="Cashflow - PVC Phenol Ethane"/>
      <sheetName val="Cashflow - PVC Phenol Propane"/>
      <sheetName val="Background and Option Evaluated"/>
      <sheetName val="Scenario Phenol"/>
      <sheetName val="Financial Model (84 Months)"/>
      <sheetName val="Feed"/>
      <sheetName val="Products Output"/>
      <sheetName val="Cracker Yields"/>
      <sheetName val="Financial Model High Ethane"/>
      <sheetName val="Financial Model High Propane"/>
      <sheetName val="Financial Model Base Case"/>
      <sheetName val="Sales"/>
      <sheetName val="Capex"/>
      <sheetName val="Opex PVC"/>
      <sheetName val="Cashflow 350 KTPA"/>
      <sheetName val="Cashflow 500 KTPA"/>
      <sheetName val="Cashflow 500KT EDC VCM Cracking"/>
      <sheetName val="Cashflow Phenol"/>
      <sheetName val="Salaries &amp; Wages Calculations"/>
      <sheetName val="Profitability"/>
      <sheetName val="Sensitivity-Profitability"/>
      <sheetName val="Annual COP"/>
      <sheetName val="Opex Phenol"/>
      <sheetName val="Profitability - Current"/>
      <sheetName val=" Break EvenPoint"/>
      <sheetName val="BEP Sensitivity-350 KTPA"/>
      <sheetName val="BEP Sensitivity-500 KTPA"/>
      <sheetName val=" Profitabilty_PVC Phenol (2 (3)"/>
      <sheetName val=" Profitabilty_PVC Phenol (3)"/>
      <sheetName val=" Profitabilty_PVC Phenol"/>
      <sheetName val="Sensitivity_PVC Phenol"/>
      <sheetName val="Cashflow Current"/>
      <sheetName val="Sensitivity-Profit Current Case"/>
      <sheetName val="Sensitivity Current Case"/>
      <sheetName val=" Profitabilty_PVC Phenol 1"/>
      <sheetName val="DSCR-350 KTPA"/>
      <sheetName val="DSCR-PVC+Phenol"/>
      <sheetName val=" Means of Fin"/>
      <sheetName val="Interest Calculation"/>
      <sheetName val="Requirement"/>
      <sheetName val="Working Sheet"/>
      <sheetName val="Basis"/>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62">
          <cell r="A62" t="str">
            <v>Capacity for 350 KTPA PVC Resin and 200 KTPA Phenol + 123 KTPA Acetone</v>
          </cell>
        </row>
      </sheetData>
      <sheetData sheetId="18" refreshError="1">
        <row r="8">
          <cell r="G8">
            <v>4159.4497678079997</v>
          </cell>
        </row>
      </sheetData>
      <sheetData sheetId="19" refreshError="1"/>
      <sheetData sheetId="20" refreshError="1"/>
      <sheetData sheetId="21" refreshError="1">
        <row r="14">
          <cell r="H14">
            <v>1208.4839999999999</v>
          </cell>
        </row>
        <row r="19">
          <cell r="H19">
            <v>1492.8133499999997</v>
          </cell>
          <cell r="I19">
            <v>1747.5478779</v>
          </cell>
          <cell r="J19">
            <v>1843.9946134319157</v>
          </cell>
          <cell r="K19">
            <v>1945.8060715050281</v>
          </cell>
          <cell r="L19">
            <v>2053.2826212363971</v>
          </cell>
          <cell r="M19">
            <v>2166.7415407162739</v>
          </cell>
          <cell r="N19">
            <v>2286.5179731084486</v>
          </cell>
          <cell r="O19">
            <v>2412.9659370067416</v>
          </cell>
          <cell r="P19">
            <v>2546.4593941353946</v>
          </cell>
          <cell r="Q19">
            <v>2687.3933776573294</v>
          </cell>
          <cell r="R19">
            <v>2836.1851845403676</v>
          </cell>
          <cell r="S19">
            <v>2993.2756356284244</v>
          </cell>
          <cell r="T19">
            <v>3159.1304072727207</v>
          </cell>
          <cell r="U19">
            <v>3334.241438598091</v>
          </cell>
          <cell r="V19">
            <v>3519.1284187120127</v>
          </cell>
          <cell r="W19">
            <v>3714.3403584098546</v>
          </cell>
          <cell r="X19">
            <v>3920.45725118974</v>
          </cell>
          <cell r="Y19">
            <v>4138.0918286652459</v>
          </cell>
          <cell r="Z19">
            <v>4367.8914157545842</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Background and Option Evaluated"/>
      <sheetName val="Scenario"/>
      <sheetName val="Dashboard"/>
      <sheetName val="Sheet2"/>
      <sheetName val="Opex"/>
      <sheetName val="Capex"/>
      <sheetName val="Annual COP"/>
      <sheetName val="Cashflow Option 1"/>
      <sheetName val="Cashflow Option 2"/>
      <sheetName val="Cashflow Option 3"/>
      <sheetName val="Cashflow - PVC Phenol"/>
      <sheetName val="Feed"/>
      <sheetName val="Products Output"/>
      <sheetName val="Financial Model_OPaL"/>
      <sheetName val="Financial Model (84 Months)"/>
      <sheetName val="Financial Model High Propane"/>
      <sheetName val="Financial Model Base Case"/>
      <sheetName val="Net Change in Margin"/>
      <sheetName val="Cracker Yields"/>
      <sheetName val="Opex Phenol"/>
      <sheetName val="Working Sheet"/>
      <sheetName val="Profitability"/>
      <sheetName val="Sensitivity-Profitability"/>
      <sheetName val=" Break EvenPoint"/>
      <sheetName val="Sensitivity"/>
      <sheetName val="Sales"/>
      <sheetName val="Raw Material -Pricing Sheet"/>
      <sheetName val="Salaries &amp; Wages Calculations"/>
      <sheetName val="DSCR"/>
      <sheetName val=" Means of Fin"/>
      <sheetName val="Interest Calculation"/>
      <sheetName val="Basis"/>
      <sheetName val="Cashflow Current"/>
      <sheetName val="Profitability Current"/>
      <sheetName val="Sensitivity-Current"/>
      <sheetName val=" Break Evenpoint Current"/>
      <sheetName val="DASH"/>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22">
          <cell r="D22">
            <v>1768.675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mailto:NPV@12%25"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mailto:NPV@12%25"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mailto:NPV@12%25" TargetMode="Externa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mailto:NPV@12%25" TargetMode="Externa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mailto:NPV@12%25"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mailto:NPV@12%25" TargetMode="External"/></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mailto:NPV@12%25" TargetMode="External"/></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mailto:NPV@12%25"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5.xml.rels><?xml version="1.0" encoding="UTF-8" standalone="yes"?>
<Relationships xmlns="http://schemas.openxmlformats.org/package/2006/relationships"><Relationship Id="rId2" Type="http://schemas.openxmlformats.org/officeDocument/2006/relationships/printerSettings" Target="../printerSettings/printerSettings28.bin"/><Relationship Id="rId1" Type="http://schemas.openxmlformats.org/officeDocument/2006/relationships/hyperlink" Target="mailto:NPV@12%25" TargetMode="Externa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2.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3.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7F611-A676-42CC-930A-34794C5CE82D}">
  <sheetPr codeName="Sheet37"/>
  <dimension ref="A1:XFD38"/>
  <sheetViews>
    <sheetView workbookViewId="0">
      <selection activeCell="E14" sqref="E14"/>
    </sheetView>
  </sheetViews>
  <sheetFormatPr defaultRowHeight="15"/>
  <cols>
    <col min="1" max="1" width="28.7109375" bestFit="1" customWidth="1"/>
    <col min="2" max="2" width="13.5703125" style="720" bestFit="1" customWidth="1"/>
    <col min="3" max="3" width="10.5703125" bestFit="1" customWidth="1"/>
    <col min="4" max="4" width="28.42578125" bestFit="1" customWidth="1"/>
    <col min="5" max="5" width="8.5703125" bestFit="1" customWidth="1"/>
    <col min="7" max="7" width="16.140625" bestFit="1" customWidth="1"/>
  </cols>
  <sheetData>
    <row r="1" spans="1:10 16384:16384" s="5" customFormat="1">
      <c r="A1" s="5">
        <f>Dashboard!$A$1</f>
        <v>5</v>
      </c>
      <c r="B1" s="720"/>
      <c r="XFD1" s="5" t="str">
        <f>IF(Sheet2!$A$1=1,Opex!A1,IF(Sheet2!$A$1=2,Opex!A21,IF(Sheet2!$A$1=3,Opex!A41,IF(Sheet2!$A$1=4,Opex!A60&amp;" (Propane Furnace Addition)",IF(Sheet2!$A$1=5,Opex!A60&amp;" (Ethane Furnace Addition)")))))</f>
        <v>Capacity for 350 KTPA PVC Resin and 200 KTPA Phenol + 123 KTPA Acetone (Ethane Furnace Addition)</v>
      </c>
    </row>
    <row r="2" spans="1:10 16384:16384">
      <c r="A2" s="6" t="str" cm="1">
        <f t="array" ref="A2:B5">IF(OR(A1=1,A1=2,A1=3),D10:E15,D18:E21)</f>
        <v>Capex</v>
      </c>
      <c r="B2" s="1034" t="str">
        <v>INR Crore</v>
      </c>
      <c r="C2" s="5"/>
      <c r="D2" s="6" t="s">
        <v>117</v>
      </c>
      <c r="E2" s="7" t="s">
        <v>152</v>
      </c>
      <c r="G2" s="7" t="s">
        <v>29</v>
      </c>
    </row>
    <row r="3" spans="1:10 16384:16384">
      <c r="A3" s="1033" t="str">
        <v>CAPEX PVC OPTION 1</v>
      </c>
      <c r="B3" s="1035">
        <v>4159.4497678079997</v>
      </c>
      <c r="C3" s="5"/>
      <c r="D3" s="1033" t="s">
        <v>31</v>
      </c>
      <c r="E3" s="1174">
        <f>IF(Sheet2!$A$1=1,INDEX('Cashflow Option 1'!$C$10:$AA$30,MATCH(Sheet2!$D3,'Cashflow Option 1'!$B$10:$B$30,0),MATCH(Dashboard!$J$8,'Cashflow Option 1'!$C$5:$AA$5,0)),IF(Sheet2!$A$1=2,INDEX('Cashflow Option 2'!$C$10:$AA$30,MATCH(Sheet2!$D3,'Cashflow Option 2'!$B$10:$B$30,0),MATCH(Dashboard!$J$8,'Cashflow Option 2'!$C$5:$AA$5,0)),IF(Sheet2!$A$1=3,INDEX('Cashflow Option 3'!$C$10:$AA$30,MATCH(Sheet2!$D3,'Cashflow Option 3'!$B$10:$B$30,0),MATCH(Dashboard!$J$8,'Cashflow Option 3'!$C$5:$AA$5,0)),IF($A$1=4,INDEX('Cashflow - PVC Phenol Propane'!$C$13:$Z$31,MATCH(D3,'Cashflow - PVC Phenol Propane'!$B$13:$B$31,0),MATCH(Dashboard!$J$8,'Cashflow - PVC Phenol Propane'!$C$5:$Z$5,0)),IF($A$1=5,INDEX('Cashflow - PVC Phenol Ethane'!$C$14:$Z$33,MATCH(D3,'Cashflow - PVC Phenol Ethane'!$B$14:$B$33,0),MATCH(Dashboard!$J$8,'Cashflow - PVC Phenol Ethane'!$C$5:$Z$5,0)))))))</f>
        <v>5166.1587522812979</v>
      </c>
      <c r="F3" s="1036"/>
      <c r="G3" s="47" t="str">
        <f>IFERROR(RIGHT(XFD1,LEN(XFD1)-FIND(":",XFD1)-1),XFD1)</f>
        <v>Capacity for 350 KTPA PVC Resin and 200 KTPA Phenol + 123 KTPA Acetone (Ethane Furnace Addition)</v>
      </c>
      <c r="J3" s="1036"/>
    </row>
    <row r="4" spans="1:10 16384:16384">
      <c r="A4" s="5" t="str">
        <v>CAPEX PHENOL OPTION 1</v>
      </c>
      <c r="B4" s="720">
        <v>1768.675</v>
      </c>
      <c r="C4" s="5"/>
      <c r="D4" s="5" t="s">
        <v>34</v>
      </c>
      <c r="E4" s="1036">
        <f>IF(Sheet2!$A$1=1,INDEX('Cashflow Option 1'!$C$10:$AA$30,MATCH(Sheet2!$D4,'Cashflow Option 1'!$B$10:$B$30,0),MATCH(Dashboard!$J$8,'Cashflow Option 1'!$C$5:$AA$5,0)),IF(Sheet2!$A$1=2,INDEX('Cashflow Option 2'!$C$10:$AA$30,MATCH(Sheet2!$D4,'Cashflow Option 2'!$B$10:$B$30,0),MATCH(Dashboard!$J$8,'Cashflow Option 2'!$C$5:$AA$5,0)),IF(Sheet2!$A$1=3,INDEX('Cashflow Option 3'!$C$10:$AA$30,MATCH(Sheet2!$D4,'Cashflow Option 3'!$B$10:$B$30,0),MATCH(Dashboard!$J$8,'Cashflow Option 3'!$C$5:$AA$5,0)),IF($A$1=4,INDEX('Cashflow - PVC Phenol Propane'!$C$13:$Z$31,MATCH(D4,'Cashflow - PVC Phenol Propane'!$B$13:$B$31,0),MATCH(Dashboard!$J$8,'Cashflow - PVC Phenol Propane'!$C$5:$Z$5,0)),IF($A$1=5,INDEX('Cashflow - PVC Phenol Ethane'!$C$14:$Z$33,MATCH(D4,'Cashflow - PVC Phenol Ethane'!$B$14:$B$33,0),MATCH(Dashboard!$J$8,'Cashflow - PVC Phenol Ethane'!$C$5:$Z$5,0)))))))</f>
        <v>3052.8387271449997</v>
      </c>
      <c r="F4" s="1036"/>
      <c r="G4" s="1011"/>
      <c r="I4" s="1036"/>
      <c r="J4" s="1036"/>
    </row>
    <row r="5" spans="1:10 16384:16384">
      <c r="A5" s="1033" t="str">
        <v>ETHANE FURNACE ADDITION</v>
      </c>
      <c r="B5" s="1035">
        <v>2664</v>
      </c>
      <c r="C5" s="5"/>
      <c r="D5" s="1033" t="s">
        <v>520</v>
      </c>
      <c r="E5" s="1174">
        <f>IF(Sheet2!$A$1=1,INDEX('Cashflow Option 1'!$C$10:$AA$30,MATCH(Sheet2!$D5,'Cashflow Option 1'!$B$10:$B$30,0),MATCH(Dashboard!$J$8,'Cashflow Option 1'!$C$5:$AA$5,0)),IF(Sheet2!$A$1=2,INDEX('Cashflow Option 2'!$C$10:$AA$30,MATCH(Sheet2!$D5,'Cashflow Option 2'!$B$10:$B$30,0),MATCH(Dashboard!$J$8,'Cashflow Option 2'!$C$5:$AA$5,0)),IF(Sheet2!$A$1=3,INDEX('Cashflow Option 3'!$C$10:$AA$30,MATCH(Sheet2!$D5,'Cashflow Option 3'!$B$10:$B$30,0),MATCH(Dashboard!$J$8,'Cashflow Option 3'!$C$5:$AA$5,0)),IF($A$1=4,INDEX('Cashflow - PVC Phenol Propane'!$C$13:$Z$31,MATCH(D5,'Cashflow - PVC Phenol Propane'!$B$13:$B$31,0),MATCH(Dashboard!$J$8,'Cashflow - PVC Phenol Propane'!$C$5:$Z$5,0)),IF($A$1=5,INDEX('Cashflow - PVC Phenol Ethane'!$C$14:$Z$33,MATCH(D5,'Cashflow - PVC Phenol Ethane'!$B$14:$B$33,0),MATCH(Dashboard!$J$8,'Cashflow - PVC Phenol Ethane'!$C$5:$Z$5,0)))))))</f>
        <v>2113.3200251362982</v>
      </c>
      <c r="F5" s="1036"/>
      <c r="G5" s="7" t="s">
        <v>30</v>
      </c>
      <c r="J5" s="1036"/>
    </row>
    <row r="6" spans="1:10 16384:16384">
      <c r="A6" s="5"/>
      <c r="C6" s="5"/>
      <c r="D6" s="5" t="s">
        <v>36</v>
      </c>
      <c r="E6" s="1036">
        <f>IF(Sheet2!$A$1=1,INDEX('Cashflow Option 1'!$C$10:$AA$30,MATCH(Sheet2!$D6,'Cashflow Option 1'!$B$10:$B$30,0),MATCH(Dashboard!$J$8,'Cashflow Option 1'!$C$5:$AA$5,0)),IF(Sheet2!$A$1=2,INDEX('Cashflow Option 2'!$C$10:$AA$30,MATCH(Sheet2!$D6,'Cashflow Option 2'!$B$10:$B$30,0),MATCH(Dashboard!$J$8,'Cashflow Option 2'!$C$5:$AA$5,0)),IF(Sheet2!$A$1=3,INDEX('Cashflow Option 3'!$C$10:$AA$30,MATCH(Sheet2!$D6,'Cashflow Option 3'!$B$10:$B$30,0),MATCH(Dashboard!$J$8,'Cashflow Option 3'!$C$5:$AA$5,0)),IF($A$1=4,INDEX('Cashflow - PVC Phenol Propane'!$C$13:$Z$31,MATCH(D6,'Cashflow - PVC Phenol Propane'!$B$13:$B$31,0),MATCH(Dashboard!$J$8,'Cashflow - PVC Phenol Propane'!$C$5:$Z$5,0)),IF($A$1=5,INDEX('Cashflow - PVC Phenol Ethane'!$C$14:$Z$33,MATCH(D6,'Cashflow - PVC Phenol Ethane'!$B$14:$B$33,0),MATCH(Dashboard!$J$8,'Cashflow - PVC Phenol Ethane'!$C$5:$Z$5,0)))))))</f>
        <v>2113.3200251362982</v>
      </c>
      <c r="F6" s="1036"/>
      <c r="G6" s="48" t="str">
        <f>TEXT(-ROUND(IF(Sheet2!$A$1=1,'Cashflow Option 1'!$G$9,IF(Sheet2!$A$1=2,'Cashflow Option 2'!$G$9,IF(Sheet2!$A$1=3,'Cashflow Option 3'!$G$9,IF(Sheet2!A1=4,'Cashflow - PVC Phenol Propane'!G12,IF(Sheet2!A1=5,'Cashflow - PVC Phenol Ethane'!G14))))),0),"0,00")&amp;" INR Cr"</f>
        <v>8,592 INR Cr</v>
      </c>
      <c r="I6" s="1036"/>
      <c r="J6" s="1036"/>
    </row>
    <row r="7" spans="1:10 16384:16384">
      <c r="A7" s="1033"/>
      <c r="B7" s="1035"/>
      <c r="C7" s="5"/>
      <c r="G7" s="1011"/>
    </row>
    <row r="8" spans="1:10 16384:16384">
      <c r="A8" s="5"/>
      <c r="C8" s="5"/>
      <c r="G8" s="7" t="s">
        <v>40</v>
      </c>
    </row>
    <row r="9" spans="1:10 16384:16384">
      <c r="A9" s="5"/>
      <c r="C9" s="5"/>
      <c r="D9" s="5" t="s">
        <v>609</v>
      </c>
      <c r="G9" s="48" t="str">
        <f>TEXT(ROUND(IF(Sheet2!$A$1=1,'Cashflow Option 1'!$G$33,IF(Sheet2!$A$1=2,'Cashflow Option 2'!$G$33,IF(Sheet2!$A$1=3,'Cashflow Option 3'!$G$33,IF(Sheet2!A1=4,'Cashflow - PVC Phenol Propane'!G37,IF(Sheet2!A1=5,'Cashflow - PVC Phenol Ethane'!G39))))),0),"0,00")&amp;" INR Cr"</f>
        <v>19,091 INR Cr</v>
      </c>
    </row>
    <row r="10" spans="1:10 16384:16384">
      <c r="A10" s="6" t="s">
        <v>115</v>
      </c>
      <c r="B10" s="1034" t="s">
        <v>152</v>
      </c>
      <c r="C10" s="73"/>
      <c r="D10" s="6" t="s">
        <v>114</v>
      </c>
      <c r="E10" s="1034" t="s">
        <v>152</v>
      </c>
      <c r="G10" s="1011"/>
    </row>
    <row r="11" spans="1:10 16384:16384">
      <c r="A11" s="1033" t="s">
        <v>13</v>
      </c>
      <c r="B11" s="1035" cm="1">
        <f t="array" ref="B11">IF(OR($A$1=1,,$A$1=2,$A$1=3),INDEX((Opex!$D$3:$D$18,Opex!$D$23:$D$38,Opex!$D$43:$D$58),MATCH(Sheet2!$A11,Opex!$B$3:$B$18,0),,Dashboard!$A$1),IF($A$1=4,INDEX('Cashflow - PVC Phenol Propane'!$J$20:$J$27,MATCH(Sheet2!A11,'Cashflow - PVC Phenol Propane'!$B$20:$B$27,0)),IF($A$1=5,INDEX('Cashflow - PVC Phenol Ethane'!$J$22:$J$29,MATCH(Sheet2!A11,'Cashflow - PVC Phenol Ethane'!$B$22:$B$29,0)))))</f>
        <v>3144.9225283125538</v>
      </c>
      <c r="C11" s="1134"/>
      <c r="D11" s="1033" t="s">
        <v>155</v>
      </c>
      <c r="E11" s="1035" t="str" cm="1">
        <f t="array" ref="E11">IFERROR(INDEX((Capex!$D$3:$D$22,Capex!$H$3:$H$22,Capex!$L$3:$L$22),MATCH(Sheet2!D11,Capex!$B$3:$B$22,0),,Dashboard!$A$1),"")</f>
        <v/>
      </c>
      <c r="G11" s="7" t="s">
        <v>41</v>
      </c>
    </row>
    <row r="12" spans="1:10 16384:16384">
      <c r="A12" s="5" t="s">
        <v>15</v>
      </c>
      <c r="B12" s="720" cm="1">
        <f t="array" ref="B12">IF(OR($A$1=1,,$A$1=2,$A$1=3),INDEX((Opex!$D$3:$D$18,Opex!$D$23:$D$38,Opex!$D$43:$D$58),MATCH(Sheet2!$A12,Opex!$B$3:$B$18,0),,Dashboard!$A$1),IF($A$1=4,INDEX('Cashflow - PVC Phenol Propane'!$J$20:$J$27,MATCH(Sheet2!A12,'Cashflow - PVC Phenol Propane'!$B$20:$B$27,0)),IF($A$1=5,INDEX('Cashflow - PVC Phenol Ethane'!$J$22:$J$29,MATCH(Sheet2!A12,'Cashflow - PVC Phenol Ethane'!$B$22:$B$29,0)))))</f>
        <v>2438.7908600858559</v>
      </c>
      <c r="C12" s="1134"/>
      <c r="D12" s="5" t="s">
        <v>156</v>
      </c>
      <c r="E12" s="720" t="str" cm="1">
        <f t="array" ref="E12">IFERROR(INDEX((Capex!$D$3:$D$22,Capex!$H$3:$H$22,Capex!$L$3:$L$22),MATCH(Sheet2!D12,Capex!$B$3:$B$22,0),,Dashboard!$A$1),"")</f>
        <v/>
      </c>
      <c r="G12" s="1037">
        <f>IF(Sheet2!$A$1=1,'Cashflow Option 1'!$G$34,IF(Sheet2!$A$1=2,'Cashflow Option 2'!$G$34,IF(Sheet2!$A$1=3,'Cashflow Option 3'!$G$34,IF(Sheet2!A1=4,'Cashflow - PVC Phenol Propane'!G38,IF(Sheet2!A1=5,'Cashflow - PVC Phenol Ethane'!G40)))))</f>
        <v>0.15805805526115613</v>
      </c>
    </row>
    <row r="13" spans="1:10 16384:16384">
      <c r="A13" s="1033" t="s">
        <v>17</v>
      </c>
      <c r="B13" s="1035" cm="1">
        <f t="array" ref="B13">IF(OR($A$1=1,,$A$1=2,$A$1=3),INDEX((Opex!$D$3:$D$18,Opex!$D$23:$D$38,Opex!$D$43:$D$58),MATCH(Sheet2!$A13,Opex!$B$3:$B$18,0),,Dashboard!$A$1),IF($A$1=4,INDEX('Cashflow - PVC Phenol Propane'!$J$20:$J$27,MATCH(Sheet2!A13,'Cashflow - PVC Phenol Propane'!$B$20:$B$27,0)),IF($A$1=5,INDEX('Cashflow - PVC Phenol Ethane'!$J$22:$J$29,MATCH(Sheet2!A13,'Cashflow - PVC Phenol Ethane'!$B$22:$B$29,0)))))</f>
        <v>149.50201821018209</v>
      </c>
      <c r="C13" s="1134"/>
      <c r="D13" s="1033" t="s">
        <v>157</v>
      </c>
      <c r="E13" s="1035" t="str" cm="1">
        <f t="array" ref="E13">IFERROR(INDEX((Capex!$D$3:$D$22,Capex!$H$3:$H$22,Capex!$L$3:$L$22),MATCH(Sheet2!D13,Capex!$B$3:$B$22,0),,Dashboard!$A$1),"")</f>
        <v/>
      </c>
      <c r="G13" s="1011"/>
    </row>
    <row r="14" spans="1:10 16384:16384">
      <c r="A14" s="5" t="s">
        <v>18</v>
      </c>
      <c r="B14" s="720" cm="1">
        <f t="array" ref="B14">IF(OR($A$1=1,,$A$1=2,$A$1=3),INDEX((Opex!$D$3:$D$18,Opex!$D$23:$D$38,Opex!$D$43:$D$58),MATCH(Sheet2!$A14,Opex!$B$3:$B$18,0),,Dashboard!$A$1),IF($A$1=4,INDEX('Cashflow - PVC Phenol Propane'!$J$20:$J$27,MATCH(Sheet2!A14,'Cashflow - PVC Phenol Propane'!$B$20:$B$27,0)),IF($A$1=5,INDEX('Cashflow - PVC Phenol Ethane'!$J$22:$J$29,MATCH(Sheet2!A14,'Cashflow - PVC Phenol Ethane'!$B$22:$B$29,0)))))</f>
        <v>58.772785499999991</v>
      </c>
      <c r="C14" s="1134"/>
      <c r="D14" s="5" t="s">
        <v>158</v>
      </c>
      <c r="E14" s="720" t="str" cm="1">
        <f t="array" ref="E14">IFERROR(INDEX((Capex!$D$3:$D$22,Capex!$H$3:$H$22,Capex!$L$3:$L$22),MATCH(Sheet2!D14,Capex!$B$3:$B$22,0),,Dashboard!$A$1),"")</f>
        <v/>
      </c>
      <c r="G14" s="7" t="s">
        <v>150</v>
      </c>
    </row>
    <row r="15" spans="1:10 16384:16384">
      <c r="A15" s="1033" t="s">
        <v>20</v>
      </c>
      <c r="B15" s="1035" cm="1">
        <f t="array" ref="B15">IF(OR($A$1=1,,$A$1=2,$A$1=3),INDEX((Opex!$D$3:$D$18,Opex!$D$23:$D$38,Opex!$D$43:$D$58),MATCH(Sheet2!$A15,Opex!$B$3:$B$18,0),,Dashboard!$A$1),IF($A$1=4,INDEX('Cashflow - PVC Phenol Propane'!$J$20:$J$27,MATCH(Sheet2!A15,'Cashflow - PVC Phenol Propane'!$B$20:$B$27,0)),IF($A$1=5,INDEX('Cashflow - PVC Phenol Ethane'!$J$22:$J$29,MATCH(Sheet2!A15,'Cashflow - PVC Phenol Ethane'!$B$22:$B$29,0)))))</f>
        <v>389.06113085477159</v>
      </c>
      <c r="C15" s="1134"/>
      <c r="D15" s="1033" t="s">
        <v>159</v>
      </c>
      <c r="E15" s="1035" t="str" cm="1">
        <f t="array" ref="E15">IFERROR(INDEX((Capex!$D$3:$D$22,Capex!$H$3:$H$22,Capex!$L$3:$L$22),MATCH(Sheet2!D15,Capex!$B$3:$B$22,0),,Dashboard!$A$1),"")</f>
        <v/>
      </c>
      <c r="G15" s="48" t="str">
        <f>ROUND(IF(Sheet2!$A$1=1,'Cashflow Option 1'!$G$35,IF(Sheet2!$A$1=2,'Cashflow Option 2'!$G$35,IF(Sheet2!$A$1=3,'Cashflow Option 3'!$G$35,IF(Sheet2!A1=4,'Cashflow - PVC Phenol Propane'!G39,IF(Sheet2!A1=5,'Cashflow - PVC Phenol Ethane'!G41))))),1)&amp;" Yrs"</f>
        <v>4 Yrs</v>
      </c>
    </row>
    <row r="16" spans="1:10 16384:16384">
      <c r="A16" s="5" t="s">
        <v>23</v>
      </c>
      <c r="B16" s="720" cm="1">
        <f t="array" ref="B16">IF(OR($A$1=1,,$A$1=2,$A$1=3),INDEX((Opex!$D$3:$D$18,Opex!$D$23:$D$38,Opex!$D$43:$D$58),MATCH(Sheet2!$A16,Opex!$B$3:$B$18,0),,Dashboard!$A$1),IF($A$1=4,INDEX('Cashflow - PVC Phenol Propane'!$J$20:$J$27,MATCH(Sheet2!A16,'Cashflow - PVC Phenol Propane'!$B$20:$B$27,0)),IF($A$1=5,INDEX('Cashflow - PVC Phenol Ethane'!$J$22:$J$29,MATCH(Sheet2!A16,'Cashflow - PVC Phenol Ethane'!$B$22:$B$29,0)))))</f>
        <v>108.79573366174417</v>
      </c>
      <c r="C16" s="1134"/>
      <c r="D16" s="73"/>
      <c r="E16" s="5"/>
    </row>
    <row r="17" spans="1:5">
      <c r="A17" s="1033" t="s">
        <v>25</v>
      </c>
      <c r="B17" s="1035" cm="1">
        <f t="array" ref="B17">IF(OR($A$1=1,,$A$1=2,$A$1=3),INDEX((Opex!$D$3:$D$18,Opex!$D$23:$D$38,Opex!$D$43:$D$58),MATCH(Sheet2!$A17,Opex!$B$3:$B$18,0),,Dashboard!$A$1),IF($A$1=4,INDEX('Cashflow - PVC Phenol Propane'!$J$20:$J$27,MATCH(Sheet2!A17,'Cashflow - PVC Phenol Propane'!$B$20:$B$27,0)),IF($A$1=5,INDEX('Cashflow - PVC Phenol Ethane'!$J$22:$J$29,MATCH(Sheet2!A17,'Cashflow - PVC Phenol Ethane'!$B$22:$B$29,0)))))</f>
        <v>179.3375803381395</v>
      </c>
      <c r="C17" s="1134"/>
      <c r="D17" s="5" t="s">
        <v>600</v>
      </c>
      <c r="E17" s="1132" t="s">
        <v>358</v>
      </c>
    </row>
    <row r="18" spans="1:5">
      <c r="A18" s="5" t="s">
        <v>34</v>
      </c>
      <c r="B18" s="720" cm="1">
        <f t="array" ref="B18">IF(OR($A$1=1,,$A$1=2,$A$1=3),INDEX((Opex!$D$3:$D$18,Opex!$D$23:$D$38,Opex!$D$43:$D$58),MATCH(Sheet2!$A18,Opex!$B$3:$B$18,0),,Dashboard!$A$1),IF($A$1=4,INDEX('Cashflow - PVC Phenol Propane'!$J$20:$J$27,MATCH(Sheet2!A18,'Cashflow - PVC Phenol Propane'!$B$20:$B$27,0)),IF($A$1=5,INDEX('Cashflow - PVC Phenol Ethane'!$J$22:$J$29,MATCH(Sheet2!A18,'Cashflow - PVC Phenol Ethane'!$B$22:$B$29,0)))))</f>
        <v>3324.2601086506934</v>
      </c>
      <c r="C18" s="1134"/>
      <c r="D18" s="6" t="s">
        <v>114</v>
      </c>
      <c r="E18" s="1133" t="s">
        <v>123</v>
      </c>
    </row>
    <row r="19" spans="1:5">
      <c r="A19" s="5"/>
      <c r="C19" s="5"/>
      <c r="D19" s="5" t="s">
        <v>624</v>
      </c>
      <c r="E19" s="1132">
        <f>[5]Capex!D21</f>
        <v>4159.4497678079997</v>
      </c>
    </row>
    <row r="20" spans="1:5">
      <c r="A20" s="6" t="s">
        <v>116</v>
      </c>
      <c r="B20" s="1034" t="s">
        <v>152</v>
      </c>
      <c r="C20" s="5"/>
      <c r="D20" s="5" t="s">
        <v>625</v>
      </c>
      <c r="E20" s="1132">
        <f>Capex!$D$22</f>
        <v>1768.675</v>
      </c>
    </row>
    <row r="21" spans="1:5">
      <c r="A21" s="1033" t="s">
        <v>160</v>
      </c>
      <c r="B21" s="1035" cm="1">
        <f t="array" ref="B21">IF(OR($A$1=1,$A$1=2,$A$1=3),INDEX(('Annual COP'!$I$8:$I$18,'Annual COP'!$L$8:$L$18,'Annual COP'!$O$8:$O$18,'Annual COP'!$R$8:$R$18),MATCH(Sheet2!$A21,'Annual COP'!$H$8:$H$18,0),,Sheet2!A1),IF($A$1=4,'Cashflow - PVC Phenol Propane'!J20+'Cashflow - PVC Phenol Propane'!J21+'Cashflow - PVC Phenol Propane'!J23+'Cashflow - PVC Phenol Propane'!J25,IF($A$1=5,'Cashflow - PVC Phenol Ethane'!J22+'Cashflow - PVC Phenol Ethane'!J23+'Cashflow - PVC Phenol Ethane'!J25+'Cashflow - PVC Phenol Ethane'!J27)))</f>
        <v>3156.6915894889489</v>
      </c>
      <c r="C21" s="5"/>
      <c r="D21" s="5" t="str">
        <f>IF(OR($A$1=1,$A$1=2,$A$1=3),"",IF($A$1=4,"PROPANE FURNACE ADDITION","ETHANE FURNACE ADDITION"))</f>
        <v>ETHANE FURNACE ADDITION</v>
      </c>
      <c r="E21" s="1132">
        <f>IF($A$1=4,'Cashflow - PVC Phenol Propane'!G9,'Cashflow - PVC Phenol Ethane'!G9)</f>
        <v>2664</v>
      </c>
    </row>
    <row r="22" spans="1:5">
      <c r="A22" s="5" t="s">
        <v>161</v>
      </c>
      <c r="B22" s="720" cm="1">
        <f t="array" ref="B22">IF(OR($A$1=1,$A$1=2,$A$1=3),INDEX(('Annual COP'!$I$8:$I$18,'Annual COP'!$L$8:$L$18,'Annual COP'!$O$8:$O$18,'Annual COP'!$R$8:$R$18),MATCH(Sheet2!$A22,'Annual COP'!$H$8:$H$18,0),,Sheet2!$A$1),IF($A$1=4,'Cashflow - PVC Phenol Propane'!J22+'Cashflow - PVC Phenol Propane'!J24,IF($A$1=5,'Cashflow - PVC Phenol Ethane'!J24+'Cashflow - PVC Phenol Ethane'!J26)))</f>
        <v>167.56851916174415</v>
      </c>
      <c r="C22" s="5"/>
      <c r="D22" s="5"/>
      <c r="E22" s="5"/>
    </row>
    <row r="23" spans="1:5">
      <c r="A23" s="5"/>
      <c r="C23" s="5"/>
      <c r="D23" s="5"/>
      <c r="E23" s="5"/>
    </row>
    <row r="24" spans="1:5">
      <c r="C24" s="5"/>
      <c r="D24" s="5"/>
      <c r="E24" s="5"/>
    </row>
    <row r="25" spans="1:5">
      <c r="C25" s="5"/>
      <c r="D25" s="5"/>
      <c r="E25" s="5"/>
    </row>
    <row r="26" spans="1:5">
      <c r="C26" s="5"/>
      <c r="D26" s="5"/>
      <c r="E26" s="5"/>
    </row>
    <row r="27" spans="1:5" s="5" customFormat="1">
      <c r="B27" s="720"/>
    </row>
    <row r="28" spans="1:5" s="5" customFormat="1">
      <c r="B28" s="720"/>
    </row>
    <row r="29" spans="1:5" s="5" customFormat="1">
      <c r="B29" s="720"/>
    </row>
    <row r="30" spans="1:5">
      <c r="C30" s="5"/>
      <c r="D30" s="5"/>
      <c r="E30" s="5"/>
    </row>
    <row r="31" spans="1:5">
      <c r="C31" s="5"/>
      <c r="D31" s="5"/>
      <c r="E31" s="5"/>
    </row>
    <row r="33" spans="1:5">
      <c r="C33" s="5"/>
      <c r="D33" s="5"/>
      <c r="E33" s="5"/>
    </row>
    <row r="34" spans="1:5">
      <c r="C34" s="5"/>
      <c r="D34" s="5"/>
      <c r="E34" s="5"/>
    </row>
    <row r="35" spans="1:5">
      <c r="C35" s="5"/>
      <c r="D35" s="5"/>
      <c r="E35" s="5"/>
    </row>
    <row r="36" spans="1:5">
      <c r="C36" s="5"/>
      <c r="D36" s="5"/>
      <c r="E36" s="5"/>
    </row>
    <row r="37" spans="1:5">
      <c r="C37" s="5"/>
      <c r="D37" s="5"/>
      <c r="E37" s="5"/>
    </row>
    <row r="38" spans="1:5">
      <c r="A38" s="5"/>
      <c r="C38" s="5"/>
      <c r="D38" s="5"/>
      <c r="E38" s="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27"/>
  <sheetViews>
    <sheetView showGridLines="0" workbookViewId="0">
      <selection activeCell="P14" sqref="P14"/>
    </sheetView>
  </sheetViews>
  <sheetFormatPr defaultColWidth="0" defaultRowHeight="15" zeroHeight="1"/>
  <cols>
    <col min="1" max="13" width="9.140625" customWidth="1"/>
    <col min="14" max="14" width="7.5703125" customWidth="1"/>
    <col min="15" max="15" width="8.140625" customWidth="1"/>
    <col min="16" max="19" width="9.140625" customWidth="1"/>
    <col min="20" max="20" width="7.85546875" customWidth="1"/>
    <col min="21" max="21" width="9.140625" customWidth="1"/>
    <col min="22" max="16384" width="9.140625" hidden="1"/>
  </cols>
  <sheetData>
    <row r="1"/>
    <row r="2"/>
    <row r="3"/>
    <row r="4"/>
    <row r="5"/>
    <row r="6"/>
    <row r="7"/>
    <row r="8"/>
    <row r="9"/>
    <row r="10"/>
    <row r="11"/>
    <row r="12"/>
    <row r="13"/>
    <row r="14"/>
    <row r="15"/>
    <row r="16"/>
    <row r="17"/>
    <row r="18"/>
    <row r="19"/>
    <row r="20"/>
    <row r="21"/>
    <row r="22"/>
    <row r="23"/>
    <row r="24"/>
    <row r="25"/>
    <row r="26"/>
    <row r="27"/>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DDB7E-D07C-46BA-8217-7D1587154E19}">
  <sheetPr codeName="Sheet36"/>
  <dimension ref="A1:V32"/>
  <sheetViews>
    <sheetView showGridLines="0" topLeftCell="A11" zoomScale="90" zoomScaleNormal="90" workbookViewId="0">
      <selection activeCell="A19" sqref="A19:E31"/>
    </sheetView>
  </sheetViews>
  <sheetFormatPr defaultRowHeight="15"/>
  <cols>
    <col min="1" max="1" width="10.28515625" customWidth="1"/>
    <col min="2" max="2" width="16.7109375" customWidth="1"/>
    <col min="3" max="3" width="18.42578125" customWidth="1"/>
    <col min="4" max="4" width="23.42578125" customWidth="1"/>
    <col min="5" max="5" width="22.28515625" customWidth="1"/>
    <col min="6" max="6" width="2.140625" customWidth="1"/>
    <col min="7" max="7" width="8.5703125" customWidth="1"/>
    <col min="8" max="8" width="7.42578125" customWidth="1"/>
    <col min="9" max="10" width="7" customWidth="1"/>
    <col min="11" max="11" width="6.7109375" customWidth="1"/>
    <col min="12" max="12" width="7.28515625" customWidth="1"/>
    <col min="13" max="13" width="6.85546875" customWidth="1"/>
    <col min="14" max="14" width="9.140625" customWidth="1"/>
    <col min="15" max="15" width="2.42578125" customWidth="1"/>
    <col min="16" max="16" width="8.140625" customWidth="1"/>
    <col min="17" max="17" width="6.5703125" customWidth="1"/>
    <col min="18" max="18" width="5.5703125" customWidth="1"/>
    <col min="19" max="19" width="6.140625" customWidth="1"/>
    <col min="20" max="21" width="7.140625" customWidth="1"/>
    <col min="22" max="22" width="11.28515625" customWidth="1"/>
  </cols>
  <sheetData>
    <row r="1" spans="1:22">
      <c r="A1" s="1043">
        <f>IF(B7="Scenario 1",1,IF(B7="Scenario 2",2,IF(B7="Scenario 3",3,IF(B7="Scenario 4",4,5))))</f>
        <v>5</v>
      </c>
    </row>
    <row r="2" spans="1:22">
      <c r="A2">
        <f>IF(OR(A1=4,A1=5),1,0)</f>
        <v>1</v>
      </c>
    </row>
    <row r="5" spans="1:22" ht="11.25" customHeight="1"/>
    <row r="6" spans="1:22" ht="1.5" hidden="1" customHeight="1"/>
    <row r="7" spans="1:22" ht="16.5" customHeight="1">
      <c r="B7" s="1032" t="s">
        <v>237</v>
      </c>
    </row>
    <row r="8" spans="1:22" ht="18.75">
      <c r="A8" s="1044" t="s">
        <v>15</v>
      </c>
      <c r="B8" s="1044"/>
      <c r="C8" s="1135" t="s">
        <v>576</v>
      </c>
      <c r="D8" s="1135"/>
      <c r="E8" s="1038" t="s">
        <v>577</v>
      </c>
      <c r="G8" s="1039" t="s">
        <v>575</v>
      </c>
      <c r="H8" s="1040"/>
      <c r="I8" s="1040"/>
      <c r="J8" s="1040">
        <v>2028</v>
      </c>
      <c r="K8" s="1040"/>
      <c r="L8" s="1040"/>
      <c r="M8" s="1040"/>
      <c r="N8" s="1041"/>
      <c r="P8" s="1042" t="s">
        <v>113</v>
      </c>
      <c r="Q8" s="1042"/>
      <c r="R8" s="1042"/>
      <c r="S8" s="1042"/>
      <c r="T8" s="1042"/>
      <c r="U8" s="1042"/>
      <c r="V8" s="1042"/>
    </row>
    <row r="9" spans="1:22" ht="15.75">
      <c r="A9" s="1181" t="s">
        <v>2</v>
      </c>
      <c r="B9" s="1045"/>
      <c r="C9" s="1136" cm="1">
        <f t="array" ref="C9">INDEX((Scenario!$C$3:$C$4,Scenario!$E$3:$E$4,Scenario!$G$3:$G$4,Scenario!$C$3:$C$4,Scenario!$C$3:$C$4),MATCH(Dashboard!A9,Scenario!$B$3:$B$4,0),,$A$1)</f>
        <v>91750</v>
      </c>
      <c r="D9" s="1045"/>
      <c r="E9" s="1046" cm="1">
        <f t="array" ref="E9">INDEX((Scenario!$D$3:$D$4,Scenario!$F$3:$F$4,Scenario!$H$3:$H$4,Scenario!$D$3:$D$4,Scenario!$D$3:$D$4),MATCH(Dashboard!$A9,Scenario!$B$3:$B$4,0),,Dashboard!$A$1)</f>
        <v>47244.380438566972</v>
      </c>
    </row>
    <row r="10" spans="1:22" ht="15.75">
      <c r="A10" s="1181" t="s">
        <v>3</v>
      </c>
      <c r="B10" s="1045"/>
      <c r="C10" s="1136" cm="1">
        <f t="array" ref="C10">INDEX((Scenario!$C$3:$C$4,Scenario!$E$3:$E$4,Scenario!$G$3:$G$4,Scenario!$C$3:$C$4,Scenario!$C$3:$C$4),MATCH(Dashboard!A10,Scenario!$B$3:$B$4,0),,$A$1)</f>
        <v>164000</v>
      </c>
      <c r="D10" s="1045"/>
      <c r="E10" s="1046" cm="1">
        <f t="array" ref="E10">INDEX((Scenario!$D$3:$D$4,Scenario!$F$3:$F$4,Scenario!$H$3:$H$4,Scenario!$D$3:$D$4,Scenario!$D$3:$D$4),MATCH(Dashboard!$A10,Scenario!$B$3:$B$4,0),,Dashboard!$A$1)</f>
        <v>49804.452380952382</v>
      </c>
    </row>
    <row r="11" spans="1:22" ht="15.75">
      <c r="A11" s="1181"/>
      <c r="B11" s="1138"/>
      <c r="C11" s="1140"/>
      <c r="D11" s="1137"/>
      <c r="E11" s="1141"/>
    </row>
    <row r="12" spans="1:22" ht="15.75">
      <c r="A12" s="1181" t="str" cm="1">
        <f t="array" ref="A12:A14">IF(OR(Dashboard!A1=1,Dashboard!A1=2,Dashboard!A1=3),"",_xlfn._xlws.FILTER('[5]Opex PVC'!$A$4:$A$7,'[5]Opex PVC'!B4:B7))</f>
        <v>Ethylene</v>
      </c>
      <c r="B12" s="1045"/>
      <c r="C12" s="1140">
        <f>IF(OR($A$1=1,$A$1=2,$A$1=3),"",INDEX('Opex PVC'!$B$4:$B$6,MATCH(A12,'Opex PVC'!$A$4:$A$6,0)))</f>
        <v>161200</v>
      </c>
      <c r="D12" s="1137"/>
      <c r="E12" s="1141">
        <f>IF(OR($A$1=1,$A$1=2,$A$1=3),"",INDEX('Opex PVC'!$C$4:$C$6,MATCH(A12,'Opex PVC'!$A$4:$A$6,0)))</f>
        <v>37679.592030365828</v>
      </c>
    </row>
    <row r="13" spans="1:22" ht="15.75">
      <c r="A13" s="1181" t="str">
        <v xml:space="preserve">Chlorine </v>
      </c>
      <c r="B13" s="1045"/>
      <c r="C13" s="1140">
        <f>IF(OR($A$1=1,$A$1=2,$A$1=3),"",INDEX('Opex PVC'!$B$4:$B$6,MATCH(A13,'Opex PVC'!$A$4:$A$6,0)))</f>
        <v>206500</v>
      </c>
      <c r="D13" s="1137"/>
      <c r="E13" s="1141">
        <f>IF(OR($A$1=1,$A$1=2,$A$1=3),"",INDEX('Opex PVC'!$C$4:$C$6,MATCH(A13,'Opex PVC'!$A$4:$A$6,0)))</f>
        <v>5900</v>
      </c>
    </row>
    <row r="14" spans="1:22" ht="15.75">
      <c r="A14" s="1181" t="str">
        <v>Oxygen</v>
      </c>
      <c r="B14" s="1045"/>
      <c r="C14" s="1140">
        <f>IF(OR($A$1=1,$A$1=2,$A$1=3),"",INDEX('Opex PVC'!$B$4:$B$6,MATCH(A14,'Opex PVC'!$A$4:$A$6,0)))</f>
        <v>49000</v>
      </c>
      <c r="D14" s="1137"/>
      <c r="E14" s="1141">
        <f>IF(OR($A$1=1,$A$1=2,$A$1=3),"",INDEX('Opex PVC'!$C$4:$C$6,MATCH(A14,'Opex PVC'!$A$4:$A$6,0)))</f>
        <v>5550</v>
      </c>
    </row>
    <row r="15" spans="1:22">
      <c r="B15" s="5"/>
      <c r="C15" s="5"/>
    </row>
    <row r="16" spans="1:22">
      <c r="E16" s="1036"/>
    </row>
    <row r="17" spans="1:22">
      <c r="C17" s="1139"/>
      <c r="D17" s="5"/>
      <c r="E17" s="1036"/>
    </row>
    <row r="18" spans="1:22" ht="12" customHeight="1">
      <c r="D18" s="5"/>
      <c r="E18" s="1036"/>
    </row>
    <row r="19" spans="1:22" ht="18.75">
      <c r="A19" s="1180" t="s">
        <v>601</v>
      </c>
      <c r="B19" s="1180"/>
      <c r="C19" s="1180"/>
      <c r="D19" s="1180"/>
      <c r="E19" s="1180"/>
      <c r="G19" s="1042" t="s">
        <v>159</v>
      </c>
      <c r="H19" s="1042"/>
      <c r="I19" s="1042"/>
      <c r="J19" s="1042"/>
      <c r="K19" s="1042"/>
      <c r="L19" s="1042"/>
      <c r="M19" s="1042"/>
      <c r="N19" s="1042"/>
      <c r="P19" s="1042" t="s">
        <v>113</v>
      </c>
      <c r="Q19" s="1042"/>
      <c r="R19" s="1042"/>
      <c r="S19" s="1042"/>
      <c r="T19" s="1042"/>
      <c r="U19" s="1042"/>
      <c r="V19" s="1042"/>
    </row>
    <row r="20" spans="1:22">
      <c r="A20" s="1182" t="s">
        <v>301</v>
      </c>
      <c r="B20" s="1182"/>
      <c r="C20" s="1182"/>
      <c r="D20" s="1183" t="s">
        <v>623</v>
      </c>
      <c r="E20" s="1184" t="s">
        <v>607</v>
      </c>
    </row>
    <row r="21" spans="1:22">
      <c r="A21" s="1178" t="s">
        <v>611</v>
      </c>
      <c r="B21" s="1185"/>
      <c r="C21" s="1186"/>
      <c r="D21" s="1179"/>
      <c r="E21" s="1179"/>
    </row>
    <row r="22" spans="1:22">
      <c r="A22" s="1187" t="s">
        <v>620</v>
      </c>
      <c r="B22" s="1188"/>
      <c r="C22" s="1189"/>
      <c r="D22" s="1190">
        <f>'Net Change in Margin'!$B$47</f>
        <v>5728.2657782086408</v>
      </c>
      <c r="E22" s="1190">
        <f>'Net Change in Margin'!$D$47</f>
        <v>4576.8551324502059</v>
      </c>
    </row>
    <row r="23" spans="1:22" ht="10.5" customHeight="1">
      <c r="A23" s="103"/>
      <c r="B23" s="103"/>
      <c r="C23" s="103"/>
      <c r="D23" s="103"/>
      <c r="E23" s="103"/>
    </row>
    <row r="24" spans="1:22">
      <c r="A24" s="1178" t="s">
        <v>613</v>
      </c>
      <c r="B24" s="1185"/>
      <c r="C24" s="1186"/>
      <c r="D24" s="1179"/>
      <c r="E24" s="1179"/>
    </row>
    <row r="25" spans="1:22">
      <c r="A25" s="1187" t="s">
        <v>620</v>
      </c>
      <c r="B25" s="1188"/>
      <c r="C25" s="1189"/>
      <c r="D25" s="1190">
        <f>'Net Change in Margin'!$B$60</f>
        <v>4320.9939501891295</v>
      </c>
      <c r="E25" s="1190">
        <f>'Net Change in Margin'!$D$60</f>
        <v>3169.5833044307001</v>
      </c>
    </row>
    <row r="26" spans="1:22" ht="9.75" customHeight="1">
      <c r="A26" s="103"/>
      <c r="B26" s="103"/>
      <c r="C26" s="103"/>
      <c r="D26" s="103"/>
      <c r="E26" s="103"/>
    </row>
    <row r="27" spans="1:22">
      <c r="A27" s="1178" t="s">
        <v>621</v>
      </c>
      <c r="B27" s="1185"/>
      <c r="C27" s="1186"/>
      <c r="D27" s="1179"/>
      <c r="E27" s="1179"/>
    </row>
    <row r="28" spans="1:22">
      <c r="A28" s="1187" t="s">
        <v>620</v>
      </c>
      <c r="B28" s="1188"/>
      <c r="C28" s="1189"/>
      <c r="D28" s="1190">
        <f>'Net Change in Margin'!$B$72</f>
        <v>4172.9275551973697</v>
      </c>
      <c r="E28" s="1190">
        <f>'Net Change in Margin'!$D$72</f>
        <v>3021.5169094389366</v>
      </c>
    </row>
    <row r="29" spans="1:22" ht="9.75" customHeight="1">
      <c r="A29" s="103"/>
      <c r="B29" s="103"/>
      <c r="C29" s="103"/>
      <c r="D29" s="103"/>
      <c r="E29" s="103"/>
    </row>
    <row r="30" spans="1:22">
      <c r="A30" s="1178" t="s">
        <v>622</v>
      </c>
      <c r="B30" s="1185"/>
      <c r="C30" s="1186"/>
      <c r="D30" s="1179"/>
      <c r="E30" s="1179"/>
    </row>
    <row r="31" spans="1:22">
      <c r="A31" s="1187" t="s">
        <v>620</v>
      </c>
      <c r="B31" s="1188"/>
      <c r="C31" s="1189"/>
      <c r="D31" s="1190">
        <f>'Net Change in Margin'!$B$83</f>
        <v>2765.6557271778602</v>
      </c>
      <c r="E31" s="1190">
        <f>'Net Change in Margin'!$D$83</f>
        <v>1614.2450814194308</v>
      </c>
    </row>
    <row r="32" spans="1:22">
      <c r="A32" s="1"/>
      <c r="B32" s="1"/>
      <c r="C32" s="1"/>
      <c r="D32" s="1"/>
      <c r="E32" s="1"/>
    </row>
  </sheetData>
  <conditionalFormatting sqref="A30:E31 A27:E28 A24:E25 A19:E22">
    <cfRule type="expression" dxfId="3" priority="1">
      <formula>$A$2=0</formula>
    </cfRule>
  </conditionalFormatting>
  <dataValidations disablePrompts="1" count="1">
    <dataValidation type="list" allowBlank="1" showInputMessage="1" showErrorMessage="1" sqref="B7" xr:uid="{69A6E84C-E0C2-4437-84D1-C8CA91920B55}">
      <formula1>"Scenario 1,Scenario 2,Scenario 3,Scenario 4,Scenario 5"</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C242236-13C7-4270-B229-0D71A431C712}">
          <x14:formula1>
            <xm:f>'Cashflow Option 1'!$XFD$1:$XFD$23</xm:f>
          </x14:formula1>
          <xm:sqref>J8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1:I6"/>
  <sheetViews>
    <sheetView showGridLines="0" zoomScale="110" zoomScaleNormal="110" workbookViewId="0">
      <pane ySplit="1" topLeftCell="A2" activePane="bottomLeft" state="frozen"/>
      <selection activeCell="D41" sqref="D41"/>
      <selection pane="bottomLeft" activeCell="A8" sqref="A8"/>
    </sheetView>
  </sheetViews>
  <sheetFormatPr defaultRowHeight="11.25"/>
  <cols>
    <col min="1" max="1" width="169.140625" style="191" customWidth="1"/>
    <col min="2" max="2" width="18.5703125" style="191" bestFit="1" customWidth="1"/>
    <col min="3" max="3" width="13.140625" style="191" customWidth="1"/>
    <col min="4" max="4" width="14.7109375" style="191" customWidth="1"/>
    <col min="5" max="5" width="14.28515625" style="191" customWidth="1"/>
    <col min="6" max="6" width="13.28515625" style="191" customWidth="1"/>
    <col min="7" max="7" width="16.5703125" style="191" customWidth="1"/>
    <col min="8" max="8" width="12.85546875" style="191" customWidth="1"/>
    <col min="9" max="9" width="13" style="191" customWidth="1"/>
    <col min="10" max="10" width="13.85546875" style="191" customWidth="1"/>
    <col min="11" max="11" width="11.42578125" style="191" customWidth="1"/>
    <col min="12" max="12" width="21" style="191" bestFit="1" customWidth="1"/>
    <col min="13" max="13" width="9.140625" style="191"/>
    <col min="14" max="14" width="17.7109375" style="191" bestFit="1" customWidth="1"/>
    <col min="15" max="15" width="25" style="191" bestFit="1" customWidth="1"/>
    <col min="16" max="16" width="9.140625" style="191"/>
    <col min="17" max="17" width="17.7109375" style="191" bestFit="1" customWidth="1"/>
    <col min="18" max="18" width="21" style="191" bestFit="1" customWidth="1"/>
    <col min="19" max="19" width="9.140625" style="191"/>
    <col min="20" max="20" width="17.7109375" style="191" bestFit="1" customWidth="1"/>
    <col min="21" max="21" width="24" style="191" bestFit="1" customWidth="1"/>
    <col min="22" max="16384" width="9.140625" style="191"/>
  </cols>
  <sheetData>
    <row r="1" spans="1:9">
      <c r="A1" s="994" t="s">
        <v>553</v>
      </c>
    </row>
    <row r="2" spans="1:9" ht="24.75" customHeight="1">
      <c r="A2" s="995" t="s">
        <v>540</v>
      </c>
    </row>
    <row r="3" spans="1:9" ht="33.75" customHeight="1">
      <c r="A3" s="996" t="s">
        <v>554</v>
      </c>
      <c r="B3" s="837"/>
      <c r="C3" s="837"/>
      <c r="D3" s="837"/>
      <c r="E3" s="837"/>
      <c r="F3" s="837"/>
      <c r="G3" s="837"/>
      <c r="H3" s="837"/>
      <c r="I3" s="838"/>
    </row>
    <row r="4" spans="1:9" ht="25.5" customHeight="1">
      <c r="A4" s="995" t="s">
        <v>557</v>
      </c>
      <c r="B4" s="840"/>
      <c r="C4" s="840"/>
      <c r="D4" s="840"/>
      <c r="E4" s="840"/>
      <c r="F4" s="840"/>
      <c r="G4" s="840"/>
      <c r="H4" s="840"/>
      <c r="I4" s="841"/>
    </row>
    <row r="5" spans="1:9" ht="29.25" customHeight="1">
      <c r="A5" s="995" t="s">
        <v>556</v>
      </c>
    </row>
    <row r="6" spans="1:9" ht="14.25" customHeight="1"/>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1AB21-5B28-45C9-8308-E36067153B18}">
  <sheetPr codeName="Sheet2">
    <tabColor rgb="FFFF0000"/>
  </sheetPr>
  <dimension ref="A1:AL102"/>
  <sheetViews>
    <sheetView showGridLines="0" topLeftCell="B6" zoomScale="80" zoomScaleNormal="80" workbookViewId="0">
      <selection activeCell="E6" sqref="E6"/>
    </sheetView>
  </sheetViews>
  <sheetFormatPr defaultRowHeight="15"/>
  <cols>
    <col min="1" max="1" width="95.140625" style="5" customWidth="1"/>
    <col min="2" max="2" width="23.85546875" style="5" customWidth="1"/>
    <col min="3" max="3" width="24.140625" style="5" customWidth="1"/>
    <col min="4" max="4" width="14.7109375" style="5" bestFit="1" customWidth="1"/>
    <col min="5" max="5" width="20.42578125" style="5" customWidth="1"/>
    <col min="6" max="6" width="15.7109375" style="5" customWidth="1"/>
    <col min="7" max="7" width="30.5703125" style="5" customWidth="1"/>
    <col min="8" max="8" width="22.140625" style="5" customWidth="1"/>
    <col min="9" max="9" width="18.140625" style="5" customWidth="1"/>
    <col min="10" max="10" width="17.140625" style="5" customWidth="1"/>
    <col min="11" max="11" width="21.140625" style="5" customWidth="1"/>
    <col min="12" max="12" width="15.7109375" style="5" customWidth="1"/>
    <col min="13" max="13" width="27.5703125" style="5" customWidth="1"/>
    <col min="14" max="25" width="15.7109375" style="5" customWidth="1"/>
    <col min="26" max="36" width="9.140625" style="5" customWidth="1"/>
    <col min="37" max="16384" width="9.140625" style="5"/>
  </cols>
  <sheetData>
    <row r="1" spans="1:24">
      <c r="A1" s="1214" t="str">
        <f>[8]Capex!A1</f>
        <v>Capacity for 350 KTPA PVC Plant using Captive Ethylene</v>
      </c>
      <c r="B1" s="1215"/>
      <c r="C1" s="1215"/>
      <c r="D1" s="1215"/>
      <c r="E1" s="1216" t="s">
        <v>123</v>
      </c>
      <c r="F1" s="711">
        <v>2028</v>
      </c>
      <c r="G1" s="711">
        <v>2029</v>
      </c>
      <c r="H1" s="711">
        <v>2030</v>
      </c>
      <c r="I1" s="711">
        <v>2031</v>
      </c>
      <c r="J1" s="711">
        <v>2032</v>
      </c>
      <c r="K1" s="711">
        <v>2033</v>
      </c>
      <c r="L1" s="711">
        <v>2034</v>
      </c>
      <c r="M1" s="711">
        <v>2035</v>
      </c>
      <c r="N1" s="711">
        <v>2036</v>
      </c>
      <c r="O1" s="711">
        <v>2037</v>
      </c>
      <c r="P1" s="711">
        <v>2038</v>
      </c>
      <c r="Q1" s="711">
        <v>2039</v>
      </c>
      <c r="R1" s="711">
        <v>2040</v>
      </c>
      <c r="S1" s="711">
        <v>2041</v>
      </c>
      <c r="T1" s="711">
        <v>2042</v>
      </c>
      <c r="U1" s="711">
        <v>2043</v>
      </c>
      <c r="V1" s="711">
        <v>2044</v>
      </c>
      <c r="W1" s="711">
        <v>2045</v>
      </c>
      <c r="X1" s="711">
        <v>2046</v>
      </c>
    </row>
    <row r="2" spans="1:24" ht="16.5" customHeight="1">
      <c r="A2" s="1217" t="s">
        <v>13</v>
      </c>
      <c r="B2" s="1192" t="s">
        <v>81</v>
      </c>
      <c r="C2" s="1192" t="s">
        <v>82</v>
      </c>
      <c r="D2" s="1218"/>
      <c r="E2" s="1219">
        <v>1178.0606273074638</v>
      </c>
    </row>
    <row r="3" spans="1:24">
      <c r="A3" s="1220" t="s">
        <v>15</v>
      </c>
      <c r="B3" s="1221" t="s">
        <v>84</v>
      </c>
      <c r="C3" s="1221" t="s">
        <v>151</v>
      </c>
      <c r="D3" s="1222"/>
      <c r="E3" s="1223">
        <v>822.36124980156001</v>
      </c>
      <c r="F3" s="1212">
        <f>E3+E3*1.41%</f>
        <v>833.95654342376201</v>
      </c>
      <c r="G3" s="1212">
        <f>F3+F3*1.54%</f>
        <v>846.79947419248799</v>
      </c>
      <c r="H3" s="1212">
        <f>G3+G3*1.47%</f>
        <v>859.24742646311756</v>
      </c>
      <c r="I3" s="1212">
        <f>H3+H3*1.21%</f>
        <v>869.64432032332127</v>
      </c>
      <c r="J3" s="1212">
        <f>I3+I3*1.34%</f>
        <v>881.2975542156538</v>
      </c>
      <c r="K3" s="1212">
        <f>J3+J3*1.31%</f>
        <v>892.84255217587884</v>
      </c>
      <c r="L3" s="1212">
        <f>K3+K3*1.35%</f>
        <v>904.89592663025326</v>
      </c>
      <c r="M3" s="1212">
        <f>L3+L3*1.5%</f>
        <v>918.46936552970703</v>
      </c>
      <c r="N3" s="1212">
        <f>M3+M3*1.04%</f>
        <v>928.02144693121602</v>
      </c>
      <c r="O3" s="1212">
        <f>N3+N3*1.12%</f>
        <v>938.41528713684568</v>
      </c>
      <c r="P3" s="1212">
        <f>O3+O3*1.15%</f>
        <v>949.20706293891942</v>
      </c>
      <c r="Q3" s="1212">
        <f>P3+P3*1.05%</f>
        <v>959.17373709977812</v>
      </c>
      <c r="R3" s="1212">
        <f>Q3+Q3*1.03%</f>
        <v>969.05322659190585</v>
      </c>
      <c r="S3" s="1212">
        <f>R3+R3*1.02%</f>
        <v>978.93756950314332</v>
      </c>
      <c r="T3" s="1212">
        <f>S3+S3*1.15%</f>
        <v>990.19535155242943</v>
      </c>
      <c r="U3" s="1212">
        <f>T3+T3*1.18%</f>
        <v>1001.8796567007481</v>
      </c>
      <c r="V3" s="1212">
        <f>U3+U3*1.25%</f>
        <v>1014.4031524095075</v>
      </c>
      <c r="W3" s="1212">
        <f>V3+V3*1.15%</f>
        <v>1026.0687886622168</v>
      </c>
      <c r="X3" s="1212">
        <f>W3+W3*1.17%</f>
        <v>1038.0737934895647</v>
      </c>
    </row>
    <row r="4" spans="1:24">
      <c r="A4" s="1224" t="s">
        <v>165</v>
      </c>
      <c r="B4" s="1225">
        <v>161200</v>
      </c>
      <c r="C4" s="1225">
        <f>'[8]Financial Model Prop. Fur. Add.'!CM69</f>
        <v>37679.592030365828</v>
      </c>
      <c r="D4" s="1226"/>
      <c r="E4" s="1227">
        <v>673.33124980155992</v>
      </c>
      <c r="F4" s="1228">
        <f>B4/350000</f>
        <v>0.46057142857142858</v>
      </c>
      <c r="L4" s="1228"/>
    </row>
    <row r="5" spans="1:24">
      <c r="A5" s="1224" t="s">
        <v>637</v>
      </c>
      <c r="B5" s="1225">
        <v>206500</v>
      </c>
      <c r="C5" s="1225">
        <v>5900</v>
      </c>
      <c r="D5" s="1226"/>
      <c r="E5" s="1227">
        <v>121.83499999999999</v>
      </c>
      <c r="F5" s="1228">
        <f>B5/350000</f>
        <v>0.59</v>
      </c>
      <c r="L5" s="1228"/>
    </row>
    <row r="6" spans="1:24">
      <c r="A6" s="1224" t="s">
        <v>144</v>
      </c>
      <c r="B6" s="1225">
        <v>49000</v>
      </c>
      <c r="C6" s="1225">
        <v>5550</v>
      </c>
      <c r="D6" s="1226"/>
      <c r="E6" s="1227">
        <v>27.195</v>
      </c>
      <c r="F6" s="1228">
        <f t="shared" ref="F6" si="0">B6/350000</f>
        <v>0.14000000000000001</v>
      </c>
      <c r="L6" s="1228"/>
    </row>
    <row r="7" spans="1:24">
      <c r="A7" s="1224" t="s">
        <v>638</v>
      </c>
      <c r="B7" s="1225">
        <v>0</v>
      </c>
      <c r="C7" s="1229">
        <v>0</v>
      </c>
      <c r="D7" s="1230"/>
      <c r="E7" s="1231">
        <v>0</v>
      </c>
      <c r="F7" s="1228"/>
      <c r="L7" s="1228"/>
    </row>
    <row r="8" spans="1:24">
      <c r="A8" s="1232" t="s">
        <v>17</v>
      </c>
      <c r="B8" s="1233"/>
      <c r="C8" s="1233"/>
      <c r="D8" s="1233"/>
      <c r="E8" s="43">
        <v>102.5</v>
      </c>
      <c r="F8" s="1212">
        <f>E8+E8*1.55%</f>
        <v>104.08875</v>
      </c>
      <c r="G8" s="1212">
        <f>F8+F8*1.57%</f>
        <v>105.722943375</v>
      </c>
      <c r="H8" s="1212">
        <f>G8+G8*1.43%</f>
        <v>107.2347814652625</v>
      </c>
      <c r="I8" s="1212">
        <f>H8+H8*1.4%</f>
        <v>108.73606840577618</v>
      </c>
      <c r="J8" s="1212">
        <f t="shared" ref="J8:X8" si="1">I8+I8*1.34%</f>
        <v>110.19313172241358</v>
      </c>
      <c r="K8" s="1212">
        <f t="shared" si="1"/>
        <v>111.66971968749392</v>
      </c>
      <c r="L8" s="1212">
        <f t="shared" si="1"/>
        <v>113.16609393130634</v>
      </c>
      <c r="M8" s="1212">
        <f t="shared" si="1"/>
        <v>114.68251958998584</v>
      </c>
      <c r="N8" s="1212">
        <f t="shared" si="1"/>
        <v>116.21926535249166</v>
      </c>
      <c r="O8" s="1212">
        <f t="shared" si="1"/>
        <v>117.77660350821505</v>
      </c>
      <c r="P8" s="1212">
        <f t="shared" si="1"/>
        <v>119.35480999522512</v>
      </c>
      <c r="Q8" s="1212">
        <f t="shared" si="1"/>
        <v>120.95416444916114</v>
      </c>
      <c r="R8" s="1212">
        <f t="shared" si="1"/>
        <v>122.5749502527799</v>
      </c>
      <c r="S8" s="1212">
        <f t="shared" si="1"/>
        <v>124.21745458616715</v>
      </c>
      <c r="T8" s="1212">
        <f t="shared" si="1"/>
        <v>125.8819684776218</v>
      </c>
      <c r="U8" s="1212">
        <f t="shared" si="1"/>
        <v>127.56878685522193</v>
      </c>
      <c r="V8" s="1212">
        <f t="shared" si="1"/>
        <v>129.27820859908189</v>
      </c>
      <c r="W8" s="1212">
        <f t="shared" si="1"/>
        <v>131.0105365943096</v>
      </c>
      <c r="X8" s="1212">
        <f t="shared" si="1"/>
        <v>132.76607778467334</v>
      </c>
    </row>
    <row r="9" spans="1:24">
      <c r="A9" s="1234" t="s">
        <v>18</v>
      </c>
      <c r="B9" s="1235"/>
      <c r="C9" s="1235"/>
      <c r="D9" s="1235"/>
      <c r="E9" s="1236">
        <v>26.91</v>
      </c>
      <c r="F9" s="1228"/>
      <c r="L9" s="1228"/>
    </row>
    <row r="10" spans="1:24" ht="16.5" customHeight="1">
      <c r="A10" s="1232" t="s">
        <v>19</v>
      </c>
      <c r="B10" s="1233"/>
      <c r="C10" s="1233"/>
      <c r="D10" s="1233" t="s">
        <v>16</v>
      </c>
      <c r="E10" s="43">
        <v>26.91</v>
      </c>
    </row>
    <row r="11" spans="1:24">
      <c r="A11" s="1234" t="s">
        <v>20</v>
      </c>
      <c r="B11" s="1235"/>
      <c r="C11" s="1235"/>
      <c r="D11" s="1235"/>
      <c r="E11" s="1236">
        <v>157.19999999999999</v>
      </c>
      <c r="F11" s="2"/>
      <c r="L11" s="1228"/>
    </row>
    <row r="12" spans="1:24" ht="16.5" customHeight="1">
      <c r="A12" s="1232" t="s">
        <v>21</v>
      </c>
      <c r="B12" s="1233"/>
      <c r="C12" s="1233"/>
      <c r="D12" s="1233"/>
      <c r="E12" s="43">
        <v>39.200000000000003</v>
      </c>
      <c r="F12" s="2"/>
    </row>
    <row r="13" spans="1:24">
      <c r="A13" s="1232" t="s">
        <v>22</v>
      </c>
      <c r="B13" s="1233"/>
      <c r="C13" s="1233"/>
      <c r="D13" s="1233"/>
      <c r="E13" s="43">
        <v>118</v>
      </c>
    </row>
    <row r="14" spans="1:24">
      <c r="A14" s="1234" t="s">
        <v>23</v>
      </c>
      <c r="B14" s="1235"/>
      <c r="C14" s="1235"/>
      <c r="D14" s="1235"/>
      <c r="E14" s="1236">
        <v>69.089377505903997</v>
      </c>
      <c r="L14" s="1228"/>
    </row>
    <row r="15" spans="1:24" ht="25.5" customHeight="1">
      <c r="A15" s="1232" t="s">
        <v>463</v>
      </c>
      <c r="B15" s="1233"/>
      <c r="C15" s="1233"/>
      <c r="D15" s="11">
        <v>1.4999999999999999E-2</v>
      </c>
      <c r="E15" s="977">
        <v>62.391746517119991</v>
      </c>
    </row>
    <row r="16" spans="1:24" ht="27.75" customHeight="1">
      <c r="A16" s="1237" t="s">
        <v>639</v>
      </c>
      <c r="B16" s="1238"/>
      <c r="C16" s="1238"/>
      <c r="D16" s="1239">
        <v>7.4999999999999997E-2</v>
      </c>
      <c r="E16" s="906">
        <v>6.6976309887839998</v>
      </c>
    </row>
    <row r="17" spans="1:38">
      <c r="A17" s="1234" t="s">
        <v>25</v>
      </c>
      <c r="B17" s="1235"/>
      <c r="C17" s="1235"/>
      <c r="D17" s="56"/>
      <c r="E17" s="1236">
        <v>77.789892050550776</v>
      </c>
      <c r="L17" s="2"/>
    </row>
    <row r="18" spans="1:38" ht="26.25" customHeight="1">
      <c r="A18" s="1232" t="s">
        <v>525</v>
      </c>
      <c r="B18" s="1233"/>
      <c r="C18" s="1233"/>
      <c r="D18" s="11">
        <v>2.5000000000000001E-2</v>
      </c>
      <c r="E18" s="43">
        <v>65.405820520833331</v>
      </c>
      <c r="AL18" s="2"/>
    </row>
    <row r="19" spans="1:38" ht="17.25" customHeight="1">
      <c r="A19" s="1232" t="s">
        <v>640</v>
      </c>
      <c r="B19" s="1233"/>
      <c r="C19" s="1233"/>
      <c r="D19" s="11">
        <v>1.4999999999999999E-2</v>
      </c>
      <c r="E19" s="43">
        <v>12.384071529717438</v>
      </c>
    </row>
    <row r="20" spans="1:38" ht="17.25" customHeight="1">
      <c r="A20" s="1240" t="s">
        <v>34</v>
      </c>
      <c r="B20" s="1240"/>
      <c r="C20" s="1240"/>
      <c r="D20" s="1240"/>
      <c r="E20" s="1241">
        <v>1255.8505193580147</v>
      </c>
    </row>
    <row r="21" spans="1:38" ht="18.75" customHeight="1">
      <c r="E21" s="2"/>
    </row>
    <row r="22" spans="1:38" ht="25.5">
      <c r="A22" s="1242" t="str">
        <f>[8]Capex!E1</f>
        <v>Capacity for 500 KTPA PVC Plant (350 KTPA from captive Ethylene and 150 KTPA EDC / VCM Outsourced)</v>
      </c>
      <c r="B22" s="1242"/>
      <c r="C22" s="1242"/>
      <c r="D22" s="1242"/>
      <c r="E22" s="1243" t="s">
        <v>123</v>
      </c>
      <c r="F22" s="711">
        <v>2028</v>
      </c>
      <c r="G22" s="711">
        <v>2029</v>
      </c>
      <c r="H22" s="711">
        <v>2030</v>
      </c>
      <c r="I22" s="711">
        <v>2031</v>
      </c>
      <c r="J22" s="711">
        <v>2032</v>
      </c>
      <c r="K22" s="711">
        <v>2033</v>
      </c>
      <c r="L22" s="711">
        <v>2034</v>
      </c>
      <c r="M22" s="711">
        <v>2035</v>
      </c>
      <c r="N22" s="711">
        <v>2036</v>
      </c>
      <c r="O22" s="711">
        <v>2037</v>
      </c>
      <c r="P22" s="711">
        <v>2038</v>
      </c>
      <c r="Q22" s="711">
        <v>2039</v>
      </c>
      <c r="R22" s="711">
        <v>2040</v>
      </c>
      <c r="S22" s="711">
        <v>2041</v>
      </c>
      <c r="T22" s="711">
        <v>2042</v>
      </c>
      <c r="U22" s="711">
        <v>2043</v>
      </c>
      <c r="V22" s="711">
        <v>2044</v>
      </c>
      <c r="W22" s="711">
        <v>2045</v>
      </c>
      <c r="X22" s="711">
        <v>2046</v>
      </c>
    </row>
    <row r="23" spans="1:38">
      <c r="A23" s="1244" t="s">
        <v>13</v>
      </c>
      <c r="B23" s="1192" t="s">
        <v>81</v>
      </c>
      <c r="C23" s="1192" t="s">
        <v>82</v>
      </c>
      <c r="D23" s="1218"/>
      <c r="E23" s="1245">
        <f>E24+E30+E32+E35</f>
        <v>1750.9779177434011</v>
      </c>
    </row>
    <row r="24" spans="1:38">
      <c r="A24" s="1246" t="s">
        <v>15</v>
      </c>
      <c r="B24" s="1221" t="s">
        <v>84</v>
      </c>
      <c r="C24" s="1221" t="s">
        <v>151</v>
      </c>
      <c r="D24" s="1247" t="s">
        <v>641</v>
      </c>
      <c r="E24" s="1223">
        <f>SUM(E25:E28)+E29</f>
        <v>1423.8350335294972</v>
      </c>
      <c r="F24" s="1212">
        <f>E24+E24*1.26%</f>
        <v>1441.7753549519689</v>
      </c>
      <c r="G24" s="1212">
        <f>F24+F24*1.24%</f>
        <v>1459.6533693533734</v>
      </c>
      <c r="H24" s="1212">
        <f>G24+G24*1.27%</f>
        <v>1478.1909671441613</v>
      </c>
      <c r="I24" s="1212">
        <f>H24+H24*1.31%</f>
        <v>1497.5552688137498</v>
      </c>
      <c r="J24" s="1212">
        <f>I24+I24*1.44%</f>
        <v>1519.1200646846678</v>
      </c>
      <c r="K24" s="1212">
        <f>J24+J24*1.1%</f>
        <v>1535.8303853961991</v>
      </c>
      <c r="L24" s="1212">
        <f>K24+K24*1.15%</f>
        <v>1553.4924348282555</v>
      </c>
      <c r="M24" s="1212">
        <f>L24+L24*1.15%</f>
        <v>1571.3575978287804</v>
      </c>
      <c r="N24" s="1212">
        <f>M24+M24*1.14%</f>
        <v>1589.2710744440285</v>
      </c>
      <c r="O24" s="1212">
        <f>N24+N24*1.32%</f>
        <v>1610.2494526266896</v>
      </c>
      <c r="P24" s="1212">
        <f>O24+O24*1.37%</f>
        <v>1632.3098701276754</v>
      </c>
      <c r="Q24" s="1212">
        <f>P24+P24*1.41%</f>
        <v>1655.3254392964757</v>
      </c>
      <c r="R24" s="1212">
        <f>Q24+Q24*1.42%</f>
        <v>1678.8310605344857</v>
      </c>
      <c r="S24" s="1212">
        <f>R24+R24*1.15%</f>
        <v>1698.1376177306322</v>
      </c>
      <c r="T24" s="1212">
        <f>S24+S24*1.14%</f>
        <v>1717.4963865727614</v>
      </c>
      <c r="U24" s="1212">
        <f>T24+T24*1.15%</f>
        <v>1737.2475950183482</v>
      </c>
      <c r="V24" s="1212">
        <f>U24+U24*1.22%</f>
        <v>1758.442015677572</v>
      </c>
      <c r="W24" s="1212">
        <f>V24+V24*1.31%</f>
        <v>1781.4776060829483</v>
      </c>
      <c r="X24" s="1212">
        <f>W24+W24*1.23%</f>
        <v>1803.3897806377686</v>
      </c>
    </row>
    <row r="25" spans="1:38">
      <c r="A25" s="1248" t="s">
        <v>165</v>
      </c>
      <c r="B25" s="1249">
        <f>B4</f>
        <v>161200</v>
      </c>
      <c r="C25" s="1250">
        <f>'[8]Financial Model Prop. Fur. Add.'!CM69</f>
        <v>37679.592030365828</v>
      </c>
      <c r="D25" s="1251"/>
      <c r="E25" s="1252">
        <f>(B25*C25)/10^7</f>
        <v>607.39502352949717</v>
      </c>
    </row>
    <row r="26" spans="1:38">
      <c r="A26" s="1248" t="s">
        <v>637</v>
      </c>
      <c r="B26" s="1249">
        <f>B5</f>
        <v>206500</v>
      </c>
      <c r="C26" s="1250">
        <v>5900</v>
      </c>
      <c r="D26" s="1251"/>
      <c r="E26" s="1252">
        <f>(B26*C26)/10^7</f>
        <v>121.83499999999999</v>
      </c>
    </row>
    <row r="27" spans="1:38">
      <c r="A27" s="1248" t="s">
        <v>638</v>
      </c>
      <c r="B27" s="720">
        <v>200000</v>
      </c>
      <c r="C27" s="1250">
        <f>'[8]Annual COP'!P10</f>
        <v>27800</v>
      </c>
      <c r="D27" s="1251"/>
      <c r="E27" s="1252">
        <f>(B27*C27)/10^7</f>
        <v>556</v>
      </c>
    </row>
    <row r="28" spans="1:38">
      <c r="A28" s="1248" t="s">
        <v>144</v>
      </c>
      <c r="B28" s="1249">
        <f>B6</f>
        <v>49000</v>
      </c>
      <c r="C28" s="1250">
        <f>'[8]Annual COP'!P11</f>
        <v>5550</v>
      </c>
      <c r="D28" s="1251"/>
      <c r="E28" s="1252">
        <f>(B28*C28)/10^7</f>
        <v>27.195</v>
      </c>
    </row>
    <row r="29" spans="1:38">
      <c r="A29" s="1237" t="s">
        <v>17</v>
      </c>
      <c r="B29" s="1238"/>
      <c r="C29" s="1238"/>
      <c r="D29" s="1238"/>
      <c r="E29" s="906">
        <v>111.41001000000001</v>
      </c>
      <c r="F29" s="1212">
        <f>E29+E29*1.34%</f>
        <v>112.90290413400001</v>
      </c>
      <c r="G29" s="1212">
        <f>F29+F29*1.24%</f>
        <v>114.30290014526162</v>
      </c>
      <c r="H29" s="1212">
        <f>G29+G29*1.27%</f>
        <v>115.75454697710644</v>
      </c>
      <c r="I29" s="1212">
        <f>H29+H29*1.21%</f>
        <v>117.15517699552943</v>
      </c>
      <c r="J29" s="1212">
        <f>I29+I29*1.14%</f>
        <v>118.49074601327847</v>
      </c>
      <c r="K29" s="1212">
        <f t="shared" ref="K29:X29" si="2">J29+J29*1.05%</f>
        <v>119.73489884641789</v>
      </c>
      <c r="L29" s="1212">
        <f t="shared" si="2"/>
        <v>120.99211528430529</v>
      </c>
      <c r="M29" s="1212">
        <f t="shared" si="2"/>
        <v>122.26253249479049</v>
      </c>
      <c r="N29" s="1212">
        <f t="shared" si="2"/>
        <v>123.54628908598579</v>
      </c>
      <c r="O29" s="1212">
        <f t="shared" si="2"/>
        <v>124.84352512138864</v>
      </c>
      <c r="P29" s="1212">
        <f t="shared" si="2"/>
        <v>126.15438213516322</v>
      </c>
      <c r="Q29" s="1212">
        <f t="shared" si="2"/>
        <v>127.47900314758243</v>
      </c>
      <c r="R29" s="1212">
        <f t="shared" si="2"/>
        <v>128.81753268063204</v>
      </c>
      <c r="S29" s="1212">
        <f t="shared" si="2"/>
        <v>130.17011677377869</v>
      </c>
      <c r="T29" s="1212">
        <f t="shared" si="2"/>
        <v>131.53690299990336</v>
      </c>
      <c r="U29" s="1212">
        <f t="shared" si="2"/>
        <v>132.91804048140236</v>
      </c>
      <c r="V29" s="1212">
        <f t="shared" si="2"/>
        <v>134.31367990645708</v>
      </c>
      <c r="W29" s="1212">
        <f t="shared" si="2"/>
        <v>135.72397354547488</v>
      </c>
      <c r="X29" s="1212">
        <f t="shared" si="2"/>
        <v>137.14907526770236</v>
      </c>
    </row>
    <row r="30" spans="1:38">
      <c r="A30" s="1253" t="s">
        <v>18</v>
      </c>
      <c r="B30" s="1251"/>
      <c r="C30" s="1251"/>
      <c r="D30" s="1251"/>
      <c r="E30" s="1252">
        <f>E31</f>
        <v>30.68</v>
      </c>
    </row>
    <row r="31" spans="1:38">
      <c r="A31" s="1237" t="s">
        <v>19</v>
      </c>
      <c r="B31" s="1238"/>
      <c r="C31" s="1238"/>
      <c r="D31" s="1238" t="s">
        <v>16</v>
      </c>
      <c r="E31" s="906">
        <f>'[8]Salaries &amp; Wages Calculations'!I8</f>
        <v>30.68</v>
      </c>
    </row>
    <row r="32" spans="1:38">
      <c r="A32" s="1253" t="s">
        <v>20</v>
      </c>
      <c r="B32" s="1251"/>
      <c r="C32" s="1251"/>
      <c r="D32" s="1251"/>
      <c r="E32" s="1252">
        <f>E34+E33</f>
        <v>196.55</v>
      </c>
      <c r="F32" s="2"/>
    </row>
    <row r="33" spans="1:30">
      <c r="A33" s="1237" t="s">
        <v>21</v>
      </c>
      <c r="B33" s="1238"/>
      <c r="C33" s="1238"/>
      <c r="D33" s="1238"/>
      <c r="E33" s="906">
        <v>51.55</v>
      </c>
      <c r="F33" s="2"/>
    </row>
    <row r="34" spans="1:30">
      <c r="A34" s="1237" t="s">
        <v>22</v>
      </c>
      <c r="B34" s="1238"/>
      <c r="C34" s="1238"/>
      <c r="D34" s="1238"/>
      <c r="E34" s="906">
        <v>145</v>
      </c>
    </row>
    <row r="35" spans="1:30">
      <c r="A35" s="1253" t="s">
        <v>23</v>
      </c>
      <c r="B35" s="1251"/>
      <c r="C35" s="1251"/>
      <c r="D35" s="1251"/>
      <c r="E35" s="1252">
        <f>E36+E37</f>
        <v>99.912884213903979</v>
      </c>
    </row>
    <row r="36" spans="1:30" ht="16.5" customHeight="1">
      <c r="A36" s="1237" t="s">
        <v>463</v>
      </c>
      <c r="B36" s="1238"/>
      <c r="C36" s="1238"/>
      <c r="D36" s="1239">
        <v>1.4999999999999999E-2</v>
      </c>
      <c r="E36" s="906">
        <f>[8]Capex!H21*0.015</f>
        <v>90.801752757119985</v>
      </c>
    </row>
    <row r="37" spans="1:30">
      <c r="A37" s="1237" t="s">
        <v>642</v>
      </c>
      <c r="B37" s="1238"/>
      <c r="C37" s="1238"/>
      <c r="D37" s="1239">
        <v>7.4999999999999997E-2</v>
      </c>
      <c r="E37" s="906">
        <f>D37*(E36+E31)</f>
        <v>9.1111314567839976</v>
      </c>
    </row>
    <row r="38" spans="1:30">
      <c r="A38" s="1253" t="s">
        <v>25</v>
      </c>
      <c r="B38" s="1251"/>
      <c r="C38" s="1251"/>
      <c r="D38" s="1254"/>
      <c r="E38" s="1252">
        <f>E40+E39</f>
        <v>119.70155522448435</v>
      </c>
    </row>
    <row r="39" spans="1:30">
      <c r="A39" s="1237" t="s">
        <v>643</v>
      </c>
      <c r="B39" s="1238"/>
      <c r="C39" s="1238"/>
      <c r="D39" s="1239">
        <v>2.5000000000000001E-2</v>
      </c>
      <c r="E39" s="906">
        <f>[8]Sales!E9*D39</f>
        <v>93.436886458333333</v>
      </c>
    </row>
    <row r="40" spans="1:30">
      <c r="A40" s="1237" t="s">
        <v>644</v>
      </c>
      <c r="B40" s="1238"/>
      <c r="C40" s="1238"/>
      <c r="D40" s="1239">
        <v>1.4999999999999999E-2</v>
      </c>
      <c r="E40" s="906">
        <f>E23*D40</f>
        <v>26.264668766151015</v>
      </c>
    </row>
    <row r="41" spans="1:30">
      <c r="A41" s="1255" t="s">
        <v>34</v>
      </c>
      <c r="B41" s="1255"/>
      <c r="C41" s="1255"/>
      <c r="D41" s="1255" t="s">
        <v>645</v>
      </c>
      <c r="E41" s="1256">
        <f>E38+E23</f>
        <v>1870.6794729678854</v>
      </c>
    </row>
    <row r="43" spans="1:30">
      <c r="A43" s="1257" t="str">
        <f>[8]Capex!I1</f>
        <v>Capacity for 500 KTPA PVC Resin (EDC / VCM to PVC Plant (EDC / VCM Outsourced)</v>
      </c>
      <c r="B43" s="1242"/>
      <c r="C43" s="1242"/>
      <c r="D43" s="1242"/>
      <c r="E43" s="1243" t="s">
        <v>123</v>
      </c>
    </row>
    <row r="44" spans="1:30">
      <c r="A44" s="1244" t="s">
        <v>13</v>
      </c>
      <c r="B44" s="1192" t="s">
        <v>81</v>
      </c>
      <c r="C44" s="1192" t="s">
        <v>82</v>
      </c>
      <c r="D44" s="1218"/>
      <c r="E44" s="1245">
        <f>E45+E49+E51+E54</f>
        <v>2770.2559474999998</v>
      </c>
    </row>
    <row r="45" spans="1:30">
      <c r="A45" s="1246" t="s">
        <v>15</v>
      </c>
      <c r="B45" s="1221" t="s">
        <v>84</v>
      </c>
      <c r="C45" s="1221" t="s">
        <v>151</v>
      </c>
      <c r="D45" s="1247" t="s">
        <v>641</v>
      </c>
      <c r="E45" s="1223">
        <f t="shared" ref="E45:AD45" si="3">SUM(E46:E47)+E48</f>
        <v>2528.82501</v>
      </c>
      <c r="F45" s="1223">
        <f t="shared" si="3"/>
        <v>2561.6892051260002</v>
      </c>
      <c r="G45" s="1223">
        <f t="shared" si="3"/>
        <v>2592.9528765105874</v>
      </c>
      <c r="H45" s="1223">
        <f t="shared" si="3"/>
        <v>2625.6240827546212</v>
      </c>
      <c r="I45" s="1223">
        <f t="shared" si="3"/>
        <v>2658.7069461973292</v>
      </c>
      <c r="J45" s="1223">
        <f t="shared" si="3"/>
        <v>2692.2066537194155</v>
      </c>
      <c r="K45" s="1223">
        <f t="shared" si="3"/>
        <v>2726.12845755628</v>
      </c>
      <c r="L45" s="1223">
        <f t="shared" si="3"/>
        <v>2760.4776761214889</v>
      </c>
      <c r="M45" s="1223">
        <f t="shared" si="3"/>
        <v>2795.2596948406199</v>
      </c>
      <c r="N45" s="1223">
        <f t="shared" si="3"/>
        <v>2830.4799669956114</v>
      </c>
      <c r="O45" s="1223">
        <f t="shared" si="3"/>
        <v>2866.144014579756</v>
      </c>
      <c r="P45" s="1223">
        <f t="shared" si="3"/>
        <v>2902.257429163461</v>
      </c>
      <c r="Q45" s="1223">
        <f t="shared" si="3"/>
        <v>2938.8258727709208</v>
      </c>
      <c r="R45" s="1223">
        <f t="shared" si="3"/>
        <v>2975.8550787678346</v>
      </c>
      <c r="S45" s="1223">
        <f t="shared" si="3"/>
        <v>3013.350852760309</v>
      </c>
      <c r="T45" s="1223">
        <f t="shared" si="3"/>
        <v>3051.3190735050889</v>
      </c>
      <c r="U45" s="1223">
        <f t="shared" si="3"/>
        <v>3089.765693831253</v>
      </c>
      <c r="V45" s="1223">
        <f t="shared" si="3"/>
        <v>3128.6967415735267</v>
      </c>
      <c r="W45" s="1223">
        <f t="shared" si="3"/>
        <v>3168.1183205173534</v>
      </c>
      <c r="X45" s="1223">
        <f t="shared" si="3"/>
        <v>3208.0366113558721</v>
      </c>
      <c r="Y45" s="1223">
        <f t="shared" si="3"/>
        <v>3248.4578726589561</v>
      </c>
      <c r="Z45" s="1223">
        <f t="shared" si="3"/>
        <v>3289.388441854459</v>
      </c>
      <c r="AA45" s="1223">
        <f t="shared" si="3"/>
        <v>3330.8347362218251</v>
      </c>
      <c r="AB45" s="1223">
        <f t="shared" si="3"/>
        <v>3372.8032538982197</v>
      </c>
      <c r="AC45" s="1223">
        <f t="shared" si="3"/>
        <v>3415.3005748973374</v>
      </c>
      <c r="AD45" s="1223">
        <f t="shared" si="3"/>
        <v>3458.3333621410438</v>
      </c>
    </row>
    <row r="46" spans="1:30">
      <c r="A46" s="1248" t="s">
        <v>638</v>
      </c>
      <c r="B46" s="1249">
        <v>0</v>
      </c>
      <c r="C46" s="1250">
        <f>'[8]Financial Model Prop. Fur. Add.'!CM79</f>
        <v>0</v>
      </c>
      <c r="D46" s="1251"/>
      <c r="E46" s="1252">
        <f>(B46*C46)/10^7</f>
        <v>0</v>
      </c>
      <c r="F46" s="5">
        <f>B47/500000</f>
        <v>1.0009999999999999</v>
      </c>
    </row>
    <row r="47" spans="1:30">
      <c r="A47" s="1248" t="s">
        <v>646</v>
      </c>
      <c r="B47" s="1249">
        <f>500*1001</f>
        <v>500500</v>
      </c>
      <c r="C47" s="1250">
        <v>48300</v>
      </c>
      <c r="D47" s="1251"/>
      <c r="E47" s="1252">
        <f>(B47*C47)/10^7</f>
        <v>2417.415</v>
      </c>
      <c r="F47" s="1212">
        <f t="shared" ref="F47:AD48" si="4">E47+E47*1.26%</f>
        <v>2447.874429</v>
      </c>
      <c r="G47" s="1212">
        <f t="shared" si="4"/>
        <v>2478.7176468053999</v>
      </c>
      <c r="H47" s="1212">
        <f t="shared" si="4"/>
        <v>2509.9494891551481</v>
      </c>
      <c r="I47" s="1212">
        <f t="shared" si="4"/>
        <v>2541.5748527185028</v>
      </c>
      <c r="J47" s="1212">
        <f t="shared" si="4"/>
        <v>2573.5986958627559</v>
      </c>
      <c r="K47" s="1212">
        <f t="shared" si="4"/>
        <v>2606.0260394306265</v>
      </c>
      <c r="L47" s="1212">
        <f t="shared" si="4"/>
        <v>2638.8619675274522</v>
      </c>
      <c r="M47" s="1212">
        <f t="shared" si="4"/>
        <v>2672.1116283182982</v>
      </c>
      <c r="N47" s="1212">
        <f t="shared" si="4"/>
        <v>2705.7802348351088</v>
      </c>
      <c r="O47" s="1212">
        <f t="shared" si="4"/>
        <v>2739.8730657940309</v>
      </c>
      <c r="P47" s="1212">
        <f t="shared" si="4"/>
        <v>2774.3954664230359</v>
      </c>
      <c r="Q47" s="1212">
        <f t="shared" si="4"/>
        <v>2809.3528492999662</v>
      </c>
      <c r="R47" s="1212">
        <f t="shared" si="4"/>
        <v>2844.7506952011458</v>
      </c>
      <c r="S47" s="1212">
        <f t="shared" si="4"/>
        <v>2880.5945539606801</v>
      </c>
      <c r="T47" s="1212">
        <f t="shared" si="4"/>
        <v>2916.8900453405845</v>
      </c>
      <c r="U47" s="1212">
        <f t="shared" si="4"/>
        <v>2953.6428599118758</v>
      </c>
      <c r="V47" s="1212">
        <f t="shared" si="4"/>
        <v>2990.8587599467655</v>
      </c>
      <c r="W47" s="1212">
        <f t="shared" si="4"/>
        <v>3028.5435803220948</v>
      </c>
      <c r="X47" s="1212">
        <f t="shared" si="4"/>
        <v>3066.7032294341534</v>
      </c>
      <c r="Y47" s="1212">
        <f t="shared" si="4"/>
        <v>3105.3436901250238</v>
      </c>
      <c r="Z47" s="1212">
        <f t="shared" si="4"/>
        <v>3144.4710206205991</v>
      </c>
      <c r="AA47" s="1212">
        <f t="shared" si="4"/>
        <v>3184.0913554804188</v>
      </c>
      <c r="AB47" s="1212">
        <f t="shared" si="4"/>
        <v>3224.2109065594718</v>
      </c>
      <c r="AC47" s="1212">
        <f t="shared" si="4"/>
        <v>3264.835963982121</v>
      </c>
      <c r="AD47" s="1212">
        <f t="shared" si="4"/>
        <v>3305.9728971282957</v>
      </c>
    </row>
    <row r="48" spans="1:30">
      <c r="A48" s="1237" t="s">
        <v>17</v>
      </c>
      <c r="B48" s="1238"/>
      <c r="C48" s="1238"/>
      <c r="D48" s="1238"/>
      <c r="E48" s="906">
        <v>111.41001000000001</v>
      </c>
      <c r="F48" s="1212">
        <f t="shared" si="4"/>
        <v>112.81377612600001</v>
      </c>
      <c r="G48" s="1212">
        <f t="shared" si="4"/>
        <v>114.23522970518761</v>
      </c>
      <c r="H48" s="1212">
        <f t="shared" si="4"/>
        <v>115.67459359947297</v>
      </c>
      <c r="I48" s="1212">
        <f t="shared" si="4"/>
        <v>117.13209347882633</v>
      </c>
      <c r="J48" s="1212">
        <f t="shared" si="4"/>
        <v>118.60795785665955</v>
      </c>
      <c r="K48" s="1212">
        <f t="shared" si="4"/>
        <v>120.10241812565346</v>
      </c>
      <c r="L48" s="1212">
        <f t="shared" si="4"/>
        <v>121.61570859403669</v>
      </c>
      <c r="M48" s="1212">
        <f t="shared" si="4"/>
        <v>123.14806652232156</v>
      </c>
      <c r="N48" s="1212">
        <f t="shared" si="4"/>
        <v>124.6997321605028</v>
      </c>
      <c r="O48" s="1212">
        <f t="shared" si="4"/>
        <v>126.27094878572514</v>
      </c>
      <c r="P48" s="1212">
        <f t="shared" si="4"/>
        <v>127.86196274042527</v>
      </c>
      <c r="Q48" s="1212">
        <f t="shared" si="4"/>
        <v>129.47302347095462</v>
      </c>
      <c r="R48" s="1212">
        <f t="shared" si="4"/>
        <v>131.10438356668865</v>
      </c>
      <c r="S48" s="1212">
        <f t="shared" si="4"/>
        <v>132.75629879962892</v>
      </c>
      <c r="T48" s="1212">
        <f t="shared" si="4"/>
        <v>134.42902816450425</v>
      </c>
      <c r="U48" s="1212">
        <f t="shared" si="4"/>
        <v>136.122833919377</v>
      </c>
      <c r="V48" s="1212">
        <f t="shared" si="4"/>
        <v>137.83798162676115</v>
      </c>
      <c r="W48" s="1212">
        <f t="shared" si="4"/>
        <v>139.57474019525833</v>
      </c>
      <c r="X48" s="1212">
        <f t="shared" si="4"/>
        <v>141.3333819217186</v>
      </c>
      <c r="Y48" s="1212">
        <f t="shared" si="4"/>
        <v>143.11418253393225</v>
      </c>
      <c r="Z48" s="1212">
        <f t="shared" si="4"/>
        <v>144.91742123385978</v>
      </c>
      <c r="AA48" s="1212">
        <f t="shared" si="4"/>
        <v>146.74338074140641</v>
      </c>
      <c r="AB48" s="1212">
        <f t="shared" si="4"/>
        <v>148.59234733874814</v>
      </c>
      <c r="AC48" s="1212">
        <f t="shared" si="4"/>
        <v>150.46461091521635</v>
      </c>
      <c r="AD48" s="1212">
        <f t="shared" si="4"/>
        <v>152.36046501274808</v>
      </c>
    </row>
    <row r="49" spans="1:24">
      <c r="A49" s="1253" t="s">
        <v>18</v>
      </c>
      <c r="B49" s="1251"/>
      <c r="C49" s="1251"/>
      <c r="D49" s="1251"/>
      <c r="E49" s="1252">
        <f>E50</f>
        <v>24.5</v>
      </c>
    </row>
    <row r="50" spans="1:24">
      <c r="A50" s="1237" t="s">
        <v>19</v>
      </c>
      <c r="B50" s="1238"/>
      <c r="C50" s="1238"/>
      <c r="D50" s="1238" t="s">
        <v>16</v>
      </c>
      <c r="E50" s="906">
        <v>24.5</v>
      </c>
    </row>
    <row r="51" spans="1:24">
      <c r="A51" s="1253" t="s">
        <v>20</v>
      </c>
      <c r="B51" s="1251"/>
      <c r="C51" s="1251"/>
      <c r="D51" s="1251"/>
      <c r="E51" s="1252">
        <f>E53+E52</f>
        <v>143.69999999999999</v>
      </c>
      <c r="F51" s="2"/>
    </row>
    <row r="52" spans="1:24">
      <c r="A52" s="1237" t="s">
        <v>21</v>
      </c>
      <c r="B52" s="1238"/>
      <c r="C52" s="1238"/>
      <c r="D52" s="1238"/>
      <c r="E52" s="906">
        <v>48.3</v>
      </c>
      <c r="F52" s="2"/>
    </row>
    <row r="53" spans="1:24">
      <c r="A53" s="1237" t="s">
        <v>22</v>
      </c>
      <c r="B53" s="1238"/>
      <c r="C53" s="1238"/>
      <c r="D53" s="1238"/>
      <c r="E53" s="906">
        <v>95.4</v>
      </c>
    </row>
    <row r="54" spans="1:24">
      <c r="A54" s="1253" t="s">
        <v>23</v>
      </c>
      <c r="B54" s="1251"/>
      <c r="C54" s="1251"/>
      <c r="D54" s="1251"/>
      <c r="E54" s="1252">
        <f>E55+E56</f>
        <v>73.230937499999996</v>
      </c>
    </row>
    <row r="55" spans="1:24">
      <c r="A55" s="1237" t="s">
        <v>463</v>
      </c>
      <c r="B55" s="1238"/>
      <c r="C55" s="1238"/>
      <c r="D55" s="1239">
        <v>1.4999999999999999E-2</v>
      </c>
      <c r="E55" s="906">
        <f>[8]Capex!L21*0.015</f>
        <v>66.412499999999994</v>
      </c>
    </row>
    <row r="56" spans="1:24">
      <c r="A56" s="1237" t="s">
        <v>647</v>
      </c>
      <c r="B56" s="1238"/>
      <c r="C56" s="1238"/>
      <c r="D56" s="1239">
        <v>7.4999999999999997E-2</v>
      </c>
      <c r="E56" s="906">
        <f>D56*(E55+E50)</f>
        <v>6.818437499999999</v>
      </c>
    </row>
    <row r="57" spans="1:24">
      <c r="A57" s="1253" t="s">
        <v>25</v>
      </c>
      <c r="B57" s="1251"/>
      <c r="C57" s="1251"/>
      <c r="D57" s="1254"/>
      <c r="E57" s="1252">
        <f>E59+E58</f>
        <v>106.95965973333332</v>
      </c>
    </row>
    <row r="58" spans="1:24">
      <c r="A58" s="1237" t="s">
        <v>643</v>
      </c>
      <c r="B58" s="1238"/>
      <c r="C58" s="1238"/>
      <c r="D58" s="1239">
        <v>2.5000000000000001E-2</v>
      </c>
      <c r="E58" s="906">
        <f>[8]Sales!E5*D58</f>
        <v>65.405820520833331</v>
      </c>
    </row>
    <row r="59" spans="1:24">
      <c r="A59" s="1237" t="s">
        <v>644</v>
      </c>
      <c r="B59" s="1238"/>
      <c r="C59" s="1238"/>
      <c r="D59" s="1239">
        <v>1.4999999999999999E-2</v>
      </c>
      <c r="E59" s="906">
        <f>E44*D59</f>
        <v>41.553839212499994</v>
      </c>
    </row>
    <row r="60" spans="1:24">
      <c r="A60" s="1255" t="s">
        <v>34</v>
      </c>
      <c r="B60" s="1255"/>
      <c r="C60" s="1255"/>
      <c r="D60" s="1255"/>
      <c r="E60" s="1256">
        <f>E57+E44</f>
        <v>2877.2156072333332</v>
      </c>
    </row>
    <row r="62" spans="1:24">
      <c r="A62" s="1258" t="s">
        <v>608</v>
      </c>
      <c r="B62" s="1259"/>
      <c r="C62" s="1259"/>
      <c r="D62" s="1259"/>
      <c r="E62" s="1260" t="s">
        <v>123</v>
      </c>
      <c r="F62" s="711">
        <v>2028</v>
      </c>
      <c r="G62" s="711">
        <v>2029</v>
      </c>
      <c r="H62" s="711">
        <v>2030</v>
      </c>
      <c r="I62" s="711">
        <v>2031</v>
      </c>
      <c r="J62" s="711">
        <v>2032</v>
      </c>
      <c r="K62" s="711">
        <v>2033</v>
      </c>
      <c r="L62" s="711">
        <v>2034</v>
      </c>
      <c r="M62" s="711">
        <v>2035</v>
      </c>
      <c r="N62" s="711">
        <v>2036</v>
      </c>
      <c r="O62" s="711">
        <v>2037</v>
      </c>
      <c r="P62" s="711">
        <v>2038</v>
      </c>
      <c r="Q62" s="711">
        <v>2039</v>
      </c>
      <c r="R62" s="711">
        <v>2040</v>
      </c>
      <c r="S62" s="711">
        <v>2041</v>
      </c>
      <c r="T62" s="711">
        <v>2042</v>
      </c>
      <c r="U62" s="711">
        <v>2043</v>
      </c>
      <c r="V62" s="711">
        <v>2044</v>
      </c>
      <c r="W62" s="711">
        <v>2045</v>
      </c>
      <c r="X62" s="711">
        <v>2046</v>
      </c>
    </row>
    <row r="63" spans="1:24">
      <c r="A63" s="1217" t="s">
        <v>13</v>
      </c>
      <c r="B63" s="1192" t="s">
        <v>81</v>
      </c>
      <c r="C63" s="1192" t="s">
        <v>82</v>
      </c>
      <c r="D63" s="1218"/>
      <c r="E63" s="1219">
        <v>1155.5691491439436</v>
      </c>
    </row>
    <row r="64" spans="1:24">
      <c r="A64" s="1261" t="s">
        <v>15</v>
      </c>
      <c r="B64" s="1262" t="s">
        <v>84</v>
      </c>
      <c r="C64" s="1262" t="s">
        <v>151</v>
      </c>
      <c r="D64" s="1263"/>
      <c r="E64" s="1264">
        <v>769.63977163803963</v>
      </c>
      <c r="F64" s="1212">
        <f>E64+E64*1.41%</f>
        <v>780.49169241813604</v>
      </c>
      <c r="G64" s="1212">
        <f>F64+F64*1.54%</f>
        <v>792.51126448137529</v>
      </c>
      <c r="H64" s="1212">
        <f>G64+G64*1.47%</f>
        <v>804.16118006925149</v>
      </c>
      <c r="I64" s="1212">
        <f>H64+H64*1.21%</f>
        <v>813.89153034808942</v>
      </c>
      <c r="J64" s="1212">
        <f>I64+I64*1.34%</f>
        <v>824.79767685475383</v>
      </c>
      <c r="K64" s="1212">
        <f>J64+J64*1.31%</f>
        <v>835.60252642155115</v>
      </c>
      <c r="L64" s="1212">
        <f>K64+K64*1.35%</f>
        <v>846.88316052824212</v>
      </c>
      <c r="M64" s="1212">
        <f>L64+L64*1.5%</f>
        <v>859.58640793616576</v>
      </c>
      <c r="N64" s="1212">
        <f>M64+M64*1.04%</f>
        <v>868.52610657870184</v>
      </c>
      <c r="O64" s="1212">
        <f>N64+N64*1.12%</f>
        <v>878.25359897238332</v>
      </c>
      <c r="P64" s="1212">
        <f>O64+O64*1.15%</f>
        <v>888.35351536056578</v>
      </c>
      <c r="Q64" s="1212">
        <f>P64+P64*1.05%</f>
        <v>897.68122727185175</v>
      </c>
      <c r="R64" s="1212">
        <f>Q64+Q64*1.03%</f>
        <v>906.92734391275178</v>
      </c>
      <c r="S64" s="1212">
        <f>R64+R64*1.02%</f>
        <v>916.17800282066185</v>
      </c>
      <c r="T64" s="1212">
        <f>S64+S64*1.15%</f>
        <v>926.71404985309948</v>
      </c>
      <c r="U64" s="1212">
        <f>T64+T64*1.18%</f>
        <v>937.6492756413661</v>
      </c>
      <c r="V64" s="1212">
        <f>U64+U64*1.25%</f>
        <v>949.36989158688323</v>
      </c>
      <c r="W64" s="1212">
        <f>V64+V64*1.15%</f>
        <v>960.28764534013237</v>
      </c>
      <c r="X64" s="1212">
        <f>W64+W64*1.17%</f>
        <v>971.52301079061192</v>
      </c>
    </row>
    <row r="65" spans="1:24">
      <c r="A65" s="1265" t="s">
        <v>165</v>
      </c>
      <c r="B65" s="1225">
        <f>B4</f>
        <v>161200</v>
      </c>
      <c r="C65" s="1225">
        <f>C4</f>
        <v>37679.592030365828</v>
      </c>
      <c r="D65" s="1265"/>
      <c r="E65" s="1225">
        <v>620.60977163803955</v>
      </c>
      <c r="F65" s="1212"/>
      <c r="G65" s="1212"/>
      <c r="H65" s="1212"/>
      <c r="I65" s="1212"/>
      <c r="J65" s="1212"/>
      <c r="K65" s="1212"/>
      <c r="L65" s="1212"/>
      <c r="M65" s="1212"/>
      <c r="N65" s="1212"/>
      <c r="O65" s="1212"/>
      <c r="P65" s="1212"/>
      <c r="Q65" s="1212"/>
      <c r="R65" s="1212"/>
      <c r="S65" s="1212"/>
      <c r="T65" s="1212"/>
      <c r="U65" s="1212"/>
      <c r="V65" s="1212"/>
      <c r="W65" s="1212"/>
      <c r="X65" s="1212"/>
    </row>
    <row r="66" spans="1:24">
      <c r="A66" s="1265" t="s">
        <v>637</v>
      </c>
      <c r="B66" s="1225">
        <v>206500</v>
      </c>
      <c r="C66" s="1225">
        <v>5900</v>
      </c>
      <c r="D66" s="1226"/>
      <c r="E66" s="1266">
        <v>121.83499999999999</v>
      </c>
      <c r="F66" s="1228"/>
      <c r="L66" s="1228"/>
    </row>
    <row r="67" spans="1:24">
      <c r="A67" s="1265" t="s">
        <v>144</v>
      </c>
      <c r="B67" s="1225">
        <v>49000</v>
      </c>
      <c r="C67" s="1225">
        <f>C6</f>
        <v>5550</v>
      </c>
      <c r="D67" s="1226"/>
      <c r="E67" s="1266">
        <v>27.195</v>
      </c>
      <c r="F67" s="1228"/>
      <c r="L67" s="1228"/>
    </row>
    <row r="68" spans="1:24">
      <c r="A68" s="1232" t="s">
        <v>17</v>
      </c>
      <c r="B68" s="1233"/>
      <c r="C68" s="1233"/>
      <c r="D68" s="1233"/>
      <c r="E68" s="43">
        <v>132.72999999999999</v>
      </c>
      <c r="F68" s="1212">
        <f>E68+E68*1.55%</f>
        <v>134.78731499999998</v>
      </c>
      <c r="G68" s="1212">
        <f>F68+F68*1.57%</f>
        <v>136.90347584549997</v>
      </c>
      <c r="H68" s="1212">
        <f>G68+G68*1.43%</f>
        <v>138.86119555009063</v>
      </c>
      <c r="I68" s="1212">
        <f>H68+H68*1.4%</f>
        <v>140.80525228779189</v>
      </c>
      <c r="J68" s="1212">
        <f t="shared" ref="J68:X68" si="5">I68+I68*1.34%</f>
        <v>142.69204266844829</v>
      </c>
      <c r="K68" s="1212">
        <f t="shared" si="5"/>
        <v>144.6041160402055</v>
      </c>
      <c r="L68" s="1212">
        <f t="shared" si="5"/>
        <v>146.54181119514425</v>
      </c>
      <c r="M68" s="1212">
        <f t="shared" si="5"/>
        <v>148.50547146515919</v>
      </c>
      <c r="N68" s="1212">
        <f t="shared" si="5"/>
        <v>150.49544478279233</v>
      </c>
      <c r="O68" s="1212">
        <f t="shared" si="5"/>
        <v>152.51208374288174</v>
      </c>
      <c r="P68" s="1212">
        <f t="shared" si="5"/>
        <v>154.55574566503637</v>
      </c>
      <c r="Q68" s="1212">
        <f t="shared" si="5"/>
        <v>156.62679265694786</v>
      </c>
      <c r="R68" s="1212">
        <f t="shared" si="5"/>
        <v>158.72559167855096</v>
      </c>
      <c r="S68" s="1212">
        <f t="shared" si="5"/>
        <v>160.85251460704353</v>
      </c>
      <c r="T68" s="1212">
        <f t="shared" si="5"/>
        <v>163.00793830277792</v>
      </c>
      <c r="U68" s="1212">
        <f t="shared" si="5"/>
        <v>165.19224467603513</v>
      </c>
      <c r="V68" s="1212">
        <f t="shared" si="5"/>
        <v>167.40582075469399</v>
      </c>
      <c r="W68" s="1212">
        <f t="shared" si="5"/>
        <v>169.64905875280689</v>
      </c>
      <c r="X68" s="1212">
        <f t="shared" si="5"/>
        <v>171.92235614009451</v>
      </c>
    </row>
    <row r="69" spans="1:24">
      <c r="A69" s="1234" t="s">
        <v>18</v>
      </c>
      <c r="B69" s="1235"/>
      <c r="C69" s="1235"/>
      <c r="D69" s="1235"/>
      <c r="E69" s="1236">
        <v>26.91</v>
      </c>
      <c r="F69" s="1228"/>
      <c r="L69" s="1228"/>
    </row>
    <row r="70" spans="1:24">
      <c r="A70" s="1232" t="s">
        <v>19</v>
      </c>
      <c r="B70" s="1233"/>
      <c r="C70" s="1233"/>
      <c r="D70" s="1233" t="s">
        <v>16</v>
      </c>
      <c r="E70" s="43">
        <v>26.91</v>
      </c>
    </row>
    <row r="71" spans="1:24">
      <c r="A71" s="1234" t="s">
        <v>20</v>
      </c>
      <c r="B71" s="1235"/>
      <c r="C71" s="1235"/>
      <c r="D71" s="1235"/>
      <c r="E71" s="1236">
        <v>157.19999999999999</v>
      </c>
      <c r="L71" s="1228"/>
    </row>
    <row r="72" spans="1:24">
      <c r="A72" s="1232" t="s">
        <v>21</v>
      </c>
      <c r="B72" s="1233"/>
      <c r="C72" s="1233"/>
      <c r="D72" s="1233"/>
      <c r="E72" s="43">
        <v>39.200000000000003</v>
      </c>
    </row>
    <row r="73" spans="1:24">
      <c r="A73" s="1232" t="s">
        <v>22</v>
      </c>
      <c r="B73" s="1233"/>
      <c r="C73" s="1233"/>
      <c r="D73" s="1233"/>
      <c r="E73" s="43">
        <v>118</v>
      </c>
    </row>
    <row r="74" spans="1:24">
      <c r="A74" s="1234" t="s">
        <v>23</v>
      </c>
      <c r="B74" s="1235"/>
      <c r="C74" s="1235"/>
      <c r="D74" s="1235"/>
      <c r="E74" s="1236">
        <v>69.089377505903997</v>
      </c>
      <c r="L74" s="1228"/>
    </row>
    <row r="75" spans="1:24">
      <c r="A75" s="1232" t="s">
        <v>463</v>
      </c>
      <c r="B75" s="1233"/>
      <c r="C75" s="1233"/>
      <c r="D75" s="11">
        <v>1.4999999999999999E-2</v>
      </c>
      <c r="E75" s="977">
        <v>62.391746517119991</v>
      </c>
    </row>
    <row r="76" spans="1:24">
      <c r="A76" s="1237" t="s">
        <v>648</v>
      </c>
      <c r="B76" s="1238"/>
      <c r="C76" s="1238"/>
      <c r="D76" s="1239">
        <v>7.4999999999999997E-2</v>
      </c>
      <c r="E76" s="906">
        <v>6.6976309887839998</v>
      </c>
    </row>
    <row r="77" spans="1:24">
      <c r="A77" s="1234" t="s">
        <v>25</v>
      </c>
      <c r="B77" s="1235"/>
      <c r="C77" s="1235"/>
      <c r="D77" s="56"/>
      <c r="E77" s="1236">
        <v>82.739357757992479</v>
      </c>
      <c r="L77" s="2"/>
    </row>
    <row r="78" spans="1:24">
      <c r="A78" s="1232" t="s">
        <v>525</v>
      </c>
      <c r="B78" s="1233"/>
      <c r="C78" s="1233"/>
      <c r="D78" s="11">
        <v>2.5000000000000001E-2</v>
      </c>
      <c r="E78" s="43">
        <v>65.405820520833331</v>
      </c>
    </row>
    <row r="79" spans="1:24">
      <c r="A79" s="1237" t="s">
        <v>644</v>
      </c>
      <c r="B79" s="1238"/>
      <c r="C79" s="1238"/>
      <c r="D79" s="1239">
        <v>1.4999999999999999E-2</v>
      </c>
      <c r="E79" s="906">
        <v>17.333537237159153</v>
      </c>
    </row>
    <row r="80" spans="1:24">
      <c r="A80" s="1255" t="s">
        <v>26</v>
      </c>
      <c r="B80" s="1255"/>
      <c r="C80" s="1255"/>
      <c r="D80" s="1255"/>
      <c r="E80" s="1256">
        <v>1238.3085069019362</v>
      </c>
    </row>
    <row r="81" spans="1:24" hidden="1"/>
    <row r="82" spans="1:24" hidden="1">
      <c r="A82" s="1350" t="s">
        <v>649</v>
      </c>
      <c r="B82" s="1351"/>
      <c r="C82" s="1215"/>
      <c r="D82" s="1215"/>
      <c r="E82" s="1216" t="s">
        <v>123</v>
      </c>
      <c r="F82" s="711">
        <v>2028</v>
      </c>
      <c r="G82" s="711">
        <v>2029</v>
      </c>
      <c r="H82" s="711">
        <v>2030</v>
      </c>
      <c r="I82" s="711">
        <v>2031</v>
      </c>
      <c r="J82" s="711">
        <v>2032</v>
      </c>
      <c r="K82" s="711">
        <v>2033</v>
      </c>
      <c r="L82" s="711">
        <v>2034</v>
      </c>
      <c r="M82" s="711">
        <v>2035</v>
      </c>
      <c r="N82" s="711">
        <v>2036</v>
      </c>
      <c r="O82" s="711">
        <v>2037</v>
      </c>
      <c r="P82" s="711">
        <v>2038</v>
      </c>
      <c r="Q82" s="711">
        <v>2039</v>
      </c>
      <c r="R82" s="711">
        <v>2040</v>
      </c>
      <c r="S82" s="711">
        <v>2041</v>
      </c>
      <c r="T82" s="711">
        <v>2042</v>
      </c>
      <c r="U82" s="711">
        <v>2043</v>
      </c>
      <c r="V82" s="711">
        <v>2044</v>
      </c>
      <c r="W82" s="711">
        <v>2045</v>
      </c>
      <c r="X82" s="711">
        <v>2046</v>
      </c>
    </row>
    <row r="83" spans="1:24" hidden="1">
      <c r="A83" s="1217" t="s">
        <v>13</v>
      </c>
      <c r="B83" s="1192" t="s">
        <v>81</v>
      </c>
      <c r="C83" s="1192" t="s">
        <v>82</v>
      </c>
      <c r="D83" s="1218"/>
      <c r="E83" s="1219">
        <f>E84+E89+E91+E94+E88</f>
        <v>2023.5543775059043</v>
      </c>
    </row>
    <row r="84" spans="1:24" hidden="1">
      <c r="A84" s="1261" t="s">
        <v>15</v>
      </c>
      <c r="B84" s="1262" t="s">
        <v>84</v>
      </c>
      <c r="C84" s="1262" t="s">
        <v>151</v>
      </c>
      <c r="D84" s="1263"/>
      <c r="E84" s="1264">
        <f>SUM(E85:E87)</f>
        <v>1614.9450000000002</v>
      </c>
      <c r="F84" s="1212">
        <f>E84+E84*1.41%</f>
        <v>1637.7157245000001</v>
      </c>
      <c r="G84" s="1212">
        <f>F84+F84*1.54%</f>
        <v>1662.9365466573001</v>
      </c>
      <c r="H84" s="1212">
        <f>G84+G84*1.47%</f>
        <v>1687.3817138931624</v>
      </c>
      <c r="I84" s="1212">
        <f>H84+H84*1.21%</f>
        <v>1707.7990326312697</v>
      </c>
      <c r="J84" s="1212">
        <f>I84+I84*1.34%</f>
        <v>1730.6835396685287</v>
      </c>
      <c r="K84" s="1212">
        <f>J84+J84*1.31%</f>
        <v>1753.3554940381864</v>
      </c>
      <c r="L84" s="1212">
        <f>K84+K84*1.35%</f>
        <v>1777.025793207702</v>
      </c>
      <c r="M84" s="1212">
        <f>L84+L84*1.5%</f>
        <v>1803.6811801058175</v>
      </c>
      <c r="N84" s="1212">
        <f>M84+M84*1.04%</f>
        <v>1822.439464378918</v>
      </c>
      <c r="O84" s="1212">
        <f>N84+N84*1.12%</f>
        <v>1842.8507863799618</v>
      </c>
      <c r="P84" s="1212">
        <f>O84+O84*1.15%</f>
        <v>1864.0435704233314</v>
      </c>
      <c r="Q84" s="1212">
        <f>P84+P84*1.05%</f>
        <v>1883.6160279127764</v>
      </c>
      <c r="R84" s="1212">
        <f>Q84+Q84*1.03%</f>
        <v>1903.017273000278</v>
      </c>
      <c r="S84" s="1212">
        <f>R84+R84*1.02%</f>
        <v>1922.4280491848808</v>
      </c>
      <c r="T84" s="1212">
        <f>S84+S84*1.15%</f>
        <v>1944.5359717505069</v>
      </c>
      <c r="U84" s="1212">
        <f>T84+T84*1.18%</f>
        <v>1967.4814962171629</v>
      </c>
      <c r="V84" s="1212">
        <f>U84+U84*1.25%</f>
        <v>1992.0750149198775</v>
      </c>
      <c r="W84" s="1212">
        <f>V84+V84*1.15%</f>
        <v>2014.9838775914561</v>
      </c>
      <c r="X84" s="1212">
        <f>W84+W84*1.17%</f>
        <v>2038.5591889592761</v>
      </c>
    </row>
    <row r="85" spans="1:24" hidden="1">
      <c r="A85" s="1265" t="s">
        <v>165</v>
      </c>
      <c r="B85" s="1225">
        <v>161200</v>
      </c>
      <c r="C85" s="1225">
        <v>84500</v>
      </c>
      <c r="D85" s="1265"/>
      <c r="E85" s="1225">
        <f>(B85*C85)/10^7</f>
        <v>1362.14</v>
      </c>
      <c r="F85" s="1212"/>
      <c r="G85" s="1212"/>
      <c r="H85" s="1212"/>
      <c r="I85" s="1212"/>
      <c r="J85" s="1212"/>
      <c r="K85" s="1212"/>
      <c r="L85" s="1212"/>
      <c r="M85" s="1212"/>
      <c r="N85" s="1212"/>
      <c r="O85" s="1212"/>
      <c r="P85" s="1212"/>
      <c r="Q85" s="1212"/>
      <c r="R85" s="1212"/>
      <c r="S85" s="1212"/>
      <c r="T85" s="1212"/>
      <c r="U85" s="1212"/>
      <c r="V85" s="1212"/>
      <c r="W85" s="1212"/>
      <c r="X85" s="1212"/>
    </row>
    <row r="86" spans="1:24" hidden="1">
      <c r="A86" s="1265" t="s">
        <v>637</v>
      </c>
      <c r="B86" s="1225">
        <v>206500</v>
      </c>
      <c r="C86" s="1225">
        <v>9300</v>
      </c>
      <c r="D86" s="1226"/>
      <c r="E86" s="1266">
        <f>(B86*C86)/10^7</f>
        <v>192.04499999999999</v>
      </c>
      <c r="F86" s="1228"/>
      <c r="L86" s="1228"/>
    </row>
    <row r="87" spans="1:24" hidden="1">
      <c r="A87" s="1265" t="s">
        <v>144</v>
      </c>
      <c r="B87" s="1225">
        <v>49000</v>
      </c>
      <c r="C87" s="1225">
        <v>12400</v>
      </c>
      <c r="D87" s="1226"/>
      <c r="E87" s="1266">
        <f>(B87*C87)/10^7</f>
        <v>60.76</v>
      </c>
      <c r="F87" s="1228"/>
      <c r="L87" s="1228"/>
    </row>
    <row r="88" spans="1:24" hidden="1">
      <c r="A88" s="1232" t="s">
        <v>17</v>
      </c>
      <c r="B88" s="1233"/>
      <c r="C88" s="1233"/>
      <c r="D88" s="1233"/>
      <c r="E88" s="43">
        <v>155.41</v>
      </c>
      <c r="F88" s="1212">
        <f>E88+E88*1.55%</f>
        <v>157.81885499999999</v>
      </c>
      <c r="G88" s="1212">
        <f>F88+F88*1.57%</f>
        <v>160.29661102349999</v>
      </c>
      <c r="H88" s="1212">
        <f>G88+G88*1.43%</f>
        <v>162.58885256113604</v>
      </c>
      <c r="I88" s="1212">
        <f>H88+H88*1.4%</f>
        <v>164.86509649699195</v>
      </c>
      <c r="J88" s="1212">
        <f t="shared" ref="J88:X88" si="6">I88+I88*1.34%</f>
        <v>167.07428879005164</v>
      </c>
      <c r="K88" s="1212">
        <f t="shared" si="6"/>
        <v>169.31308425983832</v>
      </c>
      <c r="L88" s="1212">
        <f t="shared" si="6"/>
        <v>171.58187958892015</v>
      </c>
      <c r="M88" s="1212">
        <f t="shared" si="6"/>
        <v>173.88107677541169</v>
      </c>
      <c r="N88" s="1212">
        <f t="shared" si="6"/>
        <v>176.2110832042022</v>
      </c>
      <c r="O88" s="1212">
        <f t="shared" si="6"/>
        <v>178.5723117191385</v>
      </c>
      <c r="P88" s="1212">
        <f t="shared" si="6"/>
        <v>180.96518069617494</v>
      </c>
      <c r="Q88" s="1212">
        <f t="shared" si="6"/>
        <v>183.39011411750369</v>
      </c>
      <c r="R88" s="1212">
        <f t="shared" si="6"/>
        <v>185.84754164667822</v>
      </c>
      <c r="S88" s="1212">
        <f t="shared" si="6"/>
        <v>188.33789870474371</v>
      </c>
      <c r="T88" s="1212">
        <f t="shared" si="6"/>
        <v>190.86162654738726</v>
      </c>
      <c r="U88" s="1212">
        <f t="shared" si="6"/>
        <v>193.41917234312226</v>
      </c>
      <c r="V88" s="1212">
        <f t="shared" si="6"/>
        <v>196.01098925252009</v>
      </c>
      <c r="W88" s="1212">
        <f t="shared" si="6"/>
        <v>198.63753650850387</v>
      </c>
      <c r="X88" s="1212">
        <f t="shared" si="6"/>
        <v>201.29927949771783</v>
      </c>
    </row>
    <row r="89" spans="1:24" hidden="1">
      <c r="A89" s="1234" t="s">
        <v>18</v>
      </c>
      <c r="B89" s="1235"/>
      <c r="C89" s="1235"/>
      <c r="D89" s="1235"/>
      <c r="E89" s="1236">
        <f>E90</f>
        <v>26.91</v>
      </c>
      <c r="F89" s="1228"/>
      <c r="L89" s="1228"/>
    </row>
    <row r="90" spans="1:24" hidden="1">
      <c r="A90" s="1232" t="s">
        <v>19</v>
      </c>
      <c r="B90" s="1233"/>
      <c r="C90" s="1233"/>
      <c r="D90" s="1233" t="s">
        <v>16</v>
      </c>
      <c r="E90" s="43">
        <f>E70</f>
        <v>26.91</v>
      </c>
    </row>
    <row r="91" spans="1:24" hidden="1">
      <c r="A91" s="1234" t="s">
        <v>20</v>
      </c>
      <c r="B91" s="1235"/>
      <c r="C91" s="1235"/>
      <c r="D91" s="1235"/>
      <c r="E91" s="1236">
        <f>E93+E92</f>
        <v>157.19999999999999</v>
      </c>
      <c r="L91" s="1228"/>
    </row>
    <row r="92" spans="1:24" hidden="1">
      <c r="A92" s="1232" t="s">
        <v>21</v>
      </c>
      <c r="B92" s="1233"/>
      <c r="C92" s="1233"/>
      <c r="D92" s="1233"/>
      <c r="E92" s="43">
        <v>39.200000000000003</v>
      </c>
    </row>
    <row r="93" spans="1:24" hidden="1">
      <c r="A93" s="1232" t="s">
        <v>22</v>
      </c>
      <c r="B93" s="1233"/>
      <c r="C93" s="1233"/>
      <c r="D93" s="1233"/>
      <c r="E93" s="43">
        <v>118</v>
      </c>
    </row>
    <row r="94" spans="1:24" hidden="1">
      <c r="A94" s="1234" t="s">
        <v>23</v>
      </c>
      <c r="B94" s="1235"/>
      <c r="C94" s="1235"/>
      <c r="D94" s="1235"/>
      <c r="E94" s="1236">
        <f>E95+E96</f>
        <v>69.089377505903997</v>
      </c>
      <c r="L94" s="1228"/>
    </row>
    <row r="95" spans="1:24" hidden="1">
      <c r="A95" s="1232" t="s">
        <v>463</v>
      </c>
      <c r="B95" s="1233"/>
      <c r="C95" s="1233"/>
      <c r="D95" s="11">
        <v>1.4999999999999999E-2</v>
      </c>
      <c r="E95" s="977">
        <f>E15</f>
        <v>62.391746517119991</v>
      </c>
    </row>
    <row r="96" spans="1:24" hidden="1">
      <c r="A96" s="1237" t="s">
        <v>648</v>
      </c>
      <c r="B96" s="1238"/>
      <c r="C96" s="1238"/>
      <c r="D96" s="1239">
        <v>7.4999999999999997E-2</v>
      </c>
      <c r="E96" s="906">
        <f>D96*(E95+E90)</f>
        <v>6.6976309887839998</v>
      </c>
    </row>
    <row r="97" spans="1:12" hidden="1">
      <c r="A97" s="1234" t="s">
        <v>25</v>
      </c>
      <c r="B97" s="1235"/>
      <c r="C97" s="1235"/>
      <c r="D97" s="56"/>
      <c r="E97" s="1236">
        <f>E99+E98</f>
        <v>123.79020212092189</v>
      </c>
      <c r="L97" s="2"/>
    </row>
    <row r="98" spans="1:12" hidden="1">
      <c r="A98" s="1232" t="s">
        <v>525</v>
      </c>
      <c r="B98" s="1233"/>
      <c r="C98" s="1233"/>
      <c r="D98" s="11">
        <v>2.5000000000000001E-2</v>
      </c>
      <c r="E98" s="43">
        <f>E39</f>
        <v>93.436886458333333</v>
      </c>
    </row>
    <row r="99" spans="1:12" hidden="1">
      <c r="A99" s="1237" t="s">
        <v>644</v>
      </c>
      <c r="B99" s="1238"/>
      <c r="C99" s="1238"/>
      <c r="D99" s="1239">
        <v>1.4999999999999999E-2</v>
      </c>
      <c r="E99" s="906">
        <f>E83*D99</f>
        <v>30.353315662588564</v>
      </c>
    </row>
    <row r="100" spans="1:12" hidden="1">
      <c r="A100" s="1267" t="s">
        <v>26</v>
      </c>
      <c r="B100" s="1255"/>
      <c r="C100" s="1255"/>
      <c r="D100" s="1255"/>
      <c r="E100" s="1256">
        <f>E97+E83</f>
        <v>2147.3445796268261</v>
      </c>
    </row>
    <row r="101" spans="1:12" hidden="1"/>
    <row r="102" spans="1:12" hidden="1"/>
  </sheetData>
  <mergeCells count="1">
    <mergeCell ref="A82:B8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10144-0354-4AB0-AA50-DCAB2B248D57}">
  <sheetPr codeName="Sheet45"/>
  <dimension ref="A1:AH97"/>
  <sheetViews>
    <sheetView topLeftCell="L1" workbookViewId="0">
      <selection activeCell="X3" sqref="X3"/>
    </sheetView>
  </sheetViews>
  <sheetFormatPr defaultRowHeight="15"/>
  <cols>
    <col min="1" max="3" width="0" style="5" hidden="1" customWidth="1"/>
    <col min="4" max="4" width="10.42578125" style="5" bestFit="1" customWidth="1"/>
    <col min="5" max="7" width="14" style="5" customWidth="1"/>
    <col min="8" max="8" width="8.42578125" style="5" bestFit="1" customWidth="1"/>
    <col min="9" max="11" width="11.5703125" style="5" bestFit="1" customWidth="1"/>
    <col min="12" max="12" width="14.140625" style="5" customWidth="1"/>
    <col min="13" max="15" width="11.85546875" style="5" customWidth="1"/>
    <col min="16" max="16" width="11.5703125" style="5" bestFit="1" customWidth="1"/>
    <col min="17" max="17" width="11.85546875" style="5" customWidth="1"/>
    <col min="18" max="20" width="11.5703125" style="5" bestFit="1" customWidth="1"/>
    <col min="21" max="21" width="12.7109375" style="5" customWidth="1"/>
    <col min="22" max="26" width="11.5703125" style="5" bestFit="1" customWidth="1"/>
    <col min="27" max="29" width="9.140625" style="5"/>
    <col min="30" max="30" width="14.28515625" style="5" customWidth="1"/>
    <col min="31" max="31" width="9.140625" style="5"/>
    <col min="32" max="33" width="11.5703125" style="5" bestFit="1" customWidth="1"/>
    <col min="34" max="16384" width="9.140625" style="5"/>
  </cols>
  <sheetData>
    <row r="1" spans="1:34">
      <c r="D1" s="5">
        <v>1</v>
      </c>
      <c r="E1" s="5">
        <v>2</v>
      </c>
      <c r="F1" s="5">
        <v>3</v>
      </c>
      <c r="G1" s="5">
        <v>4</v>
      </c>
      <c r="H1" s="5">
        <v>5</v>
      </c>
      <c r="I1" s="5">
        <v>6</v>
      </c>
      <c r="J1" s="5">
        <v>7</v>
      </c>
      <c r="K1" s="5">
        <v>8</v>
      </c>
      <c r="L1" s="5">
        <v>9</v>
      </c>
      <c r="M1" s="5">
        <v>10</v>
      </c>
      <c r="N1" s="5">
        <v>11</v>
      </c>
      <c r="O1" s="5">
        <v>12</v>
      </c>
      <c r="P1" s="5">
        <v>13</v>
      </c>
      <c r="Q1" s="5">
        <v>14</v>
      </c>
      <c r="R1" s="5">
        <v>15</v>
      </c>
      <c r="S1" s="5">
        <v>16</v>
      </c>
      <c r="T1" s="5">
        <v>17</v>
      </c>
      <c r="U1" s="5">
        <v>18</v>
      </c>
      <c r="V1" s="5">
        <v>19</v>
      </c>
      <c r="W1" s="5">
        <v>20</v>
      </c>
      <c r="X1" s="5">
        <v>21</v>
      </c>
      <c r="Y1" s="5">
        <v>22</v>
      </c>
      <c r="Z1" s="5">
        <v>23</v>
      </c>
    </row>
    <row r="2" spans="1:34" s="1328" customFormat="1" ht="150">
      <c r="A2" s="1328" t="s">
        <v>666</v>
      </c>
      <c r="B2" s="1328" t="s">
        <v>319</v>
      </c>
      <c r="C2" s="1328" t="s">
        <v>666</v>
      </c>
      <c r="D2" s="1328" t="s">
        <v>667</v>
      </c>
      <c r="E2" s="1328" t="s">
        <v>668</v>
      </c>
      <c r="F2" s="1328" t="s">
        <v>669</v>
      </c>
      <c r="G2" s="1328" t="s">
        <v>670</v>
      </c>
      <c r="H2" s="1328" t="s">
        <v>671</v>
      </c>
      <c r="I2" s="1329" t="s">
        <v>672</v>
      </c>
      <c r="J2" s="1329" t="s">
        <v>673</v>
      </c>
      <c r="K2" s="1329" t="s">
        <v>674</v>
      </c>
      <c r="L2" s="1328" t="s">
        <v>675</v>
      </c>
      <c r="M2" s="1328" t="s">
        <v>676</v>
      </c>
      <c r="N2" s="1328" t="s">
        <v>677</v>
      </c>
      <c r="O2" s="1328" t="s">
        <v>678</v>
      </c>
      <c r="P2" s="1329" t="s">
        <v>679</v>
      </c>
      <c r="Q2" s="1328" t="s">
        <v>680</v>
      </c>
      <c r="R2" s="1329" t="s">
        <v>681</v>
      </c>
      <c r="S2" s="1328" t="s">
        <v>682</v>
      </c>
      <c r="T2" s="1328" t="s">
        <v>683</v>
      </c>
      <c r="U2" s="1328" t="s">
        <v>684</v>
      </c>
      <c r="V2" s="1330" t="s">
        <v>685</v>
      </c>
      <c r="W2" s="1330" t="s">
        <v>686</v>
      </c>
      <c r="X2" s="1329" t="s">
        <v>687</v>
      </c>
      <c r="Y2" s="1329" t="s">
        <v>688</v>
      </c>
      <c r="Z2" s="1329" t="s">
        <v>689</v>
      </c>
      <c r="AD2" s="1352" t="s">
        <v>690</v>
      </c>
      <c r="AE2" s="1352"/>
      <c r="AF2" s="1352"/>
      <c r="AG2" s="1352"/>
      <c r="AH2" s="1352"/>
    </row>
    <row r="3" spans="1:34" s="1328" customFormat="1">
      <c r="D3" s="1331">
        <v>41913</v>
      </c>
      <c r="E3" s="1332">
        <v>45117.106964999999</v>
      </c>
      <c r="F3" s="1332">
        <v>43202.607034209002</v>
      </c>
      <c r="G3" s="1332">
        <v>46958.621534999998</v>
      </c>
      <c r="H3" s="1333">
        <v>61.383819000000003</v>
      </c>
      <c r="I3" s="1334">
        <f>1.049*E3</f>
        <v>47327.845206284997</v>
      </c>
      <c r="J3" s="1334">
        <f>(1.011*F3+0.02*H3)*0.39+0.16*(1.011*F3+17*H3)+0.45*(F3+L3*H3)</f>
        <v>43624.51990859666</v>
      </c>
      <c r="K3" s="1334">
        <f>1.0459*G3</f>
        <v>49114.0222634565</v>
      </c>
      <c r="L3" s="1335">
        <v>-0.25</v>
      </c>
      <c r="M3" s="1328">
        <v>3.984</v>
      </c>
      <c r="N3" s="1328">
        <v>4.2</v>
      </c>
      <c r="O3" s="1335">
        <f t="shared" ref="O3:O17" si="0">1.95*39206/49.2</f>
        <v>1553.8963414634145</v>
      </c>
      <c r="P3" s="1334">
        <f t="shared" ref="P3:P17" si="1">(1.043*N3*H3+236)*49.2</f>
        <v>24840.979509560882</v>
      </c>
      <c r="Q3" s="1335">
        <f t="shared" ref="Q3:Q17" si="2">1.3207*M3 + 4.1257</f>
        <v>9.3873688000000008</v>
      </c>
      <c r="R3" s="1334">
        <f>Q3*49.2*H3</f>
        <v>28350.641327428009</v>
      </c>
      <c r="S3" s="1336">
        <f>3000-O3</f>
        <v>1446.1036585365855</v>
      </c>
      <c r="T3" s="1337">
        <f>S3/3000</f>
        <v>0.48203455284552849</v>
      </c>
      <c r="U3" s="1338">
        <f>100%-T3</f>
        <v>0.51796544715447146</v>
      </c>
      <c r="V3" s="1339">
        <f>(T3*R3)+(U3*P3)</f>
        <v>26532.757774575486</v>
      </c>
      <c r="W3" s="1339">
        <f t="shared" ref="W3:W66" si="3">(1.011*F3+0.02*H3)*0.55+0.22*(1.011*F3+17*H3)+0.23*(F3+L3*H3)</f>
        <v>43795.254251265251</v>
      </c>
      <c r="X3" s="1334">
        <f>0.94*P3+0.06*R3</f>
        <v>25051.559218632909</v>
      </c>
      <c r="Y3" s="1334">
        <f>0.39*I3+0.61*1.1*E3</f>
        <v>48731.438403966153</v>
      </c>
      <c r="Z3" s="1334">
        <f t="shared" ref="Z3:Z66" si="4">(1.011*F3+0.02*H3)*0.36+0.15*(1.011*F3+17*H3)+0.49*(F3+L3*H3)</f>
        <v>43594.424843790213</v>
      </c>
      <c r="AD3" s="1352" t="s">
        <v>691</v>
      </c>
      <c r="AE3" s="1328">
        <v>1500</v>
      </c>
      <c r="AF3" s="1328">
        <v>0.39</v>
      </c>
      <c r="AG3" s="1328">
        <f>AE3*AF3</f>
        <v>585</v>
      </c>
      <c r="AH3" s="1328" t="s">
        <v>692</v>
      </c>
    </row>
    <row r="4" spans="1:34" s="1328" customFormat="1">
      <c r="D4" s="1331">
        <v>41944</v>
      </c>
      <c r="E4" s="1332">
        <v>37638.520120000001</v>
      </c>
      <c r="F4" s="1332">
        <v>38841.163391572001</v>
      </c>
      <c r="G4" s="1332">
        <v>37021.495199999998</v>
      </c>
      <c r="H4" s="1333">
        <v>61.702491999999999</v>
      </c>
      <c r="I4" s="1334">
        <f t="shared" ref="I4:I17" si="5">1.049*E4</f>
        <v>39482.80760588</v>
      </c>
      <c r="J4" s="1334">
        <f t="shared" ref="J4:J67" si="6">(1.011*F4+0.02*H4)*0.39+0.16*(1.011*F4+17*H4)+0.45*(F4+L4*H4)</f>
        <v>39188.238091933614</v>
      </c>
      <c r="K4" s="1334">
        <f t="shared" ref="K4:K17" si="7">1.0459*G4</f>
        <v>38720.781829679996</v>
      </c>
      <c r="L4" s="1335">
        <v>-2.0249999999999999</v>
      </c>
      <c r="M4" s="1328">
        <v>3.7280000000000002</v>
      </c>
      <c r="N4" s="5">
        <v>5.05</v>
      </c>
      <c r="O4" s="1335">
        <f t="shared" si="0"/>
        <v>1553.8963414634145</v>
      </c>
      <c r="P4" s="1334">
        <f t="shared" si="1"/>
        <v>27601.017012299759</v>
      </c>
      <c r="Q4" s="1335">
        <f t="shared" si="2"/>
        <v>9.0492696000000006</v>
      </c>
      <c r="R4" s="1334">
        <f t="shared" ref="R4:R67" si="8">Q4*49.2*H4</f>
        <v>27471.434266912289</v>
      </c>
      <c r="S4" s="1336">
        <f t="shared" ref="S4:S67" si="9">3000-O4</f>
        <v>1446.1036585365855</v>
      </c>
      <c r="T4" s="1337">
        <f t="shared" ref="T4:T67" si="10">S4/3000</f>
        <v>0.48203455284552849</v>
      </c>
      <c r="U4" s="1338">
        <f t="shared" ref="U4:U67" si="11">100%-T4</f>
        <v>0.51796544715447146</v>
      </c>
      <c r="V4" s="1339">
        <f t="shared" ref="V4:V67" si="12">(T4*R4)+(U4*P4)</f>
        <v>27538.553651570412</v>
      </c>
      <c r="W4" s="1339">
        <f t="shared" si="3"/>
        <v>39372.856157341615</v>
      </c>
      <c r="X4" s="1334">
        <f t="shared" ref="X4:X67" si="13">0.94*P4+0.06*R4</f>
        <v>27593.24204757651</v>
      </c>
      <c r="Y4" s="1334">
        <f t="shared" ref="Y4:Y67" si="14">0.39*I4+0.61*1.1*E4</f>
        <v>40653.741966813206</v>
      </c>
      <c r="Z4" s="1334">
        <f t="shared" si="4"/>
        <v>39155.623633054114</v>
      </c>
      <c r="AD4" s="1352"/>
      <c r="AE4" s="1328">
        <v>1500</v>
      </c>
      <c r="AF4" s="1328">
        <v>0.16</v>
      </c>
      <c r="AG4" s="1328">
        <f t="shared" ref="AG4:AG5" si="15">AE4*AF4</f>
        <v>240</v>
      </c>
      <c r="AH4" s="1328" t="s">
        <v>693</v>
      </c>
    </row>
    <row r="5" spans="1:34" s="1328" customFormat="1">
      <c r="D5" s="1331">
        <v>41974</v>
      </c>
      <c r="E5" s="1332">
        <v>34512.927349999998</v>
      </c>
      <c r="F5" s="1332">
        <v>30847.403462322</v>
      </c>
      <c r="G5" s="1332">
        <v>35767.942889999998</v>
      </c>
      <c r="H5" s="1333">
        <v>62.750776999999999</v>
      </c>
      <c r="I5" s="1334">
        <f t="shared" si="5"/>
        <v>36204.060790149997</v>
      </c>
      <c r="J5" s="1334">
        <f t="shared" si="6"/>
        <v>31227.926568440358</v>
      </c>
      <c r="K5" s="1334">
        <f t="shared" si="7"/>
        <v>37409.691468650999</v>
      </c>
      <c r="L5" s="1335">
        <v>0.80476190476190468</v>
      </c>
      <c r="M5" s="1328">
        <v>4.282</v>
      </c>
      <c r="N5" s="5">
        <v>5.05</v>
      </c>
      <c r="O5" s="1335">
        <f t="shared" si="0"/>
        <v>1553.8963414634145</v>
      </c>
      <c r="P5" s="1334">
        <f t="shared" si="1"/>
        <v>27872.673549717059</v>
      </c>
      <c r="Q5" s="1335">
        <f t="shared" si="2"/>
        <v>9.7809373999999991</v>
      </c>
      <c r="R5" s="1334">
        <f t="shared" si="8"/>
        <v>30197.0619446073</v>
      </c>
      <c r="S5" s="1336">
        <f t="shared" si="9"/>
        <v>1446.1036585365855</v>
      </c>
      <c r="T5" s="1337">
        <f t="shared" si="10"/>
        <v>0.48203455284552849</v>
      </c>
      <c r="U5" s="1338">
        <f t="shared" si="11"/>
        <v>0.51796544715447146</v>
      </c>
      <c r="V5" s="1339">
        <f t="shared" si="12"/>
        <v>28993.109070287312</v>
      </c>
      <c r="W5" s="1339">
        <f t="shared" si="3"/>
        <v>31355.674004184344</v>
      </c>
      <c r="X5" s="1334">
        <f t="shared" si="13"/>
        <v>28012.136853410473</v>
      </c>
      <c r="Y5" s="1334">
        <f t="shared" si="14"/>
        <v>37277.757960008501</v>
      </c>
      <c r="Z5" s="1334">
        <f t="shared" si="4"/>
        <v>31205.668405753691</v>
      </c>
      <c r="AD5" s="1352"/>
      <c r="AE5" s="1328">
        <v>1500</v>
      </c>
      <c r="AF5" s="1328">
        <v>0.45</v>
      </c>
      <c r="AG5" s="1328">
        <f t="shared" si="15"/>
        <v>675</v>
      </c>
      <c r="AH5" s="1328" t="s">
        <v>694</v>
      </c>
    </row>
    <row r="6" spans="1:34" s="1328" customFormat="1">
      <c r="D6" s="1331">
        <v>42005</v>
      </c>
      <c r="E6" s="1332">
        <v>26404.393625000001</v>
      </c>
      <c r="F6" s="1332">
        <v>24224.571143289999</v>
      </c>
      <c r="G6" s="1332">
        <v>29200.15295</v>
      </c>
      <c r="H6" s="1333">
        <v>62.127985000000002</v>
      </c>
      <c r="I6" s="1334">
        <f t="shared" si="5"/>
        <v>27698.208912624999</v>
      </c>
      <c r="J6" s="1334">
        <f t="shared" si="6"/>
        <v>24551.253027904189</v>
      </c>
      <c r="K6" s="1334">
        <f t="shared" si="7"/>
        <v>30540.439970405001</v>
      </c>
      <c r="L6" s="1335">
        <v>0.38095238095238093</v>
      </c>
      <c r="M6" s="1328">
        <v>3.1890000000000001</v>
      </c>
      <c r="N6" s="5">
        <v>5.05</v>
      </c>
      <c r="O6" s="1335">
        <f t="shared" si="0"/>
        <v>1553.8963414634145</v>
      </c>
      <c r="P6" s="1334">
        <f t="shared" si="1"/>
        <v>27711.2808766833</v>
      </c>
      <c r="Q6" s="1335">
        <f t="shared" si="2"/>
        <v>8.3374123000000004</v>
      </c>
      <c r="R6" s="1334">
        <f t="shared" si="8"/>
        <v>25484.942014610206</v>
      </c>
      <c r="S6" s="1336">
        <f t="shared" si="9"/>
        <v>1446.1036585365855</v>
      </c>
      <c r="T6" s="1337">
        <f t="shared" si="10"/>
        <v>0.48203455284552849</v>
      </c>
      <c r="U6" s="1338">
        <f t="shared" si="11"/>
        <v>0.51796544715447146</v>
      </c>
      <c r="V6" s="1339">
        <f t="shared" si="12"/>
        <v>26638.108618821272</v>
      </c>
      <c r="W6" s="1339">
        <f t="shared" si="3"/>
        <v>24668.238927484857</v>
      </c>
      <c r="X6" s="1334">
        <f t="shared" si="13"/>
        <v>27577.700544958916</v>
      </c>
      <c r="Y6" s="1334">
        <f t="shared" si="14"/>
        <v>28519.649598298754</v>
      </c>
      <c r="Z6" s="1334">
        <f t="shared" si="4"/>
        <v>24530.941894512522</v>
      </c>
      <c r="AD6" s="1340"/>
    </row>
    <row r="7" spans="1:34" s="1328" customFormat="1">
      <c r="D7" s="1331">
        <v>42036</v>
      </c>
      <c r="E7" s="1332">
        <v>27927.001350000002</v>
      </c>
      <c r="F7" s="1332">
        <v>30653.173161784001</v>
      </c>
      <c r="G7" s="1332">
        <v>29788.801439999999</v>
      </c>
      <c r="H7" s="1333">
        <v>62.060003000000002</v>
      </c>
      <c r="I7" s="1334">
        <f t="shared" si="5"/>
        <v>29295.424416149999</v>
      </c>
      <c r="J7" s="1334">
        <f t="shared" si="6"/>
        <v>31348.466402058693</v>
      </c>
      <c r="K7" s="1334">
        <f t="shared" si="7"/>
        <v>31156.107426096001</v>
      </c>
      <c r="L7" s="1335">
        <v>12.194444444444445</v>
      </c>
      <c r="M7" s="1328">
        <v>2.8660000000000001</v>
      </c>
      <c r="N7" s="5">
        <v>5.05</v>
      </c>
      <c r="O7" s="1335">
        <f t="shared" si="0"/>
        <v>1553.8963414634145</v>
      </c>
      <c r="P7" s="1334">
        <f t="shared" si="1"/>
        <v>27693.66376423134</v>
      </c>
      <c r="Q7" s="1335">
        <f t="shared" si="2"/>
        <v>7.9108262000000007</v>
      </c>
      <c r="R7" s="1334">
        <f t="shared" si="8"/>
        <v>24154.538167060349</v>
      </c>
      <c r="S7" s="1336">
        <f t="shared" si="9"/>
        <v>1446.1036585365855</v>
      </c>
      <c r="T7" s="1337">
        <f t="shared" si="10"/>
        <v>0.48203455284552849</v>
      </c>
      <c r="U7" s="1338">
        <f t="shared" si="11"/>
        <v>0.51796544715447146</v>
      </c>
      <c r="V7" s="1339">
        <f t="shared" si="12"/>
        <v>25987.682939534854</v>
      </c>
      <c r="W7" s="1339">
        <f t="shared" si="3"/>
        <v>31319.653679242587</v>
      </c>
      <c r="X7" s="1334">
        <f t="shared" si="13"/>
        <v>27481.31622840108</v>
      </c>
      <c r="Y7" s="1334">
        <f t="shared" si="14"/>
        <v>30164.233428148502</v>
      </c>
      <c r="Z7" s="1334">
        <f t="shared" si="4"/>
        <v>31354.663059707927</v>
      </c>
      <c r="AD7" s="1352" t="s">
        <v>695</v>
      </c>
      <c r="AE7" s="1328">
        <v>1611</v>
      </c>
      <c r="AF7" s="1328">
        <f>AG3</f>
        <v>585</v>
      </c>
      <c r="AG7" s="1336">
        <f>AF7/AE7</f>
        <v>0.36312849162011174</v>
      </c>
      <c r="AH7" s="1328" t="s">
        <v>692</v>
      </c>
    </row>
    <row r="8" spans="1:34" s="1328" customFormat="1">
      <c r="D8" s="1331">
        <v>42064</v>
      </c>
      <c r="E8" s="1332">
        <v>31253.611000000001</v>
      </c>
      <c r="F8" s="1332">
        <v>30504.024393775999</v>
      </c>
      <c r="G8" s="1332">
        <v>28753.322120000001</v>
      </c>
      <c r="H8" s="1333">
        <v>62.507221999999999</v>
      </c>
      <c r="I8" s="1334">
        <f t="shared" si="5"/>
        <v>32785.037939000002</v>
      </c>
      <c r="J8" s="1334">
        <f t="shared" si="6"/>
        <v>31334.704076202666</v>
      </c>
      <c r="K8" s="1334">
        <f t="shared" si="7"/>
        <v>30073.099605308002</v>
      </c>
      <c r="L8" s="1335">
        <v>16.90909090909091</v>
      </c>
      <c r="M8" s="1328">
        <v>2.8940000000000001</v>
      </c>
      <c r="N8" s="5">
        <v>5.05</v>
      </c>
      <c r="O8" s="1335">
        <f t="shared" si="0"/>
        <v>1553.8963414634145</v>
      </c>
      <c r="P8" s="1334">
        <f t="shared" si="1"/>
        <v>27809.557786379155</v>
      </c>
      <c r="Q8" s="1335">
        <f t="shared" si="2"/>
        <v>7.9478058000000003</v>
      </c>
      <c r="R8" s="1334">
        <f t="shared" si="8"/>
        <v>24442.326868431592</v>
      </c>
      <c r="S8" s="1336">
        <f t="shared" si="9"/>
        <v>1446.1036585365855</v>
      </c>
      <c r="T8" s="1337">
        <f t="shared" si="10"/>
        <v>0.48203455284552849</v>
      </c>
      <c r="U8" s="1338">
        <f t="shared" si="11"/>
        <v>0.51796544715447146</v>
      </c>
      <c r="V8" s="1339">
        <f t="shared" si="12"/>
        <v>26186.436136518663</v>
      </c>
      <c r="W8" s="1339">
        <f t="shared" si="3"/>
        <v>31239.954338946009</v>
      </c>
      <c r="X8" s="1334">
        <f t="shared" si="13"/>
        <v>27607.523931302298</v>
      </c>
      <c r="Y8" s="1334">
        <f t="shared" si="14"/>
        <v>33757.337777210007</v>
      </c>
      <c r="Z8" s="1334">
        <f t="shared" si="4"/>
        <v>31352.896185367117</v>
      </c>
      <c r="AD8" s="1352"/>
      <c r="AF8" s="1328">
        <f>AG4</f>
        <v>240</v>
      </c>
      <c r="AG8" s="1336">
        <f>AF8/AE7</f>
        <v>0.148975791433892</v>
      </c>
      <c r="AH8" s="1328" t="s">
        <v>693</v>
      </c>
    </row>
    <row r="9" spans="1:34" s="1328" customFormat="1">
      <c r="D9" s="1331">
        <v>42095</v>
      </c>
      <c r="E9" s="1332">
        <v>28864.580480000001</v>
      </c>
      <c r="F9" s="1332">
        <v>32168.382712287996</v>
      </c>
      <c r="G9" s="1332">
        <v>29492.071360000002</v>
      </c>
      <c r="H9" s="1333">
        <v>62.749088</v>
      </c>
      <c r="I9" s="1334">
        <f t="shared" si="5"/>
        <v>30278.944923519997</v>
      </c>
      <c r="J9" s="1334">
        <f t="shared" si="6"/>
        <v>33074.370806458028</v>
      </c>
      <c r="K9" s="1334">
        <f t="shared" si="7"/>
        <v>30845.757435424002</v>
      </c>
      <c r="L9" s="1335">
        <v>19.13095238095238</v>
      </c>
      <c r="M9" s="1328">
        <v>2.59</v>
      </c>
      <c r="N9" s="5">
        <v>5.05</v>
      </c>
      <c r="O9" s="1335">
        <f t="shared" si="0"/>
        <v>1553.8963414634145</v>
      </c>
      <c r="P9" s="1334">
        <f t="shared" si="1"/>
        <v>27872.235855872641</v>
      </c>
      <c r="Q9" s="1335">
        <f t="shared" si="2"/>
        <v>7.5463129999999996</v>
      </c>
      <c r="R9" s="1334">
        <f t="shared" si="8"/>
        <v>23297.393518817164</v>
      </c>
      <c r="S9" s="1336">
        <f t="shared" si="9"/>
        <v>1446.1036585365855</v>
      </c>
      <c r="T9" s="1337">
        <f t="shared" si="10"/>
        <v>0.48203455284552849</v>
      </c>
      <c r="U9" s="1338">
        <f t="shared" si="11"/>
        <v>0.51796544715447146</v>
      </c>
      <c r="V9" s="1339">
        <f t="shared" si="12"/>
        <v>25667.003775591307</v>
      </c>
      <c r="W9" s="1339">
        <f t="shared" si="3"/>
        <v>32952.324200278599</v>
      </c>
      <c r="X9" s="1334">
        <f t="shared" si="13"/>
        <v>27597.74531564931</v>
      </c>
      <c r="Y9" s="1334">
        <f t="shared" si="14"/>
        <v>31176.922022252798</v>
      </c>
      <c r="Z9" s="1334">
        <f t="shared" si="4"/>
        <v>33097.529716230856</v>
      </c>
      <c r="AD9" s="1352"/>
      <c r="AF9" s="1328">
        <f>AE7-AF8-AF7</f>
        <v>786</v>
      </c>
      <c r="AG9" s="1336">
        <f>AF9/AE7</f>
        <v>0.48789571694599626</v>
      </c>
      <c r="AH9" s="1328" t="s">
        <v>694</v>
      </c>
    </row>
    <row r="10" spans="1:34" s="1328" customFormat="1">
      <c r="D10" s="1331">
        <v>42125</v>
      </c>
      <c r="E10" s="1332">
        <v>29659.22985</v>
      </c>
      <c r="F10" s="1332">
        <v>34378.619260389998</v>
      </c>
      <c r="G10" s="1332">
        <v>30297.062750000001</v>
      </c>
      <c r="H10" s="1333">
        <v>63.783290000000001</v>
      </c>
      <c r="I10" s="1334">
        <f t="shared" si="5"/>
        <v>31112.532112649998</v>
      </c>
      <c r="J10" s="1334">
        <f t="shared" si="6"/>
        <v>35152.0280431961</v>
      </c>
      <c r="K10" s="1334">
        <f t="shared" si="7"/>
        <v>31687.697930225004</v>
      </c>
      <c r="L10" s="1335">
        <v>13.637499999999999</v>
      </c>
      <c r="M10" s="1328">
        <v>2.5169999999999999</v>
      </c>
      <c r="N10" s="5">
        <v>5.05</v>
      </c>
      <c r="O10" s="1335">
        <f t="shared" si="0"/>
        <v>1553.8963414634145</v>
      </c>
      <c r="P10" s="1334">
        <f t="shared" si="1"/>
        <v>28140.242871436196</v>
      </c>
      <c r="Q10" s="1335">
        <f t="shared" si="2"/>
        <v>7.4499019000000004</v>
      </c>
      <c r="R10" s="1334">
        <f t="shared" si="8"/>
        <v>23378.81926527515</v>
      </c>
      <c r="S10" s="1336">
        <f t="shared" si="9"/>
        <v>1446.1036585365855</v>
      </c>
      <c r="T10" s="1337">
        <f t="shared" si="10"/>
        <v>0.48203455284552849</v>
      </c>
      <c r="U10" s="1338">
        <f t="shared" si="11"/>
        <v>0.51796544715447146</v>
      </c>
      <c r="V10" s="1339">
        <f t="shared" si="12"/>
        <v>25845.072172532211</v>
      </c>
      <c r="W10" s="1339">
        <f t="shared" si="3"/>
        <v>35109.121548311748</v>
      </c>
      <c r="X10" s="1334">
        <f t="shared" si="13"/>
        <v>27854.557455066533</v>
      </c>
      <c r="Y10" s="1334">
        <f t="shared" si="14"/>
        <v>32035.2307532835</v>
      </c>
      <c r="Z10" s="1334">
        <f t="shared" si="4"/>
        <v>35160.813806142534</v>
      </c>
      <c r="AD10" s="1340"/>
    </row>
    <row r="11" spans="1:34" s="1328" customFormat="1">
      <c r="D11" s="1331">
        <v>42156</v>
      </c>
      <c r="E11" s="1332">
        <v>25855.935074999998</v>
      </c>
      <c r="F11" s="1332">
        <v>33361.370371844998</v>
      </c>
      <c r="G11" s="1332">
        <v>28090.3986</v>
      </c>
      <c r="H11" s="1333">
        <v>63.841814999999997</v>
      </c>
      <c r="I11" s="1334">
        <f t="shared" si="5"/>
        <v>27122.875893674995</v>
      </c>
      <c r="J11" s="1334">
        <f t="shared" si="6"/>
        <v>34168.286616801655</v>
      </c>
      <c r="K11" s="1334">
        <f t="shared" si="7"/>
        <v>29379.747895740002</v>
      </c>
      <c r="L11" s="1335">
        <v>15</v>
      </c>
      <c r="M11" s="1328">
        <v>2.8149999999999999</v>
      </c>
      <c r="N11" s="5">
        <v>4.66</v>
      </c>
      <c r="O11" s="1335">
        <f t="shared" si="0"/>
        <v>1553.8963414634145</v>
      </c>
      <c r="P11" s="1334">
        <f t="shared" si="1"/>
        <v>26877.737654853237</v>
      </c>
      <c r="Q11" s="1335">
        <f t="shared" si="2"/>
        <v>7.8434705000000005</v>
      </c>
      <c r="R11" s="1334">
        <f t="shared" si="8"/>
        <v>24636.476516852708</v>
      </c>
      <c r="S11" s="1336">
        <f t="shared" si="9"/>
        <v>1446.1036585365855</v>
      </c>
      <c r="T11" s="1337">
        <f t="shared" si="10"/>
        <v>0.48203455284552849</v>
      </c>
      <c r="U11" s="1338">
        <f t="shared" si="11"/>
        <v>0.51796544715447146</v>
      </c>
      <c r="V11" s="1339">
        <f t="shared" si="12"/>
        <v>25797.372344387091</v>
      </c>
      <c r="W11" s="1339">
        <f t="shared" si="3"/>
        <v>34103.66608870952</v>
      </c>
      <c r="X11" s="1334">
        <f t="shared" si="13"/>
        <v>26743.261986573205</v>
      </c>
      <c r="Y11" s="1334">
        <f t="shared" si="14"/>
        <v>27927.254033858248</v>
      </c>
      <c r="Z11" s="1334">
        <f t="shared" si="4"/>
        <v>34181.021289199045</v>
      </c>
      <c r="AD11" s="1340"/>
    </row>
    <row r="12" spans="1:34" s="1328" customFormat="1">
      <c r="D12" s="1331">
        <v>42186</v>
      </c>
      <c r="E12" s="1332">
        <v>25144.696305000001</v>
      </c>
      <c r="F12" s="1332">
        <v>28694.87279343</v>
      </c>
      <c r="G12" s="1332">
        <v>27054.420075000002</v>
      </c>
      <c r="H12" s="1333">
        <v>63.657459000000003</v>
      </c>
      <c r="I12" s="1334">
        <f t="shared" si="5"/>
        <v>26376.786423944999</v>
      </c>
      <c r="J12" s="1334">
        <f t="shared" si="6"/>
        <v>29309.699932355223</v>
      </c>
      <c r="K12" s="1334">
        <f t="shared" si="7"/>
        <v>28296.217956442502</v>
      </c>
      <c r="L12" s="1335">
        <v>9.3409090909090917</v>
      </c>
      <c r="M12" s="1328">
        <v>2.7730000000000001</v>
      </c>
      <c r="N12" s="5">
        <v>4.66</v>
      </c>
      <c r="O12" s="1335">
        <f t="shared" si="0"/>
        <v>1553.8963414634145</v>
      </c>
      <c r="P12" s="1334">
        <f t="shared" si="1"/>
        <v>26833.652476261464</v>
      </c>
      <c r="Q12" s="1335">
        <f t="shared" si="2"/>
        <v>7.7880011000000007</v>
      </c>
      <c r="R12" s="1334">
        <f t="shared" si="8"/>
        <v>24391.606547188087</v>
      </c>
      <c r="S12" s="1336">
        <f t="shared" si="9"/>
        <v>1446.1036585365855</v>
      </c>
      <c r="T12" s="1337">
        <f t="shared" si="10"/>
        <v>0.48203455284552849</v>
      </c>
      <c r="U12" s="1338">
        <f t="shared" si="11"/>
        <v>0.51796544715447146</v>
      </c>
      <c r="V12" s="1339">
        <f t="shared" si="12"/>
        <v>25656.501958812332</v>
      </c>
      <c r="W12" s="1339">
        <f t="shared" si="3"/>
        <v>29313.459758319121</v>
      </c>
      <c r="X12" s="1334">
        <f t="shared" si="13"/>
        <v>26687.129720517063</v>
      </c>
      <c r="Y12" s="1334">
        <f t="shared" si="14"/>
        <v>27159.037925993551</v>
      </c>
      <c r="Z12" s="1334">
        <f t="shared" si="4"/>
        <v>29309.998967319803</v>
      </c>
      <c r="AD12" s="1352" t="s">
        <v>695</v>
      </c>
      <c r="AE12" s="1328">
        <v>1071</v>
      </c>
      <c r="AF12" s="1336">
        <f>AG12/$AE$12</f>
        <v>0.54621848739495793</v>
      </c>
      <c r="AG12" s="1336">
        <v>585</v>
      </c>
      <c r="AH12" s="1328" t="s">
        <v>692</v>
      </c>
    </row>
    <row r="13" spans="1:34" s="1328" customFormat="1">
      <c r="D13" s="1331">
        <v>42217</v>
      </c>
      <c r="E13" s="1332">
        <v>23763.108920000002</v>
      </c>
      <c r="F13" s="1332">
        <v>25457.841764648001</v>
      </c>
      <c r="G13" s="1332">
        <v>26041.763200000001</v>
      </c>
      <c r="H13" s="1333">
        <v>65.104408000000006</v>
      </c>
      <c r="I13" s="1334">
        <f t="shared" si="5"/>
        <v>24927.501257080003</v>
      </c>
      <c r="J13" s="1334">
        <f t="shared" si="6"/>
        <v>26025.371326771783</v>
      </c>
      <c r="K13" s="1334">
        <f t="shared" si="7"/>
        <v>27237.080130880004</v>
      </c>
      <c r="L13" s="1335">
        <v>8.0526315789473681</v>
      </c>
      <c r="M13" s="1328">
        <v>2.8860000000000001</v>
      </c>
      <c r="N13" s="5">
        <v>4.66</v>
      </c>
      <c r="O13" s="1335">
        <f t="shared" si="0"/>
        <v>1553.8963414634145</v>
      </c>
      <c r="P13" s="1334">
        <f t="shared" si="1"/>
        <v>27179.662397707976</v>
      </c>
      <c r="Q13" s="1335">
        <f t="shared" si="2"/>
        <v>7.9372401999999997</v>
      </c>
      <c r="R13" s="1334">
        <f t="shared" si="8"/>
        <v>25424.066759240242</v>
      </c>
      <c r="S13" s="1336">
        <f t="shared" si="9"/>
        <v>1446.1036585365855</v>
      </c>
      <c r="T13" s="1337">
        <f t="shared" si="10"/>
        <v>0.48203455284552849</v>
      </c>
      <c r="U13" s="1338">
        <f t="shared" si="11"/>
        <v>0.51796544715447146</v>
      </c>
      <c r="V13" s="1339">
        <f t="shared" si="12"/>
        <v>26333.40463914162</v>
      </c>
      <c r="W13" s="1339">
        <f t="shared" si="3"/>
        <v>26038.256535514149</v>
      </c>
      <c r="X13" s="1334">
        <f t="shared" si="13"/>
        <v>27074.326659399911</v>
      </c>
      <c r="Y13" s="1334">
        <f t="shared" si="14"/>
        <v>25666.771575581202</v>
      </c>
      <c r="Z13" s="1334">
        <f t="shared" si="4"/>
        <v>26024.033536862116</v>
      </c>
      <c r="AD13" s="1352"/>
      <c r="AF13" s="1336">
        <f t="shared" ref="AF13:AF14" si="16">AG13/$AE$12</f>
        <v>0.22408963585434175</v>
      </c>
      <c r="AG13" s="1336">
        <v>240</v>
      </c>
      <c r="AH13" s="1328" t="s">
        <v>693</v>
      </c>
    </row>
    <row r="14" spans="1:34" s="1328" customFormat="1">
      <c r="D14" s="1331">
        <v>42248</v>
      </c>
      <c r="E14" s="1332">
        <v>20857.31424</v>
      </c>
      <c r="F14" s="1332">
        <v>27145.496521728001</v>
      </c>
      <c r="G14" s="1332">
        <v>22843.725119999999</v>
      </c>
      <c r="H14" s="1333">
        <v>66.213695999999999</v>
      </c>
      <c r="I14" s="1334">
        <f t="shared" si="5"/>
        <v>21879.322637759997</v>
      </c>
      <c r="J14" s="1334">
        <f t="shared" si="6"/>
        <v>27716.795335953255</v>
      </c>
      <c r="K14" s="1334">
        <f t="shared" si="7"/>
        <v>23892.252103007999</v>
      </c>
      <c r="L14" s="1335">
        <v>7.6</v>
      </c>
      <c r="M14" s="1328">
        <v>2.6379999999999999</v>
      </c>
      <c r="N14" s="5">
        <v>4.66</v>
      </c>
      <c r="O14" s="1335">
        <f t="shared" si="0"/>
        <v>1553.8963414634145</v>
      </c>
      <c r="P14" s="1334">
        <f t="shared" si="1"/>
        <v>27444.927209212419</v>
      </c>
      <c r="Q14" s="1335">
        <f t="shared" si="2"/>
        <v>7.6097066</v>
      </c>
      <c r="R14" s="1334">
        <f t="shared" si="8"/>
        <v>24790.246533510406</v>
      </c>
      <c r="S14" s="1336">
        <f t="shared" si="9"/>
        <v>1446.1036585365855</v>
      </c>
      <c r="T14" s="1337">
        <f t="shared" si="10"/>
        <v>0.48203455284552849</v>
      </c>
      <c r="U14" s="1338">
        <f t="shared" si="11"/>
        <v>0.51796544715447146</v>
      </c>
      <c r="V14" s="1339">
        <f t="shared" si="12"/>
        <v>26165.279396752732</v>
      </c>
      <c r="W14" s="1339">
        <f t="shared" si="3"/>
        <v>27739.527991571038</v>
      </c>
      <c r="X14" s="1334">
        <f t="shared" si="13"/>
        <v>27285.646368670299</v>
      </c>
      <c r="Y14" s="1334">
        <f t="shared" si="14"/>
        <v>22528.1936837664</v>
      </c>
      <c r="Z14" s="1334">
        <f t="shared" si="4"/>
        <v>27713.684224530094</v>
      </c>
      <c r="AD14" s="1352"/>
      <c r="AF14" s="1336">
        <f t="shared" si="16"/>
        <v>0.22969187675070027</v>
      </c>
      <c r="AG14" s="1336">
        <f>AE12-AG12-AG13</f>
        <v>246</v>
      </c>
      <c r="AH14" s="1328" t="s">
        <v>694</v>
      </c>
    </row>
    <row r="15" spans="1:34" s="1328" customFormat="1">
      <c r="D15" s="1331">
        <v>42278</v>
      </c>
      <c r="E15" s="1332">
        <v>23427.191519999997</v>
      </c>
      <c r="F15" s="1332">
        <v>28113.736108043999</v>
      </c>
      <c r="G15" s="1332">
        <v>23752.569179999999</v>
      </c>
      <c r="H15" s="1333">
        <v>65.075531999999995</v>
      </c>
      <c r="I15" s="1334">
        <f t="shared" si="5"/>
        <v>24575.123904479995</v>
      </c>
      <c r="J15" s="1334">
        <f t="shared" si="6"/>
        <v>28821.397208264538</v>
      </c>
      <c r="K15" s="1334">
        <f t="shared" si="7"/>
        <v>24842.812105361998</v>
      </c>
      <c r="L15" s="1335">
        <v>12.295454545454545</v>
      </c>
      <c r="M15" s="1328">
        <v>2.5630000000000002</v>
      </c>
      <c r="N15" s="5">
        <v>4.66</v>
      </c>
      <c r="O15" s="1335">
        <f t="shared" si="0"/>
        <v>1553.8963414634145</v>
      </c>
      <c r="P15" s="1334">
        <f t="shared" si="1"/>
        <v>27172.757259730271</v>
      </c>
      <c r="Q15" s="1335">
        <f t="shared" si="2"/>
        <v>7.5106541</v>
      </c>
      <c r="R15" s="1334">
        <f t="shared" si="8"/>
        <v>24046.982712293673</v>
      </c>
      <c r="S15" s="1336">
        <f t="shared" si="9"/>
        <v>1446.1036585365855</v>
      </c>
      <c r="T15" s="1337">
        <f t="shared" si="10"/>
        <v>0.48203455284552849</v>
      </c>
      <c r="U15" s="1338">
        <f t="shared" si="11"/>
        <v>0.51796544715447146</v>
      </c>
      <c r="V15" s="1339">
        <f t="shared" si="12"/>
        <v>25666.025923460737</v>
      </c>
      <c r="W15" s="1339">
        <f t="shared" si="3"/>
        <v>28779.988419928402</v>
      </c>
      <c r="X15" s="1334">
        <f t="shared" si="13"/>
        <v>26985.210786884072</v>
      </c>
      <c r="Y15" s="1334">
        <f t="shared" si="14"/>
        <v>25303.943832667195</v>
      </c>
      <c r="Z15" s="1334">
        <f t="shared" si="4"/>
        <v>28829.930608446888</v>
      </c>
    </row>
    <row r="16" spans="1:34" s="1328" customFormat="1">
      <c r="D16" s="1331">
        <v>42309</v>
      </c>
      <c r="E16" s="1332">
        <v>26138.67628</v>
      </c>
      <c r="F16" s="1332">
        <v>28336.111781847998</v>
      </c>
      <c r="G16" s="1332">
        <v>28785.630839999998</v>
      </c>
      <c r="H16" s="1333">
        <v>66.173863999999995</v>
      </c>
      <c r="I16" s="1334">
        <f t="shared" si="5"/>
        <v>27419.471417719997</v>
      </c>
      <c r="J16" s="1334">
        <f t="shared" si="6"/>
        <v>29085.593812327377</v>
      </c>
      <c r="K16" s="1334">
        <f t="shared" si="7"/>
        <v>30106.891295556001</v>
      </c>
      <c r="L16" s="1335">
        <v>13.35</v>
      </c>
      <c r="M16" s="1328">
        <v>2.0329999999999999</v>
      </c>
      <c r="N16" s="5">
        <v>4.66</v>
      </c>
      <c r="O16" s="1335">
        <f t="shared" si="0"/>
        <v>1553.8963414634145</v>
      </c>
      <c r="P16" s="1334">
        <f t="shared" si="1"/>
        <v>27435.402155329346</v>
      </c>
      <c r="Q16" s="1335">
        <f t="shared" si="2"/>
        <v>6.8106831000000003</v>
      </c>
      <c r="R16" s="1334">
        <f t="shared" si="8"/>
        <v>22173.909486559722</v>
      </c>
      <c r="S16" s="1336">
        <f t="shared" si="9"/>
        <v>1446.1036585365855</v>
      </c>
      <c r="T16" s="1337">
        <f t="shared" si="10"/>
        <v>0.48203455284552849</v>
      </c>
      <c r="U16" s="1338">
        <f t="shared" si="11"/>
        <v>0.51796544715447146</v>
      </c>
      <c r="V16" s="1339">
        <f t="shared" si="12"/>
        <v>24899.180889438954</v>
      </c>
      <c r="W16" s="1339">
        <f t="shared" si="3"/>
        <v>29027.523661916253</v>
      </c>
      <c r="X16" s="1334">
        <f t="shared" si="13"/>
        <v>27119.712595203164</v>
      </c>
      <c r="Y16" s="1334">
        <f t="shared" si="14"/>
        <v>28232.645636790799</v>
      </c>
      <c r="Z16" s="1334">
        <f t="shared" si="4"/>
        <v>29097.173505320963</v>
      </c>
    </row>
    <row r="17" spans="1:26" s="1328" customFormat="1">
      <c r="D17" s="1331">
        <v>42339</v>
      </c>
      <c r="E17" s="1332">
        <v>30611.81366</v>
      </c>
      <c r="F17" s="1332">
        <v>26117.666677606998</v>
      </c>
      <c r="G17" s="1332">
        <v>31610.024975</v>
      </c>
      <c r="H17" s="1333">
        <v>66.547421</v>
      </c>
      <c r="I17" s="1334">
        <f t="shared" si="5"/>
        <v>32111.792529339997</v>
      </c>
      <c r="J17" s="1334">
        <f t="shared" si="6"/>
        <v>26875.094171062592</v>
      </c>
      <c r="K17" s="1334">
        <f t="shared" si="7"/>
        <v>33060.925121352499</v>
      </c>
      <c r="L17" s="1335">
        <v>13.954545454545455</v>
      </c>
      <c r="M17" s="1328">
        <v>2.206</v>
      </c>
      <c r="N17" s="5">
        <v>3.82</v>
      </c>
      <c r="O17" s="1335">
        <f t="shared" si="0"/>
        <v>1553.8963414634145</v>
      </c>
      <c r="P17" s="1334">
        <f t="shared" si="1"/>
        <v>24656.197597598231</v>
      </c>
      <c r="Q17" s="1335">
        <f t="shared" si="2"/>
        <v>7.0391642000000001</v>
      </c>
      <c r="R17" s="1334">
        <f t="shared" si="8"/>
        <v>23047.160596471989</v>
      </c>
      <c r="S17" s="1336">
        <f t="shared" si="9"/>
        <v>1446.1036585365855</v>
      </c>
      <c r="T17" s="1337">
        <f t="shared" si="10"/>
        <v>0.48203455284552849</v>
      </c>
      <c r="U17" s="1338">
        <f t="shared" si="11"/>
        <v>0.51796544715447146</v>
      </c>
      <c r="V17" s="1339">
        <f t="shared" si="12"/>
        <v>23880.586166248431</v>
      </c>
      <c r="W17" s="1339">
        <f t="shared" si="3"/>
        <v>26802.089663119601</v>
      </c>
      <c r="X17" s="1334">
        <f t="shared" si="13"/>
        <v>24559.655377530657</v>
      </c>
      <c r="Y17" s="1334">
        <f t="shared" si="14"/>
        <v>33064.126052302599</v>
      </c>
      <c r="Z17" s="1334">
        <f t="shared" si="4"/>
        <v>26889.394968150933</v>
      </c>
    </row>
    <row r="18" spans="1:26">
      <c r="A18" s="5">
        <v>1</v>
      </c>
      <c r="B18" s="5">
        <v>2016</v>
      </c>
      <c r="C18" s="5" t="s">
        <v>696</v>
      </c>
      <c r="D18" s="1341">
        <f>DATE(B18,A18,1)</f>
        <v>42370</v>
      </c>
      <c r="E18" s="1335">
        <v>23292</v>
      </c>
      <c r="F18" s="1335">
        <v>21164</v>
      </c>
      <c r="G18" s="1335">
        <v>26330</v>
      </c>
      <c r="H18" s="1335">
        <f>VLOOKUP(D18,'[9]$ to INR'!$R$3:$S$131,2,TRUE)</f>
        <v>67.57180000000001</v>
      </c>
      <c r="I18" s="1334">
        <f>1.0459*E18</f>
        <v>24361.102800000001</v>
      </c>
      <c r="J18" s="1334">
        <f t="shared" si="6"/>
        <v>21835.930996789997</v>
      </c>
      <c r="K18" s="1334">
        <v>27538</v>
      </c>
      <c r="L18" s="1335">
        <v>11.824999999999999</v>
      </c>
      <c r="M18" s="1342">
        <v>2.327</v>
      </c>
      <c r="N18" s="1335">
        <v>3.82</v>
      </c>
      <c r="O18" s="1335">
        <f>1.95*39206/49.2</f>
        <v>1553.8963414634145</v>
      </c>
      <c r="P18" s="1334">
        <f>(1.043*N18*H18+236)*49.2</f>
        <v>24857.002097505603</v>
      </c>
      <c r="Q18" s="1335">
        <f>1.3207*M18 + 4.1257</f>
        <v>7.1989689000000006</v>
      </c>
      <c r="R18" s="1334">
        <f t="shared" si="8"/>
        <v>23933.206506477389</v>
      </c>
      <c r="S18" s="1336">
        <f t="shared" si="9"/>
        <v>1446.1036585365855</v>
      </c>
      <c r="T18" s="1337">
        <f t="shared" si="10"/>
        <v>0.48203455284552849</v>
      </c>
      <c r="U18" s="1338">
        <f t="shared" si="11"/>
        <v>0.51796544715447146</v>
      </c>
      <c r="V18" s="1339">
        <f t="shared" si="12"/>
        <v>24411.700702863644</v>
      </c>
      <c r="W18" s="1339">
        <f t="shared" si="3"/>
        <v>21780.499304849996</v>
      </c>
      <c r="X18" s="1334">
        <f t="shared" si="13"/>
        <v>24801.57436204391</v>
      </c>
      <c r="Y18" s="1334">
        <f t="shared" si="14"/>
        <v>25129.762092000001</v>
      </c>
      <c r="Z18" s="1334">
        <f t="shared" si="4"/>
        <v>21847.052549109998</v>
      </c>
    </row>
    <row r="19" spans="1:26">
      <c r="A19" s="5">
        <v>2</v>
      </c>
      <c r="B19" s="5">
        <v>2016</v>
      </c>
      <c r="C19" s="5" t="s">
        <v>697</v>
      </c>
      <c r="D19" s="1341">
        <f t="shared" ref="D19:D82" si="17">DATE(B19,A19,1)</f>
        <v>42401</v>
      </c>
      <c r="E19" s="1335">
        <v>19451</v>
      </c>
      <c r="F19" s="1335">
        <v>20164</v>
      </c>
      <c r="G19" s="1335">
        <v>21499</v>
      </c>
      <c r="H19" s="1335">
        <f>VLOOKUP(D19,'[9]$ to INR'!$R$3:$S$131,2,TRUE)</f>
        <v>68.084500000000006</v>
      </c>
      <c r="I19" s="1334">
        <f t="shared" ref="I19:I82" si="18">1.0459*E19</f>
        <v>20343.800900000002</v>
      </c>
      <c r="J19" s="1334">
        <f t="shared" si="6"/>
        <v>20764.386864231579</v>
      </c>
      <c r="K19" s="1334">
        <v>22486</v>
      </c>
      <c r="L19" s="1335">
        <v>9.5526315789473681</v>
      </c>
      <c r="M19" s="1335">
        <v>2.1890000000000001</v>
      </c>
      <c r="N19" s="1335">
        <v>3.82</v>
      </c>
      <c r="O19" s="1335">
        <f t="shared" ref="O19:O82" si="19">1.95*39206/49.2</f>
        <v>1553.8963414634145</v>
      </c>
      <c r="P19" s="1334">
        <f t="shared" ref="P19:P82" si="20">(1.043*N19*H19+236)*49.2</f>
        <v>24957.504418524</v>
      </c>
      <c r="Q19" s="1335">
        <f t="shared" ref="Q19:Q82" si="21">1.3207*M19 + 4.1257</f>
        <v>7.0167123</v>
      </c>
      <c r="R19" s="1334">
        <f t="shared" si="8"/>
        <v>23504.283950596022</v>
      </c>
      <c r="S19" s="1336">
        <f t="shared" si="9"/>
        <v>1446.1036585365855</v>
      </c>
      <c r="T19" s="1337">
        <f t="shared" si="10"/>
        <v>0.48203455284552849</v>
      </c>
      <c r="U19" s="1338">
        <f t="shared" si="11"/>
        <v>0.51796544715447146</v>
      </c>
      <c r="V19" s="1339">
        <f t="shared" si="12"/>
        <v>24257.001940080365</v>
      </c>
      <c r="W19" s="1339">
        <f t="shared" si="3"/>
        <v>20739.762852789474</v>
      </c>
      <c r="X19" s="1334">
        <f t="shared" si="13"/>
        <v>24870.311190448319</v>
      </c>
      <c r="Y19" s="1334">
        <f t="shared" si="14"/>
        <v>20985.703351000004</v>
      </c>
      <c r="Z19" s="1334">
        <f t="shared" si="4"/>
        <v>20769.914934321052</v>
      </c>
    </row>
    <row r="20" spans="1:26">
      <c r="A20" s="5">
        <v>3</v>
      </c>
      <c r="B20" s="5">
        <v>2016</v>
      </c>
      <c r="C20" s="5" t="s">
        <v>698</v>
      </c>
      <c r="D20" s="1341">
        <f t="shared" si="17"/>
        <v>42430</v>
      </c>
      <c r="E20" s="1335">
        <v>19338</v>
      </c>
      <c r="F20" s="1335">
        <v>22852</v>
      </c>
      <c r="G20" s="1335">
        <v>21339</v>
      </c>
      <c r="H20" s="1335">
        <f>VLOOKUP(D20,'[9]$ to INR'!$R$3:$S$131,2,TRUE)</f>
        <v>66.624750000000006</v>
      </c>
      <c r="I20" s="1334">
        <f t="shared" si="18"/>
        <v>20225.6142</v>
      </c>
      <c r="J20" s="1334">
        <f t="shared" si="6"/>
        <v>23240.132541913634</v>
      </c>
      <c r="K20" s="1334">
        <v>22318</v>
      </c>
      <c r="L20" s="1335">
        <v>2.2727272727272729</v>
      </c>
      <c r="M20" s="1335">
        <v>1.7110000000000001</v>
      </c>
      <c r="N20" s="1335">
        <v>3.82</v>
      </c>
      <c r="O20" s="1335">
        <f t="shared" si="19"/>
        <v>1553.8963414634145</v>
      </c>
      <c r="P20" s="1334">
        <f t="shared" si="20"/>
        <v>24671.356060602</v>
      </c>
      <c r="Q20" s="1335">
        <f t="shared" si="21"/>
        <v>6.3854176999999996</v>
      </c>
      <c r="R20" s="1334">
        <f t="shared" si="8"/>
        <v>20931.001409077293</v>
      </c>
      <c r="S20" s="1336">
        <f t="shared" si="9"/>
        <v>1446.1036585365855</v>
      </c>
      <c r="T20" s="1337">
        <f t="shared" si="10"/>
        <v>0.48203455284552849</v>
      </c>
      <c r="U20" s="1338">
        <f t="shared" si="11"/>
        <v>0.51796544715447146</v>
      </c>
      <c r="V20" s="1339">
        <f t="shared" si="12"/>
        <v>22868.375878670595</v>
      </c>
      <c r="W20" s="1339">
        <f t="shared" si="3"/>
        <v>23330.292451113633</v>
      </c>
      <c r="X20" s="1334">
        <f t="shared" si="13"/>
        <v>24446.934781510517</v>
      </c>
      <c r="Y20" s="1334">
        <f t="shared" si="14"/>
        <v>20863.787538</v>
      </c>
      <c r="Z20" s="1334">
        <f t="shared" si="4"/>
        <v>23224.768275018178</v>
      </c>
    </row>
    <row r="21" spans="1:26">
      <c r="A21" s="5">
        <v>4</v>
      </c>
      <c r="B21" s="5">
        <v>2016</v>
      </c>
      <c r="C21" s="5" t="s">
        <v>699</v>
      </c>
      <c r="D21" s="1341">
        <f t="shared" si="17"/>
        <v>42461</v>
      </c>
      <c r="E21" s="1335">
        <v>21300</v>
      </c>
      <c r="F21" s="1335">
        <v>24763</v>
      </c>
      <c r="G21" s="1335">
        <v>23297</v>
      </c>
      <c r="H21" s="1335">
        <f>VLOOKUP(D21,'[9]$ to INR'!$R$3:$S$131,2,TRUE)</f>
        <v>66.573999999999998</v>
      </c>
      <c r="I21" s="1334">
        <f t="shared" si="18"/>
        <v>22277.670000000002</v>
      </c>
      <c r="J21" s="1334">
        <f t="shared" si="6"/>
        <v>25372.244275057143</v>
      </c>
      <c r="K21" s="1334">
        <v>24367</v>
      </c>
      <c r="L21" s="1335">
        <v>9.2738095238095237</v>
      </c>
      <c r="M21" s="1335">
        <v>1.903</v>
      </c>
      <c r="N21" s="1335">
        <v>3.06</v>
      </c>
      <c r="O21" s="1335">
        <f t="shared" si="19"/>
        <v>1553.8963414634145</v>
      </c>
      <c r="P21" s="1334">
        <f t="shared" si="20"/>
        <v>22065.031348464003</v>
      </c>
      <c r="Q21" s="1335">
        <f t="shared" si="21"/>
        <v>6.6389921000000003</v>
      </c>
      <c r="R21" s="1334">
        <f t="shared" si="8"/>
        <v>21745.625595217683</v>
      </c>
      <c r="S21" s="1336">
        <f t="shared" si="9"/>
        <v>1446.1036585365855</v>
      </c>
      <c r="T21" s="1337">
        <f t="shared" si="10"/>
        <v>0.48203455284552849</v>
      </c>
      <c r="U21" s="1338">
        <f t="shared" si="11"/>
        <v>0.51796544715447146</v>
      </c>
      <c r="V21" s="1339">
        <f t="shared" si="12"/>
        <v>21911.066739021626</v>
      </c>
      <c r="W21" s="1339">
        <f t="shared" si="3"/>
        <v>25364.462440904761</v>
      </c>
      <c r="X21" s="1334">
        <f t="shared" si="13"/>
        <v>22045.867003269224</v>
      </c>
      <c r="Y21" s="1334">
        <f t="shared" si="14"/>
        <v>22980.5913</v>
      </c>
      <c r="Z21" s="1334">
        <f t="shared" si="4"/>
        <v>25374.686814466666</v>
      </c>
    </row>
    <row r="22" spans="1:26">
      <c r="A22" s="5">
        <v>5</v>
      </c>
      <c r="B22" s="5">
        <v>2016</v>
      </c>
      <c r="C22" s="5" t="s">
        <v>700</v>
      </c>
      <c r="D22" s="1341">
        <f t="shared" si="17"/>
        <v>42491</v>
      </c>
      <c r="E22" s="1335">
        <v>21773</v>
      </c>
      <c r="F22" s="1335">
        <v>26111</v>
      </c>
      <c r="G22" s="1335">
        <v>25458</v>
      </c>
      <c r="H22" s="1335">
        <f>VLOOKUP(D22,'[9]$ to INR'!$R$3:$S$131,2,TRUE)</f>
        <v>66.978800000000007</v>
      </c>
      <c r="I22" s="1334">
        <f t="shared" si="18"/>
        <v>22772.380700000002</v>
      </c>
      <c r="J22" s="1334">
        <f t="shared" si="6"/>
        <v>26632.519080639999</v>
      </c>
      <c r="K22" s="1334">
        <v>26626</v>
      </c>
      <c r="L22" s="1335">
        <v>6</v>
      </c>
      <c r="M22" s="1335">
        <v>1.9950000000000001</v>
      </c>
      <c r="N22" s="1335">
        <v>3.06</v>
      </c>
      <c r="O22" s="1335">
        <f t="shared" si="19"/>
        <v>1553.8963414634145</v>
      </c>
      <c r="P22" s="1334">
        <f t="shared" si="20"/>
        <v>22128.595366396799</v>
      </c>
      <c r="Q22" s="1335">
        <f t="shared" si="21"/>
        <v>6.7604965000000004</v>
      </c>
      <c r="R22" s="1334">
        <f t="shared" si="8"/>
        <v>22278.249194330645</v>
      </c>
      <c r="S22" s="1336">
        <f t="shared" si="9"/>
        <v>1446.1036585365855</v>
      </c>
      <c r="T22" s="1337">
        <f t="shared" si="10"/>
        <v>0.48203455284552849</v>
      </c>
      <c r="U22" s="1338">
        <f t="shared" si="11"/>
        <v>0.51796544715447146</v>
      </c>
      <c r="V22" s="1339">
        <f t="shared" si="12"/>
        <v>22200.733682426511</v>
      </c>
      <c r="W22" s="1339">
        <f t="shared" si="3"/>
        <v>26675.828392799998</v>
      </c>
      <c r="X22" s="1334">
        <f t="shared" si="13"/>
        <v>22137.574596072831</v>
      </c>
      <c r="Y22" s="1334">
        <f t="shared" si="14"/>
        <v>23490.911473</v>
      </c>
      <c r="Z22" s="1334">
        <f t="shared" si="4"/>
        <v>26625.678569359996</v>
      </c>
    </row>
    <row r="23" spans="1:26">
      <c r="A23" s="5">
        <v>6</v>
      </c>
      <c r="B23" s="5">
        <v>2016</v>
      </c>
      <c r="C23" s="5" t="s">
        <v>701</v>
      </c>
      <c r="D23" s="1341">
        <f t="shared" si="17"/>
        <v>42522</v>
      </c>
      <c r="E23" s="1335">
        <v>22190</v>
      </c>
      <c r="F23" s="1335">
        <v>27077</v>
      </c>
      <c r="G23" s="1335">
        <v>24543</v>
      </c>
      <c r="H23" s="1335">
        <f>VLOOKUP(D23,'[9]$ to INR'!$R$3:$S$131,2,TRUE)</f>
        <v>67.27525</v>
      </c>
      <c r="I23" s="1334">
        <f t="shared" si="18"/>
        <v>23208.521000000001</v>
      </c>
      <c r="J23" s="1334">
        <f t="shared" si="6"/>
        <v>27607.692557773866</v>
      </c>
      <c r="K23" s="1334">
        <v>25670</v>
      </c>
      <c r="L23" s="1335">
        <v>6.0568181818181817</v>
      </c>
      <c r="M23" s="1335">
        <v>1.9630000000000001</v>
      </c>
      <c r="N23" s="1335">
        <v>3.06</v>
      </c>
      <c r="O23" s="1335">
        <f t="shared" si="19"/>
        <v>1553.8963414634145</v>
      </c>
      <c r="P23" s="1334">
        <f t="shared" si="20"/>
        <v>22175.145645834004</v>
      </c>
      <c r="Q23" s="1335">
        <f t="shared" si="21"/>
        <v>6.7182341000000001</v>
      </c>
      <c r="R23" s="1334">
        <f t="shared" si="8"/>
        <v>22236.96722889243</v>
      </c>
      <c r="S23" s="1336">
        <f t="shared" si="9"/>
        <v>1446.1036585365855</v>
      </c>
      <c r="T23" s="1337">
        <f t="shared" si="10"/>
        <v>0.48203455284552849</v>
      </c>
      <c r="U23" s="1338">
        <f t="shared" si="11"/>
        <v>0.51796544715447146</v>
      </c>
      <c r="V23" s="1339">
        <f t="shared" si="12"/>
        <v>22204.945784979776</v>
      </c>
      <c r="W23" s="1339">
        <f t="shared" si="3"/>
        <v>27652.410662948863</v>
      </c>
      <c r="X23" s="1334">
        <f t="shared" si="13"/>
        <v>22178.854940817506</v>
      </c>
      <c r="Y23" s="1334">
        <f t="shared" si="14"/>
        <v>23940.813190000001</v>
      </c>
      <c r="Z23" s="1334">
        <f t="shared" si="4"/>
        <v>27600.600478419314</v>
      </c>
    </row>
    <row r="24" spans="1:26">
      <c r="A24" s="5">
        <v>7</v>
      </c>
      <c r="B24" s="5">
        <v>2016</v>
      </c>
      <c r="C24" s="5" t="s">
        <v>702</v>
      </c>
      <c r="D24" s="1341">
        <f t="shared" si="17"/>
        <v>42552</v>
      </c>
      <c r="E24" s="1335">
        <v>19772</v>
      </c>
      <c r="F24" s="1335">
        <v>24660</v>
      </c>
      <c r="G24" s="1335">
        <v>20778</v>
      </c>
      <c r="H24" s="1335">
        <f>VLOOKUP(D24,'[9]$ to INR'!$R$3:$S$131,2,TRUE)</f>
        <v>66.986199999999997</v>
      </c>
      <c r="I24" s="1334">
        <f t="shared" si="18"/>
        <v>20679.534800000001</v>
      </c>
      <c r="J24" s="1334">
        <f t="shared" si="6"/>
        <v>25114.000305859998</v>
      </c>
      <c r="K24" s="1334">
        <v>21731</v>
      </c>
      <c r="L24" s="1335">
        <v>4.05</v>
      </c>
      <c r="M24" s="1335">
        <v>2.9169999999999998</v>
      </c>
      <c r="N24" s="1335">
        <v>3.06</v>
      </c>
      <c r="O24" s="1335">
        <f t="shared" si="19"/>
        <v>1553.8963414634145</v>
      </c>
      <c r="P24" s="1334">
        <f t="shared" si="20"/>
        <v>22129.757356843198</v>
      </c>
      <c r="Q24" s="1335">
        <f t="shared" si="21"/>
        <v>7.9781819</v>
      </c>
      <c r="R24" s="1334">
        <f t="shared" si="8"/>
        <v>26293.861948777176</v>
      </c>
      <c r="S24" s="1336">
        <f t="shared" si="9"/>
        <v>1446.1036585365855</v>
      </c>
      <c r="T24" s="1337">
        <f t="shared" si="10"/>
        <v>0.48203455284552849</v>
      </c>
      <c r="U24" s="1338">
        <f t="shared" si="11"/>
        <v>0.51796544715447146</v>
      </c>
      <c r="V24" s="1339">
        <f t="shared" si="12"/>
        <v>24136.999651818103</v>
      </c>
      <c r="W24" s="1339">
        <f t="shared" si="3"/>
        <v>25182.533081500002</v>
      </c>
      <c r="X24" s="1334">
        <f t="shared" si="13"/>
        <v>22379.603632359234</v>
      </c>
      <c r="Y24" s="1334">
        <f t="shared" si="14"/>
        <v>21332.030572000003</v>
      </c>
      <c r="Z24" s="1334">
        <f t="shared" si="4"/>
        <v>25102.573824539999</v>
      </c>
    </row>
    <row r="25" spans="1:26">
      <c r="A25" s="5">
        <v>8</v>
      </c>
      <c r="B25" s="5">
        <v>2016</v>
      </c>
      <c r="C25" s="5" t="s">
        <v>703</v>
      </c>
      <c r="D25" s="1341">
        <f t="shared" si="17"/>
        <v>42583</v>
      </c>
      <c r="E25" s="1335">
        <v>19090</v>
      </c>
      <c r="F25" s="1335">
        <v>23688</v>
      </c>
      <c r="G25" s="1335">
        <v>19425</v>
      </c>
      <c r="H25" s="1335">
        <f>VLOOKUP(D25,'[9]$ to INR'!$R$3:$S$131,2,TRUE)</f>
        <v>66.994</v>
      </c>
      <c r="I25" s="1334">
        <f t="shared" si="18"/>
        <v>19966.231</v>
      </c>
      <c r="J25" s="1334">
        <f t="shared" si="6"/>
        <v>23897.580428654546</v>
      </c>
      <c r="K25" s="1334">
        <v>20316</v>
      </c>
      <c r="L25" s="1335">
        <v>-3.8636363636363638</v>
      </c>
      <c r="M25" s="1335">
        <v>2.6720000000000002</v>
      </c>
      <c r="N25" s="1335">
        <v>3.06</v>
      </c>
      <c r="O25" s="1335">
        <f t="shared" si="19"/>
        <v>1553.8963414634145</v>
      </c>
      <c r="P25" s="1334">
        <f t="shared" si="20"/>
        <v>22130.982157584003</v>
      </c>
      <c r="Q25" s="1335">
        <f t="shared" si="21"/>
        <v>7.6546104000000001</v>
      </c>
      <c r="R25" s="1334">
        <f t="shared" si="8"/>
        <v>25230.398081569921</v>
      </c>
      <c r="S25" s="1336">
        <f t="shared" si="9"/>
        <v>1446.1036585365855</v>
      </c>
      <c r="T25" s="1337">
        <f t="shared" si="10"/>
        <v>0.48203455284552849</v>
      </c>
      <c r="U25" s="1338">
        <f t="shared" si="11"/>
        <v>0.51796544715447146</v>
      </c>
      <c r="V25" s="1339">
        <f t="shared" si="12"/>
        <v>23625.007726584867</v>
      </c>
      <c r="W25" s="1339">
        <f t="shared" si="3"/>
        <v>24080.398549454549</v>
      </c>
      <c r="X25" s="1334">
        <f t="shared" si="13"/>
        <v>22316.947113023158</v>
      </c>
      <c r="Y25" s="1334">
        <f t="shared" si="14"/>
        <v>20596.220090000003</v>
      </c>
      <c r="Z25" s="1334">
        <f t="shared" si="4"/>
        <v>23865.374914072723</v>
      </c>
    </row>
    <row r="26" spans="1:26">
      <c r="A26" s="5">
        <v>9</v>
      </c>
      <c r="B26" s="5">
        <v>2016</v>
      </c>
      <c r="C26" s="5" t="s">
        <v>704</v>
      </c>
      <c r="D26" s="1341">
        <f t="shared" si="17"/>
        <v>42614</v>
      </c>
      <c r="E26" s="1335">
        <v>19704</v>
      </c>
      <c r="F26" s="1335">
        <v>25254</v>
      </c>
      <c r="G26" s="1335">
        <v>21374</v>
      </c>
      <c r="H26" s="1335">
        <f>VLOOKUP(D26,'[9]$ to INR'!$R$3:$S$131,2,TRUE)</f>
        <v>66.808250000000001</v>
      </c>
      <c r="I26" s="1334">
        <f t="shared" si="18"/>
        <v>20608.4136</v>
      </c>
      <c r="J26" s="1334">
        <f t="shared" si="6"/>
        <v>25558.962531850004</v>
      </c>
      <c r="K26" s="1334">
        <v>22355</v>
      </c>
      <c r="L26" s="1335">
        <v>-1</v>
      </c>
      <c r="M26" s="1335">
        <v>2.8530000000000002</v>
      </c>
      <c r="N26" s="1335">
        <v>3.06</v>
      </c>
      <c r="O26" s="1335">
        <f t="shared" si="19"/>
        <v>1553.8963414634145</v>
      </c>
      <c r="P26" s="1334">
        <f t="shared" si="20"/>
        <v>22101.814627121999</v>
      </c>
      <c r="Q26" s="1335">
        <f t="shared" si="21"/>
        <v>7.8936571000000004</v>
      </c>
      <c r="R26" s="1334">
        <f t="shared" si="8"/>
        <v>25946.181713992893</v>
      </c>
      <c r="S26" s="1336">
        <f t="shared" si="9"/>
        <v>1446.1036585365855</v>
      </c>
      <c r="T26" s="1337">
        <f t="shared" si="10"/>
        <v>0.48203455284552849</v>
      </c>
      <c r="U26" s="1338">
        <f t="shared" si="11"/>
        <v>0.51796544715447146</v>
      </c>
      <c r="V26" s="1339">
        <f t="shared" si="12"/>
        <v>23954.932396815879</v>
      </c>
      <c r="W26" s="1339">
        <f t="shared" si="3"/>
        <v>25703.133228250001</v>
      </c>
      <c r="X26" s="1334">
        <f t="shared" si="13"/>
        <v>22332.476652334251</v>
      </c>
      <c r="Y26" s="1334">
        <f t="shared" si="14"/>
        <v>21258.665304000002</v>
      </c>
      <c r="Z26" s="1334">
        <f t="shared" si="4"/>
        <v>25533.780954399997</v>
      </c>
    </row>
    <row r="27" spans="1:26">
      <c r="A27" s="5">
        <v>10</v>
      </c>
      <c r="B27" s="5">
        <v>2016</v>
      </c>
      <c r="C27" s="5" t="s">
        <v>705</v>
      </c>
      <c r="D27" s="1341">
        <f t="shared" si="17"/>
        <v>42644</v>
      </c>
      <c r="E27" s="1335">
        <v>22698</v>
      </c>
      <c r="F27" s="1335">
        <v>28278</v>
      </c>
      <c r="G27" s="1335">
        <v>24700</v>
      </c>
      <c r="H27" s="1335">
        <f>VLOOKUP(D27,'[9]$ to INR'!$R$3:$S$131,2,TRUE)</f>
        <v>66.763800000000003</v>
      </c>
      <c r="I27" s="1334">
        <f t="shared" si="18"/>
        <v>23739.838200000002</v>
      </c>
      <c r="J27" s="1334">
        <f t="shared" si="6"/>
        <v>28655.52129221143</v>
      </c>
      <c r="K27" s="1334">
        <v>25834</v>
      </c>
      <c r="L27" s="1335">
        <v>0.80952380952380953</v>
      </c>
      <c r="M27" s="1335">
        <v>2.952</v>
      </c>
      <c r="N27" s="1335">
        <v>2.5</v>
      </c>
      <c r="O27" s="1335">
        <f t="shared" si="19"/>
        <v>1553.8963414634145</v>
      </c>
      <c r="P27" s="1334">
        <f t="shared" si="20"/>
        <v>20176.261138200003</v>
      </c>
      <c r="Q27" s="1335">
        <f t="shared" si="21"/>
        <v>8.0244064000000002</v>
      </c>
      <c r="R27" s="1334">
        <f t="shared" si="8"/>
        <v>26358.401309209345</v>
      </c>
      <c r="S27" s="1336">
        <f t="shared" si="9"/>
        <v>1446.1036585365855</v>
      </c>
      <c r="T27" s="1337">
        <f t="shared" si="10"/>
        <v>0.48203455284552849</v>
      </c>
      <c r="U27" s="1338">
        <f t="shared" si="11"/>
        <v>0.51796544715447146</v>
      </c>
      <c r="V27" s="1339">
        <f t="shared" si="12"/>
        <v>23156.266311160871</v>
      </c>
      <c r="W27" s="1339">
        <f t="shared" si="3"/>
        <v>28780.376457514285</v>
      </c>
      <c r="X27" s="1334">
        <f t="shared" si="13"/>
        <v>20547.189548460563</v>
      </c>
      <c r="Y27" s="1334">
        <f t="shared" si="14"/>
        <v>24488.894897999999</v>
      </c>
      <c r="Z27" s="1334">
        <f t="shared" si="4"/>
        <v>28633.850943359997</v>
      </c>
    </row>
    <row r="28" spans="1:26">
      <c r="A28" s="5">
        <v>11</v>
      </c>
      <c r="B28" s="5">
        <v>2016</v>
      </c>
      <c r="C28" s="5" t="s">
        <v>706</v>
      </c>
      <c r="D28" s="1341">
        <f t="shared" si="17"/>
        <v>42675</v>
      </c>
      <c r="E28" s="1335">
        <v>26461</v>
      </c>
      <c r="F28" s="1335">
        <v>28018</v>
      </c>
      <c r="G28" s="1335">
        <v>29853</v>
      </c>
      <c r="H28" s="1335">
        <f>VLOOKUP(D28,'[9]$ to INR'!$R$3:$S$131,2,TRUE)</f>
        <v>68.07650000000001</v>
      </c>
      <c r="I28" s="1334">
        <f t="shared" si="18"/>
        <v>27675.5599</v>
      </c>
      <c r="J28" s="1334">
        <f t="shared" si="6"/>
        <v>28612.713481245453</v>
      </c>
      <c r="K28" s="1334">
        <v>31223</v>
      </c>
      <c r="L28" s="1335">
        <v>7.8181818181818183</v>
      </c>
      <c r="M28" s="1335">
        <v>2.7639999999999998</v>
      </c>
      <c r="N28" s="1335">
        <v>2.5</v>
      </c>
      <c r="O28" s="1335">
        <f t="shared" si="19"/>
        <v>1553.8963414634145</v>
      </c>
      <c r="P28" s="1334">
        <f t="shared" si="20"/>
        <v>20344.666108500001</v>
      </c>
      <c r="Q28" s="1335">
        <f t="shared" si="21"/>
        <v>7.7761148000000002</v>
      </c>
      <c r="R28" s="1334">
        <f t="shared" si="8"/>
        <v>26045.037415764247</v>
      </c>
      <c r="S28" s="1336">
        <f t="shared" si="9"/>
        <v>1446.1036585365855</v>
      </c>
      <c r="T28" s="1337">
        <f t="shared" si="10"/>
        <v>0.48203455284552849</v>
      </c>
      <c r="U28" s="1338">
        <f t="shared" si="11"/>
        <v>0.51796544715447146</v>
      </c>
      <c r="V28" s="1339">
        <f t="shared" si="12"/>
        <v>23092.4420426506</v>
      </c>
      <c r="W28" s="1339">
        <f t="shared" si="3"/>
        <v>28633.081336045456</v>
      </c>
      <c r="X28" s="1334">
        <f t="shared" si="13"/>
        <v>20686.688386935857</v>
      </c>
      <c r="Y28" s="1334">
        <f t="shared" si="14"/>
        <v>28548.799361000005</v>
      </c>
      <c r="Z28" s="1334">
        <f t="shared" si="4"/>
        <v>28610.061088527269</v>
      </c>
    </row>
    <row r="29" spans="1:26">
      <c r="A29" s="5">
        <v>12</v>
      </c>
      <c r="B29" s="5">
        <v>2016</v>
      </c>
      <c r="C29" s="5" t="s">
        <v>707</v>
      </c>
      <c r="D29" s="1341">
        <f t="shared" si="17"/>
        <v>42705</v>
      </c>
      <c r="E29" s="1335">
        <v>25762</v>
      </c>
      <c r="F29" s="1335">
        <v>30960</v>
      </c>
      <c r="G29" s="1335">
        <v>28474</v>
      </c>
      <c r="H29" s="1335">
        <f>VLOOKUP(D29,'[9]$ to INR'!$R$3:$S$131,2,TRUE)</f>
        <v>67.77924999999999</v>
      </c>
      <c r="I29" s="1334">
        <f t="shared" si="18"/>
        <v>26944.4758</v>
      </c>
      <c r="J29" s="1334">
        <f t="shared" si="6"/>
        <v>31439.674763149997</v>
      </c>
      <c r="K29" s="1334">
        <v>29781</v>
      </c>
      <c r="L29" s="1335">
        <v>3.5238095238095237</v>
      </c>
      <c r="M29" s="1335">
        <v>3.2320000000000002</v>
      </c>
      <c r="N29" s="1335">
        <v>2.5</v>
      </c>
      <c r="O29" s="1335">
        <f t="shared" si="19"/>
        <v>1553.8963414634145</v>
      </c>
      <c r="P29" s="1334">
        <f t="shared" si="20"/>
        <v>20306.532203250001</v>
      </c>
      <c r="Q29" s="1335">
        <f t="shared" si="21"/>
        <v>8.3942024000000011</v>
      </c>
      <c r="R29" s="1334">
        <f t="shared" si="8"/>
        <v>27992.47495659384</v>
      </c>
      <c r="S29" s="1336">
        <f t="shared" si="9"/>
        <v>1446.1036585365855</v>
      </c>
      <c r="T29" s="1337">
        <f t="shared" si="10"/>
        <v>0.48203455284552849</v>
      </c>
      <c r="U29" s="1338">
        <f t="shared" si="11"/>
        <v>0.51796544715447146</v>
      </c>
      <c r="V29" s="1339">
        <f t="shared" si="12"/>
        <v>24011.42218155443</v>
      </c>
      <c r="W29" s="1339">
        <f t="shared" si="3"/>
        <v>31531.404635083334</v>
      </c>
      <c r="X29" s="1334">
        <f t="shared" si="13"/>
        <v>20767.688768450629</v>
      </c>
      <c r="Y29" s="1334">
        <f t="shared" si="14"/>
        <v>27794.647561999998</v>
      </c>
      <c r="Z29" s="1334">
        <f t="shared" si="4"/>
        <v>31424.042869766665</v>
      </c>
    </row>
    <row r="30" spans="1:26">
      <c r="A30" s="5">
        <v>1</v>
      </c>
      <c r="B30" s="5">
        <v>2017</v>
      </c>
      <c r="C30" s="5" t="s">
        <v>696</v>
      </c>
      <c r="D30" s="1341">
        <f t="shared" si="17"/>
        <v>42736</v>
      </c>
      <c r="E30" s="1335">
        <v>29611</v>
      </c>
      <c r="F30" s="1335">
        <v>33307</v>
      </c>
      <c r="G30" s="1335">
        <v>33696</v>
      </c>
      <c r="H30" s="1335">
        <f>VLOOKUP(D30,'[9]$ to INR'!$R$3:$S$131,2,TRUE)</f>
        <v>67.931799999999996</v>
      </c>
      <c r="I30" s="1334">
        <f t="shared" si="18"/>
        <v>30970.144900000003</v>
      </c>
      <c r="J30" s="1334">
        <f t="shared" si="6"/>
        <v>33922.317306289995</v>
      </c>
      <c r="K30" s="1334">
        <v>35242</v>
      </c>
      <c r="L30" s="1335">
        <v>7.4749999999999996</v>
      </c>
      <c r="M30" s="1335">
        <v>3.93</v>
      </c>
      <c r="N30" s="1335">
        <v>2.5</v>
      </c>
      <c r="O30" s="1335">
        <f t="shared" si="19"/>
        <v>1553.8963414634145</v>
      </c>
      <c r="P30" s="1334">
        <f t="shared" si="20"/>
        <v>20326.102690200001</v>
      </c>
      <c r="Q30" s="1335">
        <f t="shared" si="21"/>
        <v>9.3160509999999999</v>
      </c>
      <c r="R30" s="1334">
        <f t="shared" si="8"/>
        <v>31136.52077543256</v>
      </c>
      <c r="S30" s="1336">
        <f t="shared" si="9"/>
        <v>1446.1036585365855</v>
      </c>
      <c r="T30" s="1337">
        <f t="shared" si="10"/>
        <v>0.48203455284552849</v>
      </c>
      <c r="U30" s="1338">
        <f t="shared" si="11"/>
        <v>0.51796544715447146</v>
      </c>
      <c r="V30" s="1339">
        <f t="shared" si="12"/>
        <v>25537.09773798829</v>
      </c>
      <c r="W30" s="1339">
        <f t="shared" si="3"/>
        <v>33960.714218949994</v>
      </c>
      <c r="X30" s="1334">
        <f t="shared" si="13"/>
        <v>20974.727775313953</v>
      </c>
      <c r="Y30" s="1334">
        <f t="shared" si="14"/>
        <v>31947.337511000002</v>
      </c>
      <c r="Z30" s="1334">
        <f t="shared" si="4"/>
        <v>33916.384669409992</v>
      </c>
    </row>
    <row r="31" spans="1:26">
      <c r="A31" s="5">
        <v>2</v>
      </c>
      <c r="B31" s="5">
        <v>2017</v>
      </c>
      <c r="C31" s="5" t="s">
        <v>697</v>
      </c>
      <c r="D31" s="1341">
        <f t="shared" si="17"/>
        <v>42767</v>
      </c>
      <c r="E31" s="1335">
        <v>34119</v>
      </c>
      <c r="F31" s="1335">
        <v>33134</v>
      </c>
      <c r="G31" s="1335">
        <v>40140</v>
      </c>
      <c r="H31" s="1335">
        <f>VLOOKUP(D31,'[9]$ to INR'!$R$3:$S$131,2,TRUE)</f>
        <v>66.839750000000009</v>
      </c>
      <c r="I31" s="1334">
        <f t="shared" si="18"/>
        <v>35685.062100000003</v>
      </c>
      <c r="J31" s="1334">
        <f t="shared" si="6"/>
        <v>33935.620753487499</v>
      </c>
      <c r="K31" s="1334">
        <v>41983</v>
      </c>
      <c r="L31" s="1335">
        <v>13.925000000000001</v>
      </c>
      <c r="M31" s="1335">
        <v>3.391</v>
      </c>
      <c r="N31" s="1335">
        <v>2.5</v>
      </c>
      <c r="O31" s="1335">
        <f t="shared" si="19"/>
        <v>1553.8963414634145</v>
      </c>
      <c r="P31" s="1334">
        <f t="shared" si="20"/>
        <v>20186.004687749999</v>
      </c>
      <c r="Q31" s="1335">
        <f t="shared" si="21"/>
        <v>8.6041936999999997</v>
      </c>
      <c r="R31" s="1334">
        <f t="shared" si="8"/>
        <v>28295.026068291096</v>
      </c>
      <c r="S31" s="1336">
        <f t="shared" si="9"/>
        <v>1446.1036585365855</v>
      </c>
      <c r="T31" s="1337">
        <f t="shared" si="10"/>
        <v>0.48203455284552849</v>
      </c>
      <c r="U31" s="1338">
        <f t="shared" si="11"/>
        <v>0.51796544715447146</v>
      </c>
      <c r="V31" s="1339">
        <f t="shared" si="12"/>
        <v>24094.833182933955</v>
      </c>
      <c r="W31" s="1339">
        <f t="shared" si="3"/>
        <v>33879.431891562497</v>
      </c>
      <c r="X31" s="1334">
        <f t="shared" si="13"/>
        <v>20672.545970582461</v>
      </c>
      <c r="Y31" s="1334">
        <f t="shared" si="14"/>
        <v>36811.023219000002</v>
      </c>
      <c r="Z31" s="1334">
        <f t="shared" si="4"/>
        <v>33946.868672887496</v>
      </c>
    </row>
    <row r="32" spans="1:26">
      <c r="A32" s="5">
        <v>3</v>
      </c>
      <c r="B32" s="5">
        <v>2017</v>
      </c>
      <c r="C32" s="5" t="s">
        <v>698</v>
      </c>
      <c r="D32" s="1341">
        <f t="shared" si="17"/>
        <v>42795</v>
      </c>
      <c r="E32" s="1335">
        <v>31553</v>
      </c>
      <c r="F32" s="1335">
        <v>29328</v>
      </c>
      <c r="G32" s="1335">
        <v>39441</v>
      </c>
      <c r="H32" s="1335">
        <f>VLOOKUP(D32,'[9]$ to INR'!$R$3:$S$131,2,TRUE)</f>
        <v>65.578749999999999</v>
      </c>
      <c r="I32" s="1334">
        <f t="shared" si="18"/>
        <v>33001.282700000003</v>
      </c>
      <c r="J32" s="1334">
        <f t="shared" si="6"/>
        <v>29937.724957999999</v>
      </c>
      <c r="K32" s="1334">
        <v>41252</v>
      </c>
      <c r="L32" s="1335">
        <v>8.5869565217391308</v>
      </c>
      <c r="M32" s="1335">
        <v>2.6269999999999998</v>
      </c>
      <c r="N32" s="1335">
        <v>2.5</v>
      </c>
      <c r="O32" s="1335">
        <f t="shared" si="19"/>
        <v>1553.8963414634145</v>
      </c>
      <c r="P32" s="1334">
        <f t="shared" si="20"/>
        <v>20024.232258749998</v>
      </c>
      <c r="Q32" s="1335">
        <f t="shared" si="21"/>
        <v>7.5951788999999996</v>
      </c>
      <c r="R32" s="1334">
        <f t="shared" si="8"/>
        <v>24505.65104378805</v>
      </c>
      <c r="S32" s="1336">
        <f t="shared" si="9"/>
        <v>1446.1036585365855</v>
      </c>
      <c r="T32" s="1337">
        <f t="shared" si="10"/>
        <v>0.48203455284552849</v>
      </c>
      <c r="U32" s="1338">
        <f t="shared" si="11"/>
        <v>0.51796544715447146</v>
      </c>
      <c r="V32" s="1339">
        <f t="shared" si="12"/>
        <v>22184.430958909365</v>
      </c>
      <c r="W32" s="1339">
        <f t="shared" si="3"/>
        <v>29951.912082499999</v>
      </c>
      <c r="X32" s="1334">
        <f t="shared" si="13"/>
        <v>20293.117385852278</v>
      </c>
      <c r="Y32" s="1334">
        <f t="shared" si="14"/>
        <v>34042.563253</v>
      </c>
      <c r="Z32" s="1334">
        <f t="shared" si="4"/>
        <v>29936.157778249995</v>
      </c>
    </row>
    <row r="33" spans="1:26">
      <c r="A33" s="5">
        <v>4</v>
      </c>
      <c r="B33" s="5">
        <v>2017</v>
      </c>
      <c r="C33" s="5" t="s">
        <v>699</v>
      </c>
      <c r="D33" s="1341">
        <f t="shared" si="17"/>
        <v>42826</v>
      </c>
      <c r="E33" s="1335">
        <v>27700</v>
      </c>
      <c r="F33" s="1335">
        <v>29566</v>
      </c>
      <c r="G33" s="1335">
        <v>31566</v>
      </c>
      <c r="H33" s="1335">
        <f>VLOOKUP(D33,'[9]$ to INR'!$R$3:$S$131,2,TRUE)</f>
        <v>64.400999999999996</v>
      </c>
      <c r="I33" s="1334">
        <f t="shared" si="18"/>
        <v>28971.43</v>
      </c>
      <c r="J33" s="1334">
        <f t="shared" si="6"/>
        <v>30259.161026747373</v>
      </c>
      <c r="K33" s="1334">
        <v>33014</v>
      </c>
      <c r="L33" s="1335">
        <v>11.684210526315789</v>
      </c>
      <c r="M33" s="1335">
        <v>3.1749999999999998</v>
      </c>
      <c r="N33" s="1335">
        <v>2.48</v>
      </c>
      <c r="O33" s="1335">
        <f t="shared" si="19"/>
        <v>1553.8963414634145</v>
      </c>
      <c r="P33" s="1334">
        <f t="shared" si="20"/>
        <v>19807.044369888001</v>
      </c>
      <c r="Q33" s="1335">
        <f t="shared" si="21"/>
        <v>8.3189224999999993</v>
      </c>
      <c r="R33" s="1334">
        <f t="shared" si="8"/>
        <v>26358.748853786998</v>
      </c>
      <c r="S33" s="1336">
        <f t="shared" si="9"/>
        <v>1446.1036585365855</v>
      </c>
      <c r="T33" s="1337">
        <f t="shared" si="10"/>
        <v>0.48203455284552849</v>
      </c>
      <c r="U33" s="1338">
        <f t="shared" si="11"/>
        <v>0.51796544715447146</v>
      </c>
      <c r="V33" s="1339">
        <f t="shared" si="12"/>
        <v>22965.192311160296</v>
      </c>
      <c r="W33" s="1339">
        <f t="shared" si="3"/>
        <v>30231.061384684213</v>
      </c>
      <c r="X33" s="1334">
        <f t="shared" si="13"/>
        <v>20200.146638921942</v>
      </c>
      <c r="Y33" s="1334">
        <f t="shared" si="14"/>
        <v>29885.557700000001</v>
      </c>
      <c r="Z33" s="1334">
        <f t="shared" si="4"/>
        <v>30265.264169831578</v>
      </c>
    </row>
    <row r="34" spans="1:26">
      <c r="A34" s="5">
        <v>5</v>
      </c>
      <c r="B34" s="5">
        <v>2017</v>
      </c>
      <c r="C34" s="5" t="s">
        <v>700</v>
      </c>
      <c r="D34" s="1341">
        <f t="shared" si="17"/>
        <v>42856</v>
      </c>
      <c r="E34" s="1335">
        <v>24802</v>
      </c>
      <c r="F34" s="1335">
        <v>27516</v>
      </c>
      <c r="G34" s="1335">
        <v>25124</v>
      </c>
      <c r="H34" s="1335">
        <f>VLOOKUP(D34,'[9]$ to INR'!$R$3:$S$131,2,TRUE)</f>
        <v>64.433250000000001</v>
      </c>
      <c r="I34" s="1334">
        <f t="shared" si="18"/>
        <v>25940.411800000002</v>
      </c>
      <c r="J34" s="1334">
        <f t="shared" si="6"/>
        <v>28160.608856849998</v>
      </c>
      <c r="K34" s="1334">
        <v>26278</v>
      </c>
      <c r="L34" s="1335">
        <v>10.428571428571429</v>
      </c>
      <c r="M34" s="1335">
        <v>3.1419999999999999</v>
      </c>
      <c r="N34" s="1335">
        <v>2.48</v>
      </c>
      <c r="O34" s="1335">
        <f t="shared" si="19"/>
        <v>1553.8963414634145</v>
      </c>
      <c r="P34" s="1334">
        <f t="shared" si="20"/>
        <v>19811.148591575999</v>
      </c>
      <c r="Q34" s="1335">
        <f t="shared" si="21"/>
        <v>8.2753394</v>
      </c>
      <c r="R34" s="1334">
        <f t="shared" si="8"/>
        <v>26233.785009836462</v>
      </c>
      <c r="S34" s="1336">
        <f t="shared" si="9"/>
        <v>1446.1036585365855</v>
      </c>
      <c r="T34" s="1337">
        <f t="shared" si="10"/>
        <v>0.48203455284552849</v>
      </c>
      <c r="U34" s="1338">
        <f t="shared" si="11"/>
        <v>0.51796544715447146</v>
      </c>
      <c r="V34" s="1339">
        <f t="shared" si="12"/>
        <v>22907.081265541587</v>
      </c>
      <c r="W34" s="1339">
        <f t="shared" si="3"/>
        <v>28145.297393249995</v>
      </c>
      <c r="X34" s="1334">
        <f t="shared" si="13"/>
        <v>20196.506776671627</v>
      </c>
      <c r="Y34" s="1334">
        <f t="shared" si="14"/>
        <v>26758.902602000002</v>
      </c>
      <c r="Z34" s="1334">
        <f t="shared" si="4"/>
        <v>28164.387374399994</v>
      </c>
    </row>
    <row r="35" spans="1:26">
      <c r="A35" s="5">
        <v>6</v>
      </c>
      <c r="B35" s="5">
        <v>2017</v>
      </c>
      <c r="C35" s="5" t="s">
        <v>701</v>
      </c>
      <c r="D35" s="1341">
        <f t="shared" si="17"/>
        <v>42887</v>
      </c>
      <c r="E35" s="1335">
        <v>24812</v>
      </c>
      <c r="F35" s="1335">
        <v>25434</v>
      </c>
      <c r="G35" s="1335">
        <v>25134</v>
      </c>
      <c r="H35" s="1335">
        <f>VLOOKUP(D35,'[9]$ to INR'!$R$3:$S$131,2,TRUE)</f>
        <v>64.458750000000009</v>
      </c>
      <c r="I35" s="1334">
        <f t="shared" si="18"/>
        <v>25950.870800000001</v>
      </c>
      <c r="J35" s="1334">
        <f t="shared" si="6"/>
        <v>26016.476662178575</v>
      </c>
      <c r="K35" s="1334">
        <v>26288</v>
      </c>
      <c r="L35" s="1335">
        <v>8.7142857142857135</v>
      </c>
      <c r="M35" s="1335">
        <v>3.2360000000000002</v>
      </c>
      <c r="N35" s="1335">
        <v>2.48</v>
      </c>
      <c r="O35" s="1335">
        <f t="shared" si="19"/>
        <v>1553.8963414634145</v>
      </c>
      <c r="P35" s="1334">
        <f t="shared" si="20"/>
        <v>19814.393790120001</v>
      </c>
      <c r="Q35" s="1335">
        <f t="shared" si="21"/>
        <v>8.3994852000000009</v>
      </c>
      <c r="R35" s="1334">
        <f t="shared" si="8"/>
        <v>26637.879578466607</v>
      </c>
      <c r="S35" s="1336">
        <f t="shared" si="9"/>
        <v>1446.1036585365855</v>
      </c>
      <c r="T35" s="1337">
        <f t="shared" si="10"/>
        <v>0.48203455284552849</v>
      </c>
      <c r="U35" s="1338">
        <f t="shared" si="11"/>
        <v>0.51796544715447146</v>
      </c>
      <c r="V35" s="1339">
        <f t="shared" si="12"/>
        <v>23103.549710953474</v>
      </c>
      <c r="W35" s="1339">
        <f t="shared" si="3"/>
        <v>26020.404503035716</v>
      </c>
      <c r="X35" s="1334">
        <f t="shared" si="13"/>
        <v>20223.802937420794</v>
      </c>
      <c r="Y35" s="1334">
        <f t="shared" si="14"/>
        <v>26769.691612000002</v>
      </c>
      <c r="Z35" s="1334">
        <f t="shared" si="4"/>
        <v>26016.757517999999</v>
      </c>
    </row>
    <row r="36" spans="1:26">
      <c r="A36" s="5">
        <v>7</v>
      </c>
      <c r="B36" s="5">
        <v>2017</v>
      </c>
      <c r="C36" s="5" t="s">
        <v>702</v>
      </c>
      <c r="D36" s="1341">
        <f t="shared" si="17"/>
        <v>42917</v>
      </c>
      <c r="E36" s="1335">
        <v>22202</v>
      </c>
      <c r="F36" s="1335">
        <v>26114</v>
      </c>
      <c r="G36" s="1335">
        <v>23489</v>
      </c>
      <c r="H36" s="1335">
        <f>VLOOKUP(D36,'[9]$ to INR'!$R$3:$S$131,2,TRUE)</f>
        <v>64.244800000000012</v>
      </c>
      <c r="I36" s="1334">
        <f t="shared" si="18"/>
        <v>23221.071800000002</v>
      </c>
      <c r="J36" s="1334">
        <f t="shared" si="6"/>
        <v>26565.630654011431</v>
      </c>
      <c r="K36" s="1334">
        <v>24567</v>
      </c>
      <c r="L36" s="1335">
        <v>4.0952380952380949</v>
      </c>
      <c r="M36" s="1335">
        <v>3.0670000000000002</v>
      </c>
      <c r="N36" s="1335">
        <v>2.48</v>
      </c>
      <c r="O36" s="1335">
        <f t="shared" si="19"/>
        <v>1553.8963414634145</v>
      </c>
      <c r="P36" s="1334">
        <f t="shared" si="20"/>
        <v>19787.165938022405</v>
      </c>
      <c r="Q36" s="1335">
        <f t="shared" si="21"/>
        <v>8.1762869000000009</v>
      </c>
      <c r="R36" s="1334">
        <f t="shared" si="8"/>
        <v>25843.968698349512</v>
      </c>
      <c r="S36" s="1336">
        <f t="shared" si="9"/>
        <v>1446.1036585365855</v>
      </c>
      <c r="T36" s="1337">
        <f t="shared" si="10"/>
        <v>0.48203455284552849</v>
      </c>
      <c r="U36" s="1338">
        <f t="shared" si="11"/>
        <v>0.51796544715447146</v>
      </c>
      <c r="V36" s="1339">
        <f t="shared" si="12"/>
        <v>22706.754148270244</v>
      </c>
      <c r="W36" s="1339">
        <f t="shared" si="3"/>
        <v>26636.680307847615</v>
      </c>
      <c r="X36" s="1334">
        <f t="shared" si="13"/>
        <v>20150.57410364203</v>
      </c>
      <c r="Y36" s="1334">
        <f t="shared" si="14"/>
        <v>23953.760002000003</v>
      </c>
      <c r="Z36" s="1334">
        <f t="shared" si="4"/>
        <v>26553.704241226667</v>
      </c>
    </row>
    <row r="37" spans="1:26">
      <c r="A37" s="5">
        <v>8</v>
      </c>
      <c r="B37" s="5">
        <v>2017</v>
      </c>
      <c r="C37" s="5" t="s">
        <v>703</v>
      </c>
      <c r="D37" s="1341">
        <f t="shared" si="17"/>
        <v>42948</v>
      </c>
      <c r="E37" s="1335">
        <v>26877</v>
      </c>
      <c r="F37" s="1335">
        <v>28453</v>
      </c>
      <c r="G37" s="1335">
        <v>29437</v>
      </c>
      <c r="H37" s="1335">
        <f>VLOOKUP(D37,'[9]$ to INR'!$R$3:$S$131,2,TRUE)</f>
        <v>64.066249999999997</v>
      </c>
      <c r="I37" s="1334">
        <f t="shared" si="18"/>
        <v>28110.654300000002</v>
      </c>
      <c r="J37" s="1334">
        <f t="shared" si="6"/>
        <v>28987.949571011362</v>
      </c>
      <c r="K37" s="1334">
        <v>30788</v>
      </c>
      <c r="L37" s="1335">
        <v>6.5227272727272725</v>
      </c>
      <c r="M37" s="1335">
        <v>2.9689999999999999</v>
      </c>
      <c r="N37" s="1335">
        <v>2.48</v>
      </c>
      <c r="O37" s="1335">
        <f t="shared" si="19"/>
        <v>1553.8963414634145</v>
      </c>
      <c r="P37" s="1334">
        <f t="shared" si="20"/>
        <v>19764.443185079999</v>
      </c>
      <c r="Q37" s="1335">
        <f t="shared" si="21"/>
        <v>8.0468583000000002</v>
      </c>
      <c r="R37" s="1334">
        <f t="shared" si="8"/>
        <v>25364.176149668852</v>
      </c>
      <c r="S37" s="1336">
        <f t="shared" si="9"/>
        <v>1446.1036585365855</v>
      </c>
      <c r="T37" s="1337">
        <f t="shared" si="10"/>
        <v>0.48203455284552849</v>
      </c>
      <c r="U37" s="1338">
        <f t="shared" si="11"/>
        <v>0.51796544715447146</v>
      </c>
      <c r="V37" s="1339">
        <f t="shared" si="12"/>
        <v>22463.707960719952</v>
      </c>
      <c r="W37" s="1339">
        <f t="shared" si="3"/>
        <v>29030.423349261364</v>
      </c>
      <c r="X37" s="1334">
        <f t="shared" si="13"/>
        <v>20100.42716295533</v>
      </c>
      <c r="Y37" s="1334">
        <f t="shared" si="14"/>
        <v>28997.622177000001</v>
      </c>
      <c r="Z37" s="1334">
        <f t="shared" si="4"/>
        <v>28981.216015806815</v>
      </c>
    </row>
    <row r="38" spans="1:26">
      <c r="A38" s="5">
        <v>9</v>
      </c>
      <c r="B38" s="5">
        <v>2017</v>
      </c>
      <c r="C38" s="5" t="s">
        <v>704</v>
      </c>
      <c r="D38" s="1341">
        <f t="shared" si="17"/>
        <v>42979</v>
      </c>
      <c r="E38" s="1335">
        <v>30960</v>
      </c>
      <c r="F38" s="1335">
        <v>31364</v>
      </c>
      <c r="G38" s="1335">
        <v>32250</v>
      </c>
      <c r="H38" s="1335">
        <f>VLOOKUP(D38,'[9]$ to INR'!$R$3:$S$131,2,TRUE)</f>
        <v>64.5</v>
      </c>
      <c r="I38" s="1334">
        <f t="shared" si="18"/>
        <v>32381.064000000002</v>
      </c>
      <c r="J38" s="1334">
        <f t="shared" si="6"/>
        <v>32003.98155</v>
      </c>
      <c r="K38" s="1334">
        <v>33730</v>
      </c>
      <c r="L38" s="1335">
        <v>9.4499999999999993</v>
      </c>
      <c r="M38" s="1335">
        <v>2.9609999999999999</v>
      </c>
      <c r="N38" s="1335">
        <v>2.48</v>
      </c>
      <c r="O38" s="1335">
        <f t="shared" si="19"/>
        <v>1553.8963414634145</v>
      </c>
      <c r="P38" s="1334">
        <f t="shared" si="20"/>
        <v>19819.643376</v>
      </c>
      <c r="Q38" s="1335">
        <f t="shared" si="21"/>
        <v>8.0362927000000006</v>
      </c>
      <c r="R38" s="1334">
        <f t="shared" si="8"/>
        <v>25502.371254180005</v>
      </c>
      <c r="S38" s="1336">
        <f t="shared" si="9"/>
        <v>1446.1036585365855</v>
      </c>
      <c r="T38" s="1337">
        <f t="shared" si="10"/>
        <v>0.48203455284552849</v>
      </c>
      <c r="U38" s="1338">
        <f t="shared" si="11"/>
        <v>0.51796544715447146</v>
      </c>
      <c r="V38" s="1339">
        <f t="shared" si="12"/>
        <v>22558.914567701315</v>
      </c>
      <c r="W38" s="1339">
        <f t="shared" si="3"/>
        <v>32011.783330000006</v>
      </c>
      <c r="X38" s="1334">
        <f t="shared" si="13"/>
        <v>20160.607048690799</v>
      </c>
      <c r="Y38" s="1334">
        <f t="shared" si="14"/>
        <v>33402.774960000002</v>
      </c>
      <c r="Z38" s="1334">
        <f t="shared" si="4"/>
        <v>32003.558689999998</v>
      </c>
    </row>
    <row r="39" spans="1:26">
      <c r="A39" s="5">
        <v>10</v>
      </c>
      <c r="B39" s="5">
        <v>2017</v>
      </c>
      <c r="C39" s="5" t="s">
        <v>705</v>
      </c>
      <c r="D39" s="1341">
        <f t="shared" si="17"/>
        <v>43009</v>
      </c>
      <c r="E39" s="1335">
        <v>37374</v>
      </c>
      <c r="F39" s="1335">
        <v>32996</v>
      </c>
      <c r="G39" s="1335">
        <v>37699</v>
      </c>
      <c r="H39" s="1335">
        <f>VLOOKUP(D39,'[9]$ to INR'!$R$3:$S$131,2,TRUE)</f>
        <v>64.948000000000008</v>
      </c>
      <c r="I39" s="1334">
        <f t="shared" si="18"/>
        <v>39089.4666</v>
      </c>
      <c r="J39" s="1334">
        <f t="shared" si="6"/>
        <v>33713.072082971426</v>
      </c>
      <c r="K39" s="1334">
        <v>39430</v>
      </c>
      <c r="L39" s="1335">
        <v>11.642857142857142</v>
      </c>
      <c r="M39" s="1335">
        <v>2.9740000000000002</v>
      </c>
      <c r="N39" s="1335">
        <v>2.89</v>
      </c>
      <c r="O39" s="1335">
        <f t="shared" si="19"/>
        <v>1553.8963414634145</v>
      </c>
      <c r="P39" s="1334">
        <f t="shared" si="20"/>
        <v>21243.123751632003</v>
      </c>
      <c r="Q39" s="1335">
        <f t="shared" si="21"/>
        <v>8.0534618000000009</v>
      </c>
      <c r="R39" s="1334">
        <f t="shared" si="8"/>
        <v>25734.366859730886</v>
      </c>
      <c r="S39" s="1336">
        <f t="shared" si="9"/>
        <v>1446.1036585365855</v>
      </c>
      <c r="T39" s="1337">
        <f t="shared" si="10"/>
        <v>0.48203455284552849</v>
      </c>
      <c r="U39" s="1338">
        <f t="shared" si="11"/>
        <v>0.51796544715447146</v>
      </c>
      <c r="V39" s="1339">
        <f t="shared" si="12"/>
        <v>23408.05811496501</v>
      </c>
      <c r="W39" s="1339">
        <f t="shared" si="3"/>
        <v>33693.017533714286</v>
      </c>
      <c r="X39" s="1334">
        <f t="shared" si="13"/>
        <v>21512.598338117936</v>
      </c>
      <c r="Y39" s="1334">
        <f t="shared" si="14"/>
        <v>40322.845974000003</v>
      </c>
      <c r="Z39" s="1334">
        <f t="shared" si="4"/>
        <v>33717.720925599991</v>
      </c>
    </row>
    <row r="40" spans="1:26">
      <c r="A40" s="5">
        <v>11</v>
      </c>
      <c r="B40" s="5">
        <v>2017</v>
      </c>
      <c r="C40" s="5" t="s">
        <v>706</v>
      </c>
      <c r="D40" s="1341">
        <f t="shared" si="17"/>
        <v>43040</v>
      </c>
      <c r="E40" s="1335">
        <v>37275</v>
      </c>
      <c r="F40" s="1335">
        <v>36663</v>
      </c>
      <c r="G40" s="1335">
        <v>37599</v>
      </c>
      <c r="H40" s="1335">
        <f>VLOOKUP(D40,'[9]$ to INR'!$R$3:$S$131,2,TRUE)</f>
        <v>64.851249999999993</v>
      </c>
      <c r="I40" s="1334">
        <f t="shared" si="18"/>
        <v>38985.922500000001</v>
      </c>
      <c r="J40" s="1334">
        <f t="shared" si="6"/>
        <v>37584.354509068187</v>
      </c>
      <c r="K40" s="1334">
        <v>39325</v>
      </c>
      <c r="L40" s="1335">
        <v>17.90909090909091</v>
      </c>
      <c r="M40" s="1335">
        <v>2.7519999999999998</v>
      </c>
      <c r="N40" s="1335">
        <v>2.89</v>
      </c>
      <c r="O40" s="1335">
        <f t="shared" si="19"/>
        <v>1553.8963414634145</v>
      </c>
      <c r="P40" s="1334">
        <f t="shared" si="20"/>
        <v>21228.775525005003</v>
      </c>
      <c r="Q40" s="1335">
        <f t="shared" si="21"/>
        <v>7.7602663999999999</v>
      </c>
      <c r="R40" s="1334">
        <f t="shared" si="8"/>
        <v>24760.538437551601</v>
      </c>
      <c r="S40" s="1336">
        <f t="shared" si="9"/>
        <v>1446.1036585365855</v>
      </c>
      <c r="T40" s="1337">
        <f t="shared" si="10"/>
        <v>0.48203455284552849</v>
      </c>
      <c r="U40" s="1338">
        <f t="shared" si="11"/>
        <v>0.51796544715447146</v>
      </c>
      <c r="V40" s="1339">
        <f t="shared" si="12"/>
        <v>22931.207281310824</v>
      </c>
      <c r="W40" s="1339">
        <f t="shared" si="3"/>
        <v>37483.920843068183</v>
      </c>
      <c r="X40" s="1334">
        <f t="shared" si="13"/>
        <v>21440.681299757798</v>
      </c>
      <c r="Y40" s="1334">
        <f t="shared" si="14"/>
        <v>40216.034775</v>
      </c>
      <c r="Z40" s="1334">
        <f t="shared" si="4"/>
        <v>37603.616243090903</v>
      </c>
    </row>
    <row r="41" spans="1:26">
      <c r="A41" s="5">
        <v>12</v>
      </c>
      <c r="B41" s="5">
        <v>2017</v>
      </c>
      <c r="C41" s="5" t="s">
        <v>707</v>
      </c>
      <c r="D41" s="1341">
        <f t="shared" si="17"/>
        <v>43070</v>
      </c>
      <c r="E41" s="1335">
        <v>37842</v>
      </c>
      <c r="F41" s="1335">
        <v>36492</v>
      </c>
      <c r="G41" s="1335">
        <v>36559</v>
      </c>
      <c r="H41" s="1335">
        <f>VLOOKUP(D41,'[9]$ to INR'!$R$3:$S$131,2,TRUE)</f>
        <v>63.951999999999998</v>
      </c>
      <c r="I41" s="1334">
        <f t="shared" si="18"/>
        <v>39578.947800000002</v>
      </c>
      <c r="J41" s="1334">
        <f t="shared" si="6"/>
        <v>37395.163625600006</v>
      </c>
      <c r="K41" s="1334">
        <v>38237</v>
      </c>
      <c r="L41" s="1335">
        <v>17.649999999999999</v>
      </c>
      <c r="M41" s="1335">
        <v>3.0739999999999998</v>
      </c>
      <c r="N41" s="1335">
        <v>2.89</v>
      </c>
      <c r="O41" s="1335">
        <f t="shared" si="19"/>
        <v>1553.8963414634145</v>
      </c>
      <c r="P41" s="1334">
        <f t="shared" si="20"/>
        <v>21095.414875967999</v>
      </c>
      <c r="Q41" s="1335">
        <f t="shared" si="21"/>
        <v>8.1855317999999997</v>
      </c>
      <c r="R41" s="1334">
        <f t="shared" si="8"/>
        <v>25755.27157994112</v>
      </c>
      <c r="S41" s="1336">
        <f t="shared" si="9"/>
        <v>1446.1036585365855</v>
      </c>
      <c r="T41" s="1337">
        <f t="shared" si="10"/>
        <v>0.48203455284552849</v>
      </c>
      <c r="U41" s="1338">
        <f t="shared" si="11"/>
        <v>0.51796544715447146</v>
      </c>
      <c r="V41" s="1339">
        <f t="shared" si="12"/>
        <v>23341.626818591918</v>
      </c>
      <c r="W41" s="1339">
        <f t="shared" si="3"/>
        <v>37300.584336</v>
      </c>
      <c r="X41" s="1334">
        <f t="shared" si="13"/>
        <v>21375.006278206383</v>
      </c>
      <c r="Y41" s="1334">
        <f t="shared" si="14"/>
        <v>40827.771642</v>
      </c>
      <c r="Z41" s="1334">
        <f t="shared" si="4"/>
        <v>37413.347046399998</v>
      </c>
    </row>
    <row r="42" spans="1:26">
      <c r="A42" s="5">
        <v>1</v>
      </c>
      <c r="B42" s="5">
        <v>2018</v>
      </c>
      <c r="C42" s="5" t="s">
        <v>696</v>
      </c>
      <c r="D42" s="1341">
        <f t="shared" si="17"/>
        <v>43101</v>
      </c>
      <c r="E42" s="1335">
        <v>37570</v>
      </c>
      <c r="F42" s="1335">
        <v>37155</v>
      </c>
      <c r="G42" s="1335">
        <v>36296</v>
      </c>
      <c r="H42" s="1335">
        <f>VLOOKUP(D42,'[9]$ to INR'!$R$3:$S$131,2,TRUE)</f>
        <v>63.79</v>
      </c>
      <c r="I42" s="1334">
        <f t="shared" si="18"/>
        <v>39294.463000000003</v>
      </c>
      <c r="J42" s="1334">
        <f t="shared" si="6"/>
        <v>37996.772168818177</v>
      </c>
      <c r="K42" s="1334">
        <v>37962</v>
      </c>
      <c r="L42" s="1335">
        <v>15.431818181818182</v>
      </c>
      <c r="M42" s="1335">
        <v>2.738</v>
      </c>
      <c r="N42" s="1335">
        <v>2.89</v>
      </c>
      <c r="O42" s="1335">
        <f t="shared" si="19"/>
        <v>1553.8963414634145</v>
      </c>
      <c r="P42" s="1334">
        <f t="shared" si="20"/>
        <v>21071.38993836</v>
      </c>
      <c r="Q42" s="1335">
        <f t="shared" si="21"/>
        <v>7.7417765999999997</v>
      </c>
      <c r="R42" s="1334">
        <f t="shared" si="8"/>
        <v>24297.318122248798</v>
      </c>
      <c r="S42" s="1336">
        <f t="shared" si="9"/>
        <v>1446.1036585365855</v>
      </c>
      <c r="T42" s="1337">
        <f t="shared" si="10"/>
        <v>0.48203455284552849</v>
      </c>
      <c r="U42" s="1338">
        <f t="shared" si="11"/>
        <v>0.51796544715447146</v>
      </c>
      <c r="V42" s="1339">
        <f t="shared" si="12"/>
        <v>22626.398787992621</v>
      </c>
      <c r="W42" s="1339">
        <f t="shared" si="3"/>
        <v>37935.390146818187</v>
      </c>
      <c r="X42" s="1334">
        <f t="shared" si="13"/>
        <v>21264.945629393325</v>
      </c>
      <c r="Y42" s="1334">
        <f t="shared" si="14"/>
        <v>40534.310570000001</v>
      </c>
      <c r="Z42" s="1334">
        <f t="shared" si="4"/>
        <v>38008.917222090909</v>
      </c>
    </row>
    <row r="43" spans="1:26">
      <c r="A43" s="5">
        <v>2</v>
      </c>
      <c r="B43" s="5">
        <v>2018</v>
      </c>
      <c r="C43" s="5" t="s">
        <v>697</v>
      </c>
      <c r="D43" s="1341">
        <f t="shared" si="17"/>
        <v>43132</v>
      </c>
      <c r="E43" s="1335">
        <v>33882</v>
      </c>
      <c r="F43" s="1335">
        <v>34913</v>
      </c>
      <c r="G43" s="1335">
        <v>32591</v>
      </c>
      <c r="H43" s="1335">
        <f>VLOOKUP(D43,'[9]$ to INR'!$R$3:$S$131,2,TRUE)</f>
        <v>64.63</v>
      </c>
      <c r="I43" s="1334">
        <f t="shared" si="18"/>
        <v>35437.183799999999</v>
      </c>
      <c r="J43" s="1334">
        <f t="shared" si="6"/>
        <v>35550.027179789475</v>
      </c>
      <c r="K43" s="1334">
        <v>34087</v>
      </c>
      <c r="L43" s="1335">
        <v>8.5789473684210531</v>
      </c>
      <c r="M43" s="1335">
        <v>3.6309999999999998</v>
      </c>
      <c r="N43" s="1335">
        <v>2.89</v>
      </c>
      <c r="O43" s="1335">
        <f t="shared" si="19"/>
        <v>1553.8963414634145</v>
      </c>
      <c r="P43" s="1334">
        <f t="shared" si="20"/>
        <v>21195.963688920001</v>
      </c>
      <c r="Q43" s="1335">
        <f t="shared" si="21"/>
        <v>8.921161699999999</v>
      </c>
      <c r="R43" s="1334">
        <f t="shared" si="8"/>
        <v>28367.474289013197</v>
      </c>
      <c r="S43" s="1336">
        <f t="shared" si="9"/>
        <v>1446.1036585365855</v>
      </c>
      <c r="T43" s="1337">
        <f t="shared" si="10"/>
        <v>0.48203455284552849</v>
      </c>
      <c r="U43" s="1338">
        <f t="shared" si="11"/>
        <v>0.51796544715447146</v>
      </c>
      <c r="V43" s="1339">
        <f t="shared" si="12"/>
        <v>24652.879594262893</v>
      </c>
      <c r="W43" s="1339">
        <f t="shared" si="3"/>
        <v>35578.665434736846</v>
      </c>
      <c r="X43" s="1334">
        <f t="shared" si="13"/>
        <v>21626.25432492559</v>
      </c>
      <c r="Y43" s="1334">
        <f t="shared" si="14"/>
        <v>36555.323682000002</v>
      </c>
      <c r="Z43" s="1334">
        <f t="shared" si="4"/>
        <v>35545.817876526315</v>
      </c>
    </row>
    <row r="44" spans="1:26">
      <c r="A44" s="5">
        <v>3</v>
      </c>
      <c r="B44" s="5">
        <v>2018</v>
      </c>
      <c r="C44" s="5" t="s">
        <v>698</v>
      </c>
      <c r="D44" s="1341">
        <f t="shared" si="17"/>
        <v>43160</v>
      </c>
      <c r="E44" s="1335">
        <v>31233</v>
      </c>
      <c r="F44" s="1335">
        <v>35895</v>
      </c>
      <c r="G44" s="1335">
        <v>30257</v>
      </c>
      <c r="H44" s="1335">
        <f>VLOOKUP(D44,'[9]$ to INR'!$R$3:$S$131,2,TRUE)</f>
        <v>65.055000000000007</v>
      </c>
      <c r="I44" s="1334">
        <f t="shared" si="18"/>
        <v>32666.594700000001</v>
      </c>
      <c r="J44" s="1334">
        <f t="shared" si="6"/>
        <v>36691.801082571423</v>
      </c>
      <c r="K44" s="1334">
        <v>31645</v>
      </c>
      <c r="L44" s="1335">
        <v>13.738095238095237</v>
      </c>
      <c r="M44" s="1335">
        <v>2.6389999999999998</v>
      </c>
      <c r="N44" s="1335">
        <v>2.89</v>
      </c>
      <c r="O44" s="1335">
        <f t="shared" si="19"/>
        <v>1553.8963414634145</v>
      </c>
      <c r="P44" s="1334">
        <f t="shared" si="20"/>
        <v>21258.99207462</v>
      </c>
      <c r="Q44" s="1335">
        <f t="shared" si="21"/>
        <v>7.6110272999999999</v>
      </c>
      <c r="R44" s="1334">
        <f t="shared" si="8"/>
        <v>24360.660745273803</v>
      </c>
      <c r="S44" s="1336">
        <f t="shared" si="9"/>
        <v>1446.1036585365855</v>
      </c>
      <c r="T44" s="1337">
        <f t="shared" si="10"/>
        <v>0.48203455284552849</v>
      </c>
      <c r="U44" s="1338">
        <f t="shared" si="11"/>
        <v>0.51796544715447146</v>
      </c>
      <c r="V44" s="1339">
        <f t="shared" si="12"/>
        <v>22754.103545353588</v>
      </c>
      <c r="W44" s="1339">
        <f t="shared" si="3"/>
        <v>36648.610265714284</v>
      </c>
      <c r="X44" s="1334">
        <f t="shared" si="13"/>
        <v>21445.092194859229</v>
      </c>
      <c r="Y44" s="1334">
        <f t="shared" si="14"/>
        <v>33697.314933000001</v>
      </c>
      <c r="Z44" s="1334">
        <f t="shared" si="4"/>
        <v>36700.658170999988</v>
      </c>
    </row>
    <row r="45" spans="1:26">
      <c r="A45" s="5">
        <v>4</v>
      </c>
      <c r="B45" s="5">
        <v>2018</v>
      </c>
      <c r="C45" s="5" t="s">
        <v>699</v>
      </c>
      <c r="D45" s="1341">
        <f t="shared" si="17"/>
        <v>43191</v>
      </c>
      <c r="E45" s="1335">
        <v>31257</v>
      </c>
      <c r="F45" s="1335">
        <v>38393</v>
      </c>
      <c r="G45" s="1335">
        <v>30928</v>
      </c>
      <c r="H45" s="1335">
        <f>VLOOKUP(D45,'[9]$ to INR'!$R$3:$S$131,2,TRUE)</f>
        <v>65.966999999999999</v>
      </c>
      <c r="I45" s="1334">
        <f t="shared" si="18"/>
        <v>32691.696300000003</v>
      </c>
      <c r="J45" s="1334">
        <f t="shared" si="6"/>
        <v>39368.533493314288</v>
      </c>
      <c r="K45" s="1334">
        <v>32348</v>
      </c>
      <c r="L45" s="1335">
        <v>18.976190476190474</v>
      </c>
      <c r="M45" s="1335">
        <v>2.6909999999999998</v>
      </c>
      <c r="N45" s="1335">
        <v>3.06</v>
      </c>
      <c r="O45" s="1335">
        <f t="shared" si="19"/>
        <v>1553.8963414634145</v>
      </c>
      <c r="P45" s="1334">
        <f t="shared" si="20"/>
        <v>21969.716726712002</v>
      </c>
      <c r="Q45" s="1335">
        <f t="shared" si="21"/>
        <v>7.6797036999999992</v>
      </c>
      <c r="R45" s="1334">
        <f t="shared" si="8"/>
        <v>24925.065087712679</v>
      </c>
      <c r="S45" s="1336">
        <f t="shared" si="9"/>
        <v>1446.1036585365855</v>
      </c>
      <c r="T45" s="1337">
        <f t="shared" si="10"/>
        <v>0.48203455284552849</v>
      </c>
      <c r="U45" s="1338">
        <f t="shared" si="11"/>
        <v>0.51796544715447146</v>
      </c>
      <c r="V45" s="1339">
        <f t="shared" si="12"/>
        <v>23394.296752409726</v>
      </c>
      <c r="W45" s="1339">
        <f t="shared" si="3"/>
        <v>39253.54546914286</v>
      </c>
      <c r="X45" s="1334">
        <f t="shared" si="13"/>
        <v>22147.037628372043</v>
      </c>
      <c r="Y45" s="1334">
        <f t="shared" si="14"/>
        <v>33723.208557000005</v>
      </c>
      <c r="Z45" s="1334">
        <f t="shared" si="4"/>
        <v>39390.458697399998</v>
      </c>
    </row>
    <row r="46" spans="1:26">
      <c r="A46" s="5">
        <v>5</v>
      </c>
      <c r="B46" s="5">
        <v>2018</v>
      </c>
      <c r="C46" s="5" t="s">
        <v>700</v>
      </c>
      <c r="D46" s="1341">
        <f t="shared" si="17"/>
        <v>43221</v>
      </c>
      <c r="E46" s="1335">
        <v>33734</v>
      </c>
      <c r="F46" s="1335">
        <v>43778</v>
      </c>
      <c r="G46" s="1335">
        <v>34072</v>
      </c>
      <c r="H46" s="1335">
        <f>VLOOKUP(D46,'[9]$ to INR'!$R$3:$S$131,2,TRUE)</f>
        <v>67.518749999999997</v>
      </c>
      <c r="I46" s="1334">
        <f t="shared" si="18"/>
        <v>35282.390599999999</v>
      </c>
      <c r="J46" s="1334">
        <f t="shared" si="6"/>
        <v>44985.173653392863</v>
      </c>
      <c r="K46" s="1334">
        <v>35636</v>
      </c>
      <c r="L46" s="1335">
        <v>24.952380952380953</v>
      </c>
      <c r="M46" s="1335">
        <v>2.8210000000000002</v>
      </c>
      <c r="N46" s="1335">
        <v>3.06</v>
      </c>
      <c r="O46" s="1335">
        <f t="shared" si="19"/>
        <v>1553.8963414634145</v>
      </c>
      <c r="P46" s="1334">
        <f t="shared" si="20"/>
        <v>22213.381412549999</v>
      </c>
      <c r="Q46" s="1335">
        <f t="shared" si="21"/>
        <v>7.8513947000000002</v>
      </c>
      <c r="R46" s="1334">
        <f t="shared" si="8"/>
        <v>26081.724710310747</v>
      </c>
      <c r="S46" s="1336">
        <f t="shared" si="9"/>
        <v>1446.1036585365855</v>
      </c>
      <c r="T46" s="1337">
        <f t="shared" si="10"/>
        <v>0.48203455284552849</v>
      </c>
      <c r="U46" s="1338">
        <f t="shared" si="11"/>
        <v>0.51796544715447146</v>
      </c>
      <c r="V46" s="1339">
        <f t="shared" si="12"/>
        <v>24078.056544339099</v>
      </c>
      <c r="W46" s="1339">
        <f t="shared" si="3"/>
        <v>44789.555812678576</v>
      </c>
      <c r="X46" s="1334">
        <f t="shared" si="13"/>
        <v>22445.482010415642</v>
      </c>
      <c r="Y46" s="1334">
        <f t="shared" si="14"/>
        <v>36395.646334000005</v>
      </c>
      <c r="Z46" s="1334">
        <f t="shared" si="4"/>
        <v>45021.782777499997</v>
      </c>
    </row>
    <row r="47" spans="1:26">
      <c r="A47" s="5">
        <v>6</v>
      </c>
      <c r="B47" s="5">
        <v>2018</v>
      </c>
      <c r="C47" s="5" t="s">
        <v>701</v>
      </c>
      <c r="D47" s="1341">
        <f t="shared" si="17"/>
        <v>43252</v>
      </c>
      <c r="E47" s="1335">
        <v>38039</v>
      </c>
      <c r="F47" s="1335">
        <v>41961</v>
      </c>
      <c r="G47" s="1335">
        <v>38039</v>
      </c>
      <c r="H47" s="1335">
        <f>VLOOKUP(D47,'[9]$ to INR'!$R$3:$S$131,2,TRUE)</f>
        <v>67.98</v>
      </c>
      <c r="I47" s="1334">
        <f t="shared" si="18"/>
        <v>39784.990100000003</v>
      </c>
      <c r="J47" s="1334">
        <f t="shared" si="6"/>
        <v>43007.531243999998</v>
      </c>
      <c r="K47" s="1334">
        <v>39785</v>
      </c>
      <c r="L47" s="1335">
        <v>19.850000000000001</v>
      </c>
      <c r="M47" s="1335">
        <v>2.875</v>
      </c>
      <c r="N47" s="1335">
        <v>3.06</v>
      </c>
      <c r="O47" s="1335">
        <f t="shared" si="19"/>
        <v>1553.8963414634145</v>
      </c>
      <c r="P47" s="1334">
        <f t="shared" si="20"/>
        <v>22285.80953328</v>
      </c>
      <c r="Q47" s="1335">
        <f t="shared" si="21"/>
        <v>7.9227125000000003</v>
      </c>
      <c r="R47" s="1334">
        <f t="shared" si="8"/>
        <v>26498.430990900004</v>
      </c>
      <c r="S47" s="1336">
        <f t="shared" si="9"/>
        <v>1446.1036585365855</v>
      </c>
      <c r="T47" s="1337">
        <f t="shared" si="10"/>
        <v>0.48203455284552849</v>
      </c>
      <c r="U47" s="1338">
        <f t="shared" si="11"/>
        <v>0.51796544715447146</v>
      </c>
      <c r="V47" s="1339">
        <f t="shared" si="12"/>
        <v>24316.438633911333</v>
      </c>
      <c r="W47" s="1339">
        <f t="shared" si="3"/>
        <v>42881.765340000005</v>
      </c>
      <c r="X47" s="1334">
        <f t="shared" si="13"/>
        <v>22538.5668207372</v>
      </c>
      <c r="Y47" s="1334">
        <f t="shared" si="14"/>
        <v>41040.315139000006</v>
      </c>
      <c r="Z47" s="1334">
        <f t="shared" si="4"/>
        <v>43031.447136000003</v>
      </c>
    </row>
    <row r="48" spans="1:26">
      <c r="A48" s="5">
        <v>7</v>
      </c>
      <c r="B48" s="5">
        <v>2018</v>
      </c>
      <c r="C48" s="5" t="s">
        <v>702</v>
      </c>
      <c r="D48" s="1341">
        <f t="shared" si="17"/>
        <v>43282</v>
      </c>
      <c r="E48" s="1335">
        <v>38102</v>
      </c>
      <c r="F48" s="1335">
        <v>43382</v>
      </c>
      <c r="G48" s="1335">
        <v>39132</v>
      </c>
      <c r="H48" s="1335">
        <f>VLOOKUP(D48,'[9]$ to INR'!$R$3:$S$131,2,TRUE)</f>
        <v>68.63900000000001</v>
      </c>
      <c r="I48" s="1334">
        <f t="shared" si="18"/>
        <v>39850.881800000003</v>
      </c>
      <c r="J48" s="1334">
        <f t="shared" si="6"/>
        <v>44448.743574427266</v>
      </c>
      <c r="K48" s="1334">
        <v>40928</v>
      </c>
      <c r="L48" s="1335">
        <v>19.977272727272727</v>
      </c>
      <c r="M48" s="1335">
        <v>2.996</v>
      </c>
      <c r="N48" s="1335">
        <v>3.06</v>
      </c>
      <c r="O48" s="1335">
        <f t="shared" si="19"/>
        <v>1553.8963414634145</v>
      </c>
      <c r="P48" s="1334">
        <f t="shared" si="20"/>
        <v>22389.289493304001</v>
      </c>
      <c r="Q48" s="1335">
        <f t="shared" si="21"/>
        <v>8.0825171999999998</v>
      </c>
      <c r="R48" s="1334">
        <f t="shared" si="8"/>
        <v>27294.974186067368</v>
      </c>
      <c r="S48" s="1336">
        <f t="shared" si="9"/>
        <v>1446.1036585365855</v>
      </c>
      <c r="T48" s="1337">
        <f t="shared" si="10"/>
        <v>0.48203455284552849</v>
      </c>
      <c r="U48" s="1338">
        <f t="shared" si="11"/>
        <v>0.51796544715447146</v>
      </c>
      <c r="V48" s="1339">
        <f t="shared" si="12"/>
        <v>24753.999020581345</v>
      </c>
      <c r="W48" s="1339">
        <f t="shared" si="3"/>
        <v>44322.291034227266</v>
      </c>
      <c r="X48" s="1334">
        <f t="shared" si="13"/>
        <v>22683.6305748698</v>
      </c>
      <c r="Y48" s="1334">
        <f t="shared" si="14"/>
        <v>41108.285902000003</v>
      </c>
      <c r="Z48" s="1334">
        <f t="shared" si="4"/>
        <v>44472.794481936362</v>
      </c>
    </row>
    <row r="49" spans="1:26">
      <c r="A49" s="5">
        <v>8</v>
      </c>
      <c r="B49" s="5">
        <v>2018</v>
      </c>
      <c r="C49" s="5" t="s">
        <v>703</v>
      </c>
      <c r="D49" s="1341">
        <f t="shared" si="17"/>
        <v>43313</v>
      </c>
      <c r="E49" s="1335">
        <v>40506</v>
      </c>
      <c r="F49" s="1335">
        <v>44221</v>
      </c>
      <c r="G49" s="1335">
        <v>41554</v>
      </c>
      <c r="H49" s="1335">
        <f>VLOOKUP(D49,'[9]$ to INR'!$R$3:$S$131,2,TRUE)</f>
        <v>69.991250000000008</v>
      </c>
      <c r="I49" s="1334">
        <f t="shared" si="18"/>
        <v>42365.225400000003</v>
      </c>
      <c r="J49" s="1334">
        <f t="shared" si="6"/>
        <v>45196.894494249995</v>
      </c>
      <c r="K49" s="1334">
        <v>43461</v>
      </c>
      <c r="L49" s="1335">
        <v>16.428571428571427</v>
      </c>
      <c r="M49" s="1335">
        <v>2.8220000000000001</v>
      </c>
      <c r="N49" s="1335">
        <v>3.06</v>
      </c>
      <c r="O49" s="1335">
        <f t="shared" si="19"/>
        <v>1553.8963414634145</v>
      </c>
      <c r="P49" s="1334">
        <f t="shared" si="20"/>
        <v>22601.627544809999</v>
      </c>
      <c r="Q49" s="1335">
        <f t="shared" si="21"/>
        <v>7.8527154000000001</v>
      </c>
      <c r="R49" s="1334">
        <f t="shared" si="8"/>
        <v>27041.371243620302</v>
      </c>
      <c r="S49" s="1336">
        <f t="shared" si="9"/>
        <v>1446.1036585365855</v>
      </c>
      <c r="T49" s="1337">
        <f t="shared" si="10"/>
        <v>0.48203455284552849</v>
      </c>
      <c r="U49" s="1338">
        <f t="shared" si="11"/>
        <v>0.51796544715447146</v>
      </c>
      <c r="V49" s="1339">
        <f t="shared" si="12"/>
        <v>24741.737413414776</v>
      </c>
      <c r="W49" s="1339">
        <f t="shared" si="3"/>
        <v>45122.555986249994</v>
      </c>
      <c r="X49" s="1334">
        <f t="shared" si="13"/>
        <v>22868.012166738616</v>
      </c>
      <c r="Y49" s="1334">
        <f t="shared" si="14"/>
        <v>43701.963906000004</v>
      </c>
      <c r="Z49" s="1334">
        <f t="shared" si="4"/>
        <v>45211.490997000001</v>
      </c>
    </row>
    <row r="50" spans="1:26">
      <c r="A50" s="5">
        <v>9</v>
      </c>
      <c r="B50" s="5">
        <v>2018</v>
      </c>
      <c r="C50" s="5" t="s">
        <v>704</v>
      </c>
      <c r="D50" s="1341">
        <f t="shared" si="17"/>
        <v>43344</v>
      </c>
      <c r="E50" s="1335">
        <v>43263</v>
      </c>
      <c r="F50" s="1335">
        <v>48067</v>
      </c>
      <c r="G50" s="1335">
        <v>45787</v>
      </c>
      <c r="H50" s="1335">
        <f>VLOOKUP(D50,'[9]$ to INR'!$R$3:$S$131,2,TRUE)</f>
        <v>72.438000000000002</v>
      </c>
      <c r="I50" s="1334">
        <f t="shared" si="18"/>
        <v>45248.771700000005</v>
      </c>
      <c r="J50" s="1334">
        <f t="shared" si="6"/>
        <v>48905.005623899997</v>
      </c>
      <c r="K50" s="1334">
        <v>47888</v>
      </c>
      <c r="L50" s="1335">
        <v>10.725</v>
      </c>
      <c r="M50" s="1335">
        <v>2.895</v>
      </c>
      <c r="N50" s="1335">
        <v>3.06</v>
      </c>
      <c r="O50" s="1335">
        <f t="shared" si="19"/>
        <v>1553.8963414634145</v>
      </c>
      <c r="P50" s="1334">
        <f t="shared" si="20"/>
        <v>22985.830264368</v>
      </c>
      <c r="Q50" s="1335">
        <f t="shared" si="21"/>
        <v>7.9491265000000002</v>
      </c>
      <c r="R50" s="1334">
        <f t="shared" si="8"/>
        <v>28330.286210024406</v>
      </c>
      <c r="S50" s="1336">
        <f t="shared" si="9"/>
        <v>1446.1036585365855</v>
      </c>
      <c r="T50" s="1337">
        <f t="shared" si="10"/>
        <v>0.48203455284552849</v>
      </c>
      <c r="U50" s="1338">
        <f t="shared" si="11"/>
        <v>0.51796544715447146</v>
      </c>
      <c r="V50" s="1339">
        <f t="shared" si="12"/>
        <v>25562.042696335113</v>
      </c>
      <c r="W50" s="1339">
        <f t="shared" si="3"/>
        <v>48924.528864499996</v>
      </c>
      <c r="X50" s="1334">
        <f t="shared" si="13"/>
        <v>23306.497621107381</v>
      </c>
      <c r="Y50" s="1334">
        <f t="shared" si="14"/>
        <v>46676.493963000001</v>
      </c>
      <c r="Z50" s="1334">
        <f t="shared" si="4"/>
        <v>48902.574123099999</v>
      </c>
    </row>
    <row r="51" spans="1:26">
      <c r="A51" s="5">
        <v>10</v>
      </c>
      <c r="B51" s="5">
        <v>2018</v>
      </c>
      <c r="C51" s="5" t="s">
        <v>705</v>
      </c>
      <c r="D51" s="1341">
        <f t="shared" si="17"/>
        <v>43374</v>
      </c>
      <c r="E51" s="1335">
        <v>48083</v>
      </c>
      <c r="F51" s="1335">
        <v>48491</v>
      </c>
      <c r="G51" s="1335">
        <v>48083</v>
      </c>
      <c r="H51" s="1335">
        <f>VLOOKUP(D51,'[9]$ to INR'!$R$3:$S$131,2,TRUE)</f>
        <v>73.221249999999998</v>
      </c>
      <c r="I51" s="1334">
        <f t="shared" si="18"/>
        <v>50290.009700000002</v>
      </c>
      <c r="J51" s="1334">
        <f t="shared" si="6"/>
        <v>49259.160693141297</v>
      </c>
      <c r="K51" s="1334">
        <v>50290</v>
      </c>
      <c r="L51" s="1335">
        <v>8.3478260869565215</v>
      </c>
      <c r="M51" s="1335">
        <v>3.0209999999999999</v>
      </c>
      <c r="N51" s="1335">
        <v>3.36</v>
      </c>
      <c r="O51" s="1335">
        <f t="shared" si="19"/>
        <v>1553.8963414634145</v>
      </c>
      <c r="P51" s="1334">
        <f t="shared" si="20"/>
        <v>24236.038385039999</v>
      </c>
      <c r="Q51" s="1335">
        <f t="shared" si="21"/>
        <v>8.1155346999999995</v>
      </c>
      <c r="R51" s="1334">
        <f t="shared" si="8"/>
        <v>29236.096081496846</v>
      </c>
      <c r="S51" s="1336">
        <f t="shared" si="9"/>
        <v>1446.1036585365855</v>
      </c>
      <c r="T51" s="1337">
        <f t="shared" si="10"/>
        <v>0.48203455284552849</v>
      </c>
      <c r="U51" s="1338">
        <f t="shared" si="11"/>
        <v>0.51796544715447146</v>
      </c>
      <c r="V51" s="1339">
        <f t="shared" si="12"/>
        <v>26646.238960953415</v>
      </c>
      <c r="W51" s="1339">
        <f t="shared" si="3"/>
        <v>49316.956478749998</v>
      </c>
      <c r="X51" s="1334">
        <f t="shared" si="13"/>
        <v>24536.041846827407</v>
      </c>
      <c r="Y51" s="1334">
        <f t="shared" si="14"/>
        <v>51876.796783000005</v>
      </c>
      <c r="Z51" s="1334">
        <f t="shared" si="4"/>
        <v>49249.782638326084</v>
      </c>
    </row>
    <row r="52" spans="1:26">
      <c r="A52" s="5">
        <v>11</v>
      </c>
      <c r="B52" s="5">
        <v>2018</v>
      </c>
      <c r="C52" s="5" t="s">
        <v>706</v>
      </c>
      <c r="D52" s="1341">
        <f t="shared" si="17"/>
        <v>43405</v>
      </c>
      <c r="E52" s="1335">
        <v>38474</v>
      </c>
      <c r="F52" s="1335">
        <v>35773</v>
      </c>
      <c r="G52" s="1335">
        <v>37406</v>
      </c>
      <c r="H52" s="1335">
        <f>VLOOKUP(D52,'[9]$ to INR'!$R$3:$S$131,2,TRUE)</f>
        <v>71.191249999999997</v>
      </c>
      <c r="I52" s="1334">
        <f t="shared" si="18"/>
        <v>40239.956600000005</v>
      </c>
      <c r="J52" s="1334">
        <f t="shared" si="6"/>
        <v>36400.628327017854</v>
      </c>
      <c r="K52" s="1334">
        <v>39123</v>
      </c>
      <c r="L52" s="1335">
        <v>6.7738095238095237</v>
      </c>
      <c r="M52" s="1335">
        <v>3.1850000000000001</v>
      </c>
      <c r="N52" s="1335">
        <v>3.36</v>
      </c>
      <c r="O52" s="1335">
        <f t="shared" si="19"/>
        <v>1553.8963414634145</v>
      </c>
      <c r="P52" s="1334">
        <f t="shared" si="20"/>
        <v>23886.024940560001</v>
      </c>
      <c r="Q52" s="1335">
        <f t="shared" si="21"/>
        <v>8.3321295000000006</v>
      </c>
      <c r="R52" s="1334">
        <f t="shared" si="8"/>
        <v>29184.195941930255</v>
      </c>
      <c r="S52" s="1336">
        <f t="shared" si="9"/>
        <v>1446.1036585365855</v>
      </c>
      <c r="T52" s="1337">
        <f t="shared" si="10"/>
        <v>0.48203455284552849</v>
      </c>
      <c r="U52" s="1338">
        <f t="shared" si="11"/>
        <v>0.51796544715447146</v>
      </c>
      <c r="V52" s="1339">
        <f t="shared" si="12"/>
        <v>26439.926430104657</v>
      </c>
      <c r="W52" s="1339">
        <f t="shared" si="3"/>
        <v>36453.949961220242</v>
      </c>
      <c r="X52" s="1334">
        <f t="shared" si="13"/>
        <v>24203.915200642215</v>
      </c>
      <c r="Y52" s="1334">
        <f t="shared" si="14"/>
        <v>41509.637073999998</v>
      </c>
      <c r="Z52" s="1334">
        <f t="shared" si="4"/>
        <v>36392.03241845833</v>
      </c>
    </row>
    <row r="53" spans="1:26">
      <c r="A53" s="5">
        <v>12</v>
      </c>
      <c r="B53" s="5">
        <v>2018</v>
      </c>
      <c r="C53" s="5" t="s">
        <v>707</v>
      </c>
      <c r="D53" s="1341">
        <f t="shared" si="17"/>
        <v>43435</v>
      </c>
      <c r="E53" s="1335">
        <v>31506</v>
      </c>
      <c r="F53" s="1335">
        <v>31642</v>
      </c>
      <c r="G53" s="1335">
        <v>29382</v>
      </c>
      <c r="H53" s="1335">
        <f>VLOOKUP(D53,'[9]$ to INR'!$R$3:$S$131,2,TRUE)</f>
        <v>70.48060000000001</v>
      </c>
      <c r="I53" s="1334">
        <f t="shared" si="18"/>
        <v>32952.125400000004</v>
      </c>
      <c r="J53" s="1334">
        <f t="shared" si="6"/>
        <v>32301.446428179999</v>
      </c>
      <c r="K53" s="1334">
        <v>30731</v>
      </c>
      <c r="L53" s="1335">
        <v>8.6944444444444446</v>
      </c>
      <c r="M53" s="1335">
        <v>4.7149999999999999</v>
      </c>
      <c r="N53" s="1335">
        <v>3.36</v>
      </c>
      <c r="O53" s="1335">
        <f t="shared" si="19"/>
        <v>1553.8963414634145</v>
      </c>
      <c r="P53" s="1334">
        <f t="shared" si="20"/>
        <v>23763.494371929602</v>
      </c>
      <c r="Q53" s="1335">
        <f t="shared" si="21"/>
        <v>10.352800500000001</v>
      </c>
      <c r="R53" s="1334">
        <f t="shared" si="8"/>
        <v>35899.842273278766</v>
      </c>
      <c r="S53" s="1336">
        <f t="shared" si="9"/>
        <v>1446.1036585365855</v>
      </c>
      <c r="T53" s="1337">
        <f t="shared" si="10"/>
        <v>0.48203455284552849</v>
      </c>
      <c r="U53" s="1338">
        <f t="shared" si="11"/>
        <v>0.51796544715447146</v>
      </c>
      <c r="V53" s="1339">
        <f t="shared" si="12"/>
        <v>29613.63340573421</v>
      </c>
      <c r="W53" s="1339">
        <f t="shared" si="3"/>
        <v>32315.322092655559</v>
      </c>
      <c r="X53" s="1334">
        <f t="shared" si="13"/>
        <v>24491.675246010553</v>
      </c>
      <c r="Y53" s="1334">
        <f t="shared" si="14"/>
        <v>33991.854906000008</v>
      </c>
      <c r="Z53" s="1334">
        <f t="shared" si="4"/>
        <v>32300.011544264438</v>
      </c>
    </row>
    <row r="54" spans="1:26">
      <c r="A54" s="5">
        <v>1</v>
      </c>
      <c r="B54" s="5">
        <v>2019</v>
      </c>
      <c r="C54" s="5" t="s">
        <v>696</v>
      </c>
      <c r="D54" s="1341">
        <f t="shared" si="17"/>
        <v>43466</v>
      </c>
      <c r="E54" s="1335">
        <v>30431</v>
      </c>
      <c r="F54" s="1335">
        <v>31714</v>
      </c>
      <c r="G54" s="1335">
        <v>29723</v>
      </c>
      <c r="H54" s="1335">
        <f>VLOOKUP(D54,'[9]$ to INR'!$R$3:$S$131,2,TRUE)</f>
        <v>70.98599999999999</v>
      </c>
      <c r="I54" s="1334">
        <f t="shared" si="18"/>
        <v>31827.782900000002</v>
      </c>
      <c r="J54" s="1334">
        <f t="shared" si="6"/>
        <v>32473.028802845452</v>
      </c>
      <c r="K54" s="1334">
        <v>31088</v>
      </c>
      <c r="L54" s="1335">
        <v>11.693181818181818</v>
      </c>
      <c r="M54" s="1335">
        <v>3.6419999999999999</v>
      </c>
      <c r="N54" s="1335">
        <v>3.36</v>
      </c>
      <c r="O54" s="1335">
        <f t="shared" si="19"/>
        <v>1553.8963414634145</v>
      </c>
      <c r="P54" s="1334">
        <f t="shared" si="20"/>
        <v>23850.635650175998</v>
      </c>
      <c r="Q54" s="1335">
        <f t="shared" si="21"/>
        <v>8.9356894000000011</v>
      </c>
      <c r="R54" s="1334">
        <f t="shared" si="8"/>
        <v>31207.995309221282</v>
      </c>
      <c r="S54" s="1336">
        <f t="shared" si="9"/>
        <v>1446.1036585365855</v>
      </c>
      <c r="T54" s="1337">
        <f t="shared" si="10"/>
        <v>0.48203455284552849</v>
      </c>
      <c r="U54" s="1338">
        <f t="shared" si="11"/>
        <v>0.51796544715447146</v>
      </c>
      <c r="V54" s="1339">
        <f t="shared" si="12"/>
        <v>27397.137223547619</v>
      </c>
      <c r="W54" s="1339">
        <f t="shared" si="3"/>
        <v>32439.798073045458</v>
      </c>
      <c r="X54" s="1334">
        <f t="shared" si="13"/>
        <v>24292.077229718714</v>
      </c>
      <c r="Y54" s="1334">
        <f t="shared" si="14"/>
        <v>32832.036331000003</v>
      </c>
      <c r="Z54" s="1334">
        <f t="shared" si="4"/>
        <v>32480.166519427268</v>
      </c>
    </row>
    <row r="55" spans="1:26">
      <c r="A55" s="5">
        <v>2</v>
      </c>
      <c r="B55" s="5">
        <v>2019</v>
      </c>
      <c r="C55" s="5" t="s">
        <v>697</v>
      </c>
      <c r="D55" s="1341">
        <f t="shared" si="17"/>
        <v>43497</v>
      </c>
      <c r="E55" s="1335">
        <v>31308</v>
      </c>
      <c r="F55" s="1335">
        <v>35043</v>
      </c>
      <c r="G55" s="1335">
        <v>33443</v>
      </c>
      <c r="H55" s="1335">
        <f>VLOOKUP(D55,'[9]$ to INR'!$R$3:$S$131,2,TRUE)</f>
        <v>71.134999999999991</v>
      </c>
      <c r="I55" s="1334">
        <f t="shared" si="18"/>
        <v>32745.037200000002</v>
      </c>
      <c r="J55" s="1334">
        <f t="shared" si="6"/>
        <v>35954.110702999998</v>
      </c>
      <c r="K55" s="1334">
        <v>34978</v>
      </c>
      <c r="L55" s="1335">
        <v>15.777777777777779</v>
      </c>
      <c r="M55" s="1335">
        <v>2.95</v>
      </c>
      <c r="N55" s="1335">
        <v>3.36</v>
      </c>
      <c r="O55" s="1335">
        <f t="shared" si="19"/>
        <v>1553.8963414634145</v>
      </c>
      <c r="P55" s="1334">
        <f t="shared" si="20"/>
        <v>23876.32629216</v>
      </c>
      <c r="Q55" s="1335">
        <f t="shared" si="21"/>
        <v>8.0217650000000003</v>
      </c>
      <c r="R55" s="1334">
        <f t="shared" si="8"/>
        <v>28074.910061130002</v>
      </c>
      <c r="S55" s="1336">
        <f t="shared" si="9"/>
        <v>1446.1036585365855</v>
      </c>
      <c r="T55" s="1337">
        <f t="shared" si="10"/>
        <v>0.48203455284552849</v>
      </c>
      <c r="U55" s="1338">
        <f t="shared" si="11"/>
        <v>0.51796544715447146</v>
      </c>
      <c r="V55" s="1339">
        <f t="shared" si="12"/>
        <v>25900.188741819948</v>
      </c>
      <c r="W55" s="1339">
        <f t="shared" si="3"/>
        <v>35864.782606111112</v>
      </c>
      <c r="X55" s="1334">
        <f t="shared" si="13"/>
        <v>24128.241318298198</v>
      </c>
      <c r="Y55" s="1334">
        <f t="shared" si="14"/>
        <v>33778.232508000001</v>
      </c>
      <c r="Z55" s="1334">
        <f t="shared" si="4"/>
        <v>35971.450240888887</v>
      </c>
    </row>
    <row r="56" spans="1:26">
      <c r="A56" s="5">
        <v>3</v>
      </c>
      <c r="B56" s="5">
        <v>2019</v>
      </c>
      <c r="C56" s="5" t="s">
        <v>698</v>
      </c>
      <c r="D56" s="1341">
        <f t="shared" si="17"/>
        <v>43525</v>
      </c>
      <c r="E56" s="1335">
        <v>34012</v>
      </c>
      <c r="F56" s="1335">
        <v>36487</v>
      </c>
      <c r="G56" s="1335">
        <v>36094</v>
      </c>
      <c r="H56" s="1335">
        <f>VLOOKUP(D56,'[9]$ to INR'!$R$3:$S$131,2,TRUE)</f>
        <v>69.3</v>
      </c>
      <c r="I56" s="1334">
        <f t="shared" si="18"/>
        <v>35573.150800000003</v>
      </c>
      <c r="J56" s="1334">
        <f t="shared" si="6"/>
        <v>37405.766640000002</v>
      </c>
      <c r="K56" s="1334">
        <v>37751</v>
      </c>
      <c r="L56" s="1335">
        <v>16.321428571428573</v>
      </c>
      <c r="M56" s="1335">
        <v>2.855</v>
      </c>
      <c r="N56" s="1335">
        <v>3.36</v>
      </c>
      <c r="O56" s="1335">
        <f t="shared" si="19"/>
        <v>1553.8963414634145</v>
      </c>
      <c r="P56" s="1334">
        <f t="shared" si="20"/>
        <v>23559.9348288</v>
      </c>
      <c r="Q56" s="1335">
        <f t="shared" si="21"/>
        <v>7.8962985000000003</v>
      </c>
      <c r="R56" s="1334">
        <f t="shared" si="8"/>
        <v>26922.903513660003</v>
      </c>
      <c r="S56" s="1336">
        <f t="shared" si="9"/>
        <v>1446.1036585365855</v>
      </c>
      <c r="T56" s="1337">
        <f t="shared" si="10"/>
        <v>0.48203455284552849</v>
      </c>
      <c r="U56" s="1338">
        <f t="shared" si="11"/>
        <v>0.51796544715447146</v>
      </c>
      <c r="V56" s="1339">
        <f t="shared" si="12"/>
        <v>25181.001935040003</v>
      </c>
      <c r="W56" s="1339">
        <f t="shared" si="3"/>
        <v>37316.136440000002</v>
      </c>
      <c r="X56" s="1334">
        <f t="shared" si="13"/>
        <v>23761.712949891597</v>
      </c>
      <c r="Y56" s="1334">
        <f t="shared" si="14"/>
        <v>36695.580812</v>
      </c>
      <c r="Z56" s="1334">
        <f t="shared" si="4"/>
        <v>37423.13278</v>
      </c>
    </row>
    <row r="57" spans="1:26">
      <c r="A57" s="5">
        <v>4</v>
      </c>
      <c r="B57" s="5">
        <v>2019</v>
      </c>
      <c r="C57" s="5" t="s">
        <v>699</v>
      </c>
      <c r="D57" s="1341">
        <f t="shared" si="17"/>
        <v>43556</v>
      </c>
      <c r="E57" s="1335">
        <v>35728</v>
      </c>
      <c r="F57" s="1335">
        <v>38818</v>
      </c>
      <c r="G57" s="1335">
        <v>37115</v>
      </c>
      <c r="H57" s="1335">
        <f>VLOOKUP(D57,'[9]$ to INR'!$R$3:$S$131,2,TRUE)</f>
        <v>69.385499999999993</v>
      </c>
      <c r="I57" s="1334">
        <f t="shared" si="18"/>
        <v>37367.915200000003</v>
      </c>
      <c r="J57" s="1334">
        <f t="shared" si="6"/>
        <v>39748.013303507149</v>
      </c>
      <c r="K57" s="1334">
        <v>38819</v>
      </c>
      <c r="L57" s="1335">
        <v>16.202380952380953</v>
      </c>
      <c r="M57" s="1335">
        <v>2.7130000000000001</v>
      </c>
      <c r="N57" s="1335">
        <v>3.69</v>
      </c>
      <c r="O57" s="1335">
        <f t="shared" si="19"/>
        <v>1553.8963414634145</v>
      </c>
      <c r="P57" s="1334">
        <f t="shared" si="20"/>
        <v>24749.661100421999</v>
      </c>
      <c r="Q57" s="1335">
        <f t="shared" si="21"/>
        <v>7.7087591</v>
      </c>
      <c r="R57" s="1334">
        <f t="shared" si="8"/>
        <v>26315.904343026061</v>
      </c>
      <c r="S57" s="1336">
        <f t="shared" si="9"/>
        <v>1446.1036585365855</v>
      </c>
      <c r="T57" s="1337">
        <f t="shared" si="10"/>
        <v>0.48203455284552849</v>
      </c>
      <c r="U57" s="1338">
        <f t="shared" si="11"/>
        <v>0.51796544715447146</v>
      </c>
      <c r="V57" s="1339">
        <f t="shared" si="12"/>
        <v>25504.644461517979</v>
      </c>
      <c r="W57" s="1339">
        <f t="shared" si="3"/>
        <v>39665.62184032143</v>
      </c>
      <c r="X57" s="1334">
        <f t="shared" si="13"/>
        <v>24843.635694978242</v>
      </c>
      <c r="Y57" s="1334">
        <f t="shared" si="14"/>
        <v>38546.974928000003</v>
      </c>
      <c r="Z57" s="1334">
        <f t="shared" si="4"/>
        <v>39764.064629350003</v>
      </c>
    </row>
    <row r="58" spans="1:26">
      <c r="A58" s="5">
        <v>5</v>
      </c>
      <c r="B58" s="5">
        <v>2019</v>
      </c>
      <c r="C58" s="5" t="s">
        <v>700</v>
      </c>
      <c r="D58" s="1341">
        <f t="shared" si="17"/>
        <v>43586</v>
      </c>
      <c r="E58" s="1335">
        <v>36627</v>
      </c>
      <c r="F58" s="1335">
        <v>36862</v>
      </c>
      <c r="G58" s="1335">
        <v>36976</v>
      </c>
      <c r="H58" s="1335">
        <f>VLOOKUP(D58,'[9]$ to INR'!$R$3:$S$131,2,TRUE)</f>
        <v>69.813749999999999</v>
      </c>
      <c r="I58" s="1334">
        <f t="shared" si="18"/>
        <v>38308.179300000003</v>
      </c>
      <c r="J58" s="1334">
        <f t="shared" si="6"/>
        <v>37684.98549144643</v>
      </c>
      <c r="K58" s="1334">
        <v>38673</v>
      </c>
      <c r="L58" s="1335">
        <v>13.035714285714286</v>
      </c>
      <c r="M58" s="1335">
        <v>2.5659999999999998</v>
      </c>
      <c r="N58" s="1335">
        <v>3.69</v>
      </c>
      <c r="O58" s="1335">
        <f t="shared" si="19"/>
        <v>1553.8963414634145</v>
      </c>
      <c r="P58" s="1334">
        <f t="shared" si="20"/>
        <v>24830.752192455002</v>
      </c>
      <c r="Q58" s="1335">
        <f t="shared" si="21"/>
        <v>7.5146161999999999</v>
      </c>
      <c r="R58" s="1334">
        <f t="shared" si="8"/>
        <v>25811.478007251302</v>
      </c>
      <c r="S58" s="1336">
        <f t="shared" si="9"/>
        <v>1446.1036585365855</v>
      </c>
      <c r="T58" s="1337">
        <f t="shared" si="10"/>
        <v>0.48203455284552849</v>
      </c>
      <c r="U58" s="1338">
        <f t="shared" si="11"/>
        <v>0.51796544715447146</v>
      </c>
      <c r="V58" s="1339">
        <f t="shared" si="12"/>
        <v>25303.495922054404</v>
      </c>
      <c r="W58" s="1339">
        <f t="shared" si="3"/>
        <v>37645.409098839285</v>
      </c>
      <c r="X58" s="1334">
        <f t="shared" si="13"/>
        <v>24889.595741342779</v>
      </c>
      <c r="Y58" s="1334">
        <f t="shared" si="14"/>
        <v>39516.906927000004</v>
      </c>
      <c r="Z58" s="1334">
        <f t="shared" si="4"/>
        <v>37693.258869625002</v>
      </c>
    </row>
    <row r="59" spans="1:26">
      <c r="A59" s="5">
        <v>6</v>
      </c>
      <c r="B59" s="5">
        <v>2019</v>
      </c>
      <c r="C59" s="5" t="s">
        <v>701</v>
      </c>
      <c r="D59" s="1341">
        <f t="shared" si="17"/>
        <v>43617</v>
      </c>
      <c r="E59" s="1335">
        <v>29860</v>
      </c>
      <c r="F59" s="1335">
        <v>31495</v>
      </c>
      <c r="G59" s="1335">
        <v>28819</v>
      </c>
      <c r="H59" s="1335">
        <f>VLOOKUP(D59,'[9]$ to INR'!$R$3:$S$131,2,TRUE)</f>
        <v>69.240600000000001</v>
      </c>
      <c r="I59" s="1334">
        <f t="shared" si="18"/>
        <v>31230.574000000001</v>
      </c>
      <c r="J59" s="1334">
        <f t="shared" si="6"/>
        <v>32176.162504995787</v>
      </c>
      <c r="K59" s="1334">
        <v>30141</v>
      </c>
      <c r="L59" s="1335">
        <v>9.6842105263157894</v>
      </c>
      <c r="M59" s="1335">
        <v>2.633</v>
      </c>
      <c r="N59" s="1335">
        <v>3.69</v>
      </c>
      <c r="O59" s="1335">
        <f t="shared" si="19"/>
        <v>1553.8963414634145</v>
      </c>
      <c r="P59" s="1334">
        <f t="shared" si="20"/>
        <v>24722.223624098398</v>
      </c>
      <c r="Q59" s="1335">
        <f t="shared" si="21"/>
        <v>7.6031031000000002</v>
      </c>
      <c r="R59" s="1334">
        <f t="shared" si="8"/>
        <v>25901.016288888313</v>
      </c>
      <c r="S59" s="1336">
        <f t="shared" si="9"/>
        <v>1446.1036585365855</v>
      </c>
      <c r="T59" s="1337">
        <f t="shared" si="10"/>
        <v>0.48203455284552849</v>
      </c>
      <c r="U59" s="1338">
        <f t="shared" si="11"/>
        <v>0.51796544715447146</v>
      </c>
      <c r="V59" s="1339">
        <f t="shared" si="12"/>
        <v>25290.442419167994</v>
      </c>
      <c r="W59" s="1339">
        <f t="shared" si="3"/>
        <v>32175.708466494736</v>
      </c>
      <c r="X59" s="1334">
        <f t="shared" si="13"/>
        <v>24792.951183985791</v>
      </c>
      <c r="Y59" s="1334">
        <f t="shared" si="14"/>
        <v>32215.98386</v>
      </c>
      <c r="Z59" s="1334">
        <f t="shared" si="4"/>
        <v>32177.313880530524</v>
      </c>
    </row>
    <row r="60" spans="1:26">
      <c r="A60" s="5">
        <v>7</v>
      </c>
      <c r="B60" s="5">
        <v>2019</v>
      </c>
      <c r="C60" s="5" t="s">
        <v>702</v>
      </c>
      <c r="D60" s="1341">
        <f t="shared" si="17"/>
        <v>43647</v>
      </c>
      <c r="E60" s="1335">
        <v>25807</v>
      </c>
      <c r="F60" s="1335">
        <v>33741</v>
      </c>
      <c r="G60" s="1335">
        <v>24431</v>
      </c>
      <c r="H60" s="1335">
        <f>VLOOKUP(D60,'[9]$ to INR'!$R$3:$S$131,2,TRUE)</f>
        <v>69</v>
      </c>
      <c r="I60" s="1334">
        <f t="shared" si="18"/>
        <v>26991.541300000001</v>
      </c>
      <c r="J60" s="1334">
        <f t="shared" si="6"/>
        <v>34545.776249999995</v>
      </c>
      <c r="K60" s="1334">
        <v>25552</v>
      </c>
      <c r="L60" s="1335">
        <v>13.282608695652174</v>
      </c>
      <c r="M60" s="1335">
        <v>2.2909999999999999</v>
      </c>
      <c r="N60" s="1335">
        <v>3.69</v>
      </c>
      <c r="O60" s="1335">
        <f t="shared" si="19"/>
        <v>1553.8963414634145</v>
      </c>
      <c r="P60" s="1334">
        <f t="shared" si="20"/>
        <v>24676.664916000002</v>
      </c>
      <c r="Q60" s="1335">
        <f t="shared" si="21"/>
        <v>7.1514237000000005</v>
      </c>
      <c r="R60" s="1334">
        <f t="shared" si="8"/>
        <v>24277.653176760003</v>
      </c>
      <c r="S60" s="1336">
        <f t="shared" si="9"/>
        <v>1446.1036585365855</v>
      </c>
      <c r="T60" s="1337">
        <f t="shared" si="10"/>
        <v>0.48203455284552849</v>
      </c>
      <c r="U60" s="1338">
        <f t="shared" si="11"/>
        <v>0.51796544715447146</v>
      </c>
      <c r="V60" s="1339">
        <f t="shared" si="12"/>
        <v>24484.327470695331</v>
      </c>
      <c r="W60" s="1339">
        <f t="shared" si="3"/>
        <v>34496.400269999998</v>
      </c>
      <c r="X60" s="1334">
        <f t="shared" si="13"/>
        <v>24652.724211645604</v>
      </c>
      <c r="Y60" s="1334">
        <f t="shared" si="14"/>
        <v>27843.198107</v>
      </c>
      <c r="Z60" s="1334">
        <f t="shared" si="4"/>
        <v>34555.818809999997</v>
      </c>
    </row>
    <row r="61" spans="1:26">
      <c r="A61" s="5">
        <v>8</v>
      </c>
      <c r="B61" s="5">
        <v>2019</v>
      </c>
      <c r="C61" s="5" t="s">
        <v>703</v>
      </c>
      <c r="D61" s="1341">
        <f t="shared" si="17"/>
        <v>43678</v>
      </c>
      <c r="E61" s="1335">
        <v>26317</v>
      </c>
      <c r="F61" s="1335">
        <v>31422</v>
      </c>
      <c r="G61" s="1335">
        <v>25606</v>
      </c>
      <c r="H61" s="1335">
        <f>VLOOKUP(D61,'[9]$ to INR'!$R$3:$S$131,2,TRUE)</f>
        <v>71.261250000000004</v>
      </c>
      <c r="I61" s="1334">
        <f t="shared" si="18"/>
        <v>27524.9503</v>
      </c>
      <c r="J61" s="1334">
        <f t="shared" si="6"/>
        <v>32241.806698687498</v>
      </c>
      <c r="K61" s="1334">
        <v>26781</v>
      </c>
      <c r="L61" s="1335">
        <v>13.574999999999999</v>
      </c>
      <c r="M61" s="1335">
        <v>2.141</v>
      </c>
      <c r="N61" s="1335">
        <v>3.69</v>
      </c>
      <c r="O61" s="1335">
        <f t="shared" si="19"/>
        <v>1553.8963414634145</v>
      </c>
      <c r="P61" s="1334">
        <f t="shared" si="20"/>
        <v>25104.842923845001</v>
      </c>
      <c r="Q61" s="1335">
        <f t="shared" si="21"/>
        <v>6.9533187000000005</v>
      </c>
      <c r="R61" s="1334">
        <f t="shared" si="8"/>
        <v>24378.707364750455</v>
      </c>
      <c r="S61" s="1336">
        <f t="shared" si="9"/>
        <v>1446.1036585365855</v>
      </c>
      <c r="T61" s="1337">
        <f t="shared" si="10"/>
        <v>0.48203455284552849</v>
      </c>
      <c r="U61" s="1338">
        <f t="shared" si="11"/>
        <v>0.51796544715447146</v>
      </c>
      <c r="V61" s="1339">
        <f t="shared" si="12"/>
        <v>24754.820494311622</v>
      </c>
      <c r="W61" s="1339">
        <f t="shared" si="3"/>
        <v>32177.940726562498</v>
      </c>
      <c r="X61" s="1334">
        <f t="shared" si="13"/>
        <v>25061.274790299325</v>
      </c>
      <c r="Y61" s="1334">
        <f t="shared" si="14"/>
        <v>28393.437617000003</v>
      </c>
      <c r="Z61" s="1334">
        <f t="shared" si="4"/>
        <v>32254.518708187497</v>
      </c>
    </row>
    <row r="62" spans="1:26">
      <c r="A62" s="5">
        <v>9</v>
      </c>
      <c r="B62" s="5">
        <v>2019</v>
      </c>
      <c r="C62" s="5" t="s">
        <v>704</v>
      </c>
      <c r="D62" s="1341">
        <f t="shared" si="17"/>
        <v>43709</v>
      </c>
      <c r="E62" s="1335">
        <v>24865</v>
      </c>
      <c r="F62" s="1335">
        <v>33511</v>
      </c>
      <c r="G62" s="1335">
        <v>25575</v>
      </c>
      <c r="H62" s="1335">
        <f>VLOOKUP(D62,'[9]$ to INR'!$R$3:$S$131,2,TRUE)</f>
        <v>71.007800000000003</v>
      </c>
      <c r="I62" s="1334">
        <f t="shared" si="18"/>
        <v>26006.303500000002</v>
      </c>
      <c r="J62" s="1334">
        <f t="shared" si="6"/>
        <v>34435.430339697145</v>
      </c>
      <c r="K62" s="1334">
        <v>26749</v>
      </c>
      <c r="L62" s="1335">
        <v>16.523809523809526</v>
      </c>
      <c r="M62" s="1335">
        <v>2.2509999999999999</v>
      </c>
      <c r="N62" s="1335">
        <v>3.69</v>
      </c>
      <c r="O62" s="1335">
        <f t="shared" si="19"/>
        <v>1553.8963414634145</v>
      </c>
      <c r="P62" s="1334">
        <f t="shared" si="20"/>
        <v>25056.851009599202</v>
      </c>
      <c r="Q62" s="1335">
        <f t="shared" si="21"/>
        <v>7.0985957000000006</v>
      </c>
      <c r="R62" s="1334">
        <f t="shared" si="8"/>
        <v>24799.538656325836</v>
      </c>
      <c r="S62" s="1336">
        <f t="shared" si="9"/>
        <v>1446.1036585365855</v>
      </c>
      <c r="T62" s="1337">
        <f t="shared" si="10"/>
        <v>0.48203455284552849</v>
      </c>
      <c r="U62" s="1338">
        <f t="shared" si="11"/>
        <v>0.51796544715447146</v>
      </c>
      <c r="V62" s="1339">
        <f t="shared" si="12"/>
        <v>24932.817564447443</v>
      </c>
      <c r="W62" s="1339">
        <f t="shared" si="3"/>
        <v>34331.051881038096</v>
      </c>
      <c r="X62" s="1334">
        <f t="shared" si="13"/>
        <v>25041.412268402801</v>
      </c>
      <c r="Y62" s="1334">
        <f t="shared" si="14"/>
        <v>26826.873364999999</v>
      </c>
      <c r="Z62" s="1334">
        <f t="shared" si="4"/>
        <v>34455.504343493332</v>
      </c>
    </row>
    <row r="63" spans="1:26">
      <c r="A63" s="5">
        <v>10</v>
      </c>
      <c r="B63" s="5">
        <v>2019</v>
      </c>
      <c r="C63" s="5" t="s">
        <v>705</v>
      </c>
      <c r="D63" s="1341">
        <f t="shared" si="17"/>
        <v>43739</v>
      </c>
      <c r="E63" s="1335">
        <v>29777</v>
      </c>
      <c r="F63" s="1335">
        <v>33498</v>
      </c>
      <c r="G63" s="1335">
        <v>30841</v>
      </c>
      <c r="H63" s="1335">
        <f>VLOOKUP(D63,'[9]$ to INR'!$R$3:$S$131,2,TRUE)</f>
        <v>70.898499999999999</v>
      </c>
      <c r="I63" s="1334">
        <f t="shared" si="18"/>
        <v>31143.764300000003</v>
      </c>
      <c r="J63" s="1334">
        <f t="shared" si="6"/>
        <v>35055.66729761818</v>
      </c>
      <c r="K63" s="1334">
        <v>32256</v>
      </c>
      <c r="L63" s="1335">
        <v>36.409090909090907</v>
      </c>
      <c r="M63" s="1335">
        <v>2.4279999999999999</v>
      </c>
      <c r="N63" s="1335">
        <v>3.23</v>
      </c>
      <c r="O63" s="1335">
        <f t="shared" si="19"/>
        <v>1553.8963414634145</v>
      </c>
      <c r="P63" s="1334">
        <f t="shared" si="20"/>
        <v>23362.582985118002</v>
      </c>
      <c r="Q63" s="1335">
        <f t="shared" si="21"/>
        <v>7.3323596000000002</v>
      </c>
      <c r="R63" s="1334">
        <f t="shared" si="8"/>
        <v>25576.782217349522</v>
      </c>
      <c r="S63" s="1336">
        <f t="shared" si="9"/>
        <v>1446.1036585365855</v>
      </c>
      <c r="T63" s="1337">
        <f t="shared" si="10"/>
        <v>0.48203455284552849</v>
      </c>
      <c r="U63" s="1338">
        <f t="shared" si="11"/>
        <v>0.51796544715447146</v>
      </c>
      <c r="V63" s="1339">
        <f t="shared" si="12"/>
        <v>24429.903521937635</v>
      </c>
      <c r="W63" s="1339">
        <f t="shared" si="3"/>
        <v>34641.378817818179</v>
      </c>
      <c r="X63" s="1334">
        <f t="shared" si="13"/>
        <v>23495.434939051891</v>
      </c>
      <c r="Y63" s="1334">
        <f t="shared" si="14"/>
        <v>32126.435077000002</v>
      </c>
      <c r="Z63" s="1334">
        <f t="shared" si="4"/>
        <v>35132.086890790903</v>
      </c>
    </row>
    <row r="64" spans="1:26">
      <c r="A64" s="5">
        <v>11</v>
      </c>
      <c r="B64" s="5">
        <v>2019</v>
      </c>
      <c r="C64" s="5" t="s">
        <v>706</v>
      </c>
      <c r="D64" s="1341">
        <f t="shared" si="17"/>
        <v>43770</v>
      </c>
      <c r="E64" s="1335">
        <v>30786</v>
      </c>
      <c r="F64" s="1335">
        <v>35966</v>
      </c>
      <c r="G64" s="1335">
        <v>31860</v>
      </c>
      <c r="H64" s="1335">
        <f>VLOOKUP(D64,'[9]$ to INR'!$R$3:$S$131,2,TRUE)</f>
        <v>71.637749999999997</v>
      </c>
      <c r="I64" s="1334">
        <f t="shared" si="18"/>
        <v>32199.077400000002</v>
      </c>
      <c r="J64" s="1334">
        <f t="shared" si="6"/>
        <v>37460.481930342859</v>
      </c>
      <c r="K64" s="1334">
        <v>33323</v>
      </c>
      <c r="L64" s="1335">
        <v>33.547619047619051</v>
      </c>
      <c r="M64" s="1335">
        <v>2.597</v>
      </c>
      <c r="N64" s="1335">
        <v>3.23</v>
      </c>
      <c r="O64" s="1335">
        <f t="shared" si="19"/>
        <v>1553.8963414634145</v>
      </c>
      <c r="P64" s="1334">
        <f t="shared" si="20"/>
        <v>23485.113220196999</v>
      </c>
      <c r="Q64" s="1335">
        <f t="shared" si="21"/>
        <v>7.5555579000000002</v>
      </c>
      <c r="R64" s="1334">
        <f t="shared" si="8"/>
        <v>26630.147863175673</v>
      </c>
      <c r="S64" s="1336">
        <f t="shared" si="9"/>
        <v>1446.1036585365855</v>
      </c>
      <c r="T64" s="1337">
        <f t="shared" si="10"/>
        <v>0.48203455284552849</v>
      </c>
      <c r="U64" s="1338">
        <f t="shared" si="11"/>
        <v>0.51796544715447146</v>
      </c>
      <c r="V64" s="1339">
        <f t="shared" si="12"/>
        <v>25001.12858800892</v>
      </c>
      <c r="W64" s="1339">
        <f t="shared" si="3"/>
        <v>37092.09868792857</v>
      </c>
      <c r="X64" s="1334">
        <f t="shared" si="13"/>
        <v>23673.81529877572</v>
      </c>
      <c r="Y64" s="1334">
        <f t="shared" si="14"/>
        <v>33215.046186000007</v>
      </c>
      <c r="Z64" s="1334">
        <f t="shared" si="4"/>
        <v>37528.566528049996</v>
      </c>
    </row>
    <row r="65" spans="1:26">
      <c r="A65" s="5">
        <v>12</v>
      </c>
      <c r="B65" s="5">
        <v>2019</v>
      </c>
      <c r="C65" s="5" t="s">
        <v>707</v>
      </c>
      <c r="D65" s="1341">
        <f t="shared" si="17"/>
        <v>43800</v>
      </c>
      <c r="E65" s="1335">
        <v>31325</v>
      </c>
      <c r="F65" s="1335">
        <v>37493</v>
      </c>
      <c r="G65" s="1335">
        <v>32393</v>
      </c>
      <c r="H65" s="1335">
        <f>VLOOKUP(D65,'[9]$ to INR'!$R$3:$S$131,2,TRUE)</f>
        <v>71.273200000000003</v>
      </c>
      <c r="I65" s="1334">
        <f t="shared" si="18"/>
        <v>32762.817500000001</v>
      </c>
      <c r="J65" s="1334">
        <f t="shared" si="6"/>
        <v>39394.188773531423</v>
      </c>
      <c r="K65" s="1334">
        <v>33880</v>
      </c>
      <c r="L65" s="1335">
        <v>46.142857142857146</v>
      </c>
      <c r="M65" s="1335">
        <v>2.4700000000000002</v>
      </c>
      <c r="N65" s="1335">
        <v>3.23</v>
      </c>
      <c r="O65" s="1335">
        <f t="shared" si="19"/>
        <v>1553.8963414634145</v>
      </c>
      <c r="P65" s="1334">
        <f t="shared" si="20"/>
        <v>23424.689280801598</v>
      </c>
      <c r="Q65" s="1335">
        <f t="shared" si="21"/>
        <v>7.387829</v>
      </c>
      <c r="R65" s="1334">
        <f t="shared" si="8"/>
        <v>25906.467323033765</v>
      </c>
      <c r="S65" s="1336">
        <f t="shared" si="9"/>
        <v>1446.1036585365855</v>
      </c>
      <c r="T65" s="1337">
        <f t="shared" si="10"/>
        <v>0.48203455284552849</v>
      </c>
      <c r="U65" s="1338">
        <f t="shared" si="11"/>
        <v>0.51796544715447146</v>
      </c>
      <c r="V65" s="1339">
        <f t="shared" si="12"/>
        <v>24620.992049650831</v>
      </c>
      <c r="W65" s="1339">
        <f t="shared" si="3"/>
        <v>38834.323772914286</v>
      </c>
      <c r="X65" s="1334">
        <f t="shared" si="13"/>
        <v>23573.595963335527</v>
      </c>
      <c r="Y65" s="1334">
        <f t="shared" si="14"/>
        <v>33796.573824999999</v>
      </c>
      <c r="Z65" s="1334">
        <f t="shared" si="4"/>
        <v>39497.082609039993</v>
      </c>
    </row>
    <row r="66" spans="1:26">
      <c r="A66" s="5">
        <v>1</v>
      </c>
      <c r="B66" s="5">
        <v>2020</v>
      </c>
      <c r="C66" s="5" t="s">
        <v>696</v>
      </c>
      <c r="D66" s="1341">
        <f t="shared" si="17"/>
        <v>43831</v>
      </c>
      <c r="E66" s="1335">
        <v>40266</v>
      </c>
      <c r="F66" s="1335">
        <v>36679</v>
      </c>
      <c r="G66" s="1335">
        <v>42047</v>
      </c>
      <c r="H66" s="1335">
        <f>VLOOKUP(D66,'[9]$ to INR'!$R$3:$S$131,2,TRUE)</f>
        <v>71.230999999999995</v>
      </c>
      <c r="I66" s="1334">
        <f t="shared" si="18"/>
        <v>42114.2094</v>
      </c>
      <c r="J66" s="1334">
        <f t="shared" si="6"/>
        <v>38199.546768228567</v>
      </c>
      <c r="K66" s="1334">
        <v>43977</v>
      </c>
      <c r="L66" s="1335">
        <v>34.452380952380949</v>
      </c>
      <c r="M66" s="1335">
        <v>2.1579999999999999</v>
      </c>
      <c r="N66" s="1335">
        <v>3.23</v>
      </c>
      <c r="O66" s="1335">
        <f t="shared" si="19"/>
        <v>1553.8963414634145</v>
      </c>
      <c r="P66" s="1334">
        <f t="shared" si="20"/>
        <v>23417.694656627998</v>
      </c>
      <c r="Q66" s="1335">
        <f t="shared" si="21"/>
        <v>6.9757706000000006</v>
      </c>
      <c r="R66" s="1334">
        <f t="shared" si="8"/>
        <v>24447.04288794312</v>
      </c>
      <c r="S66" s="1336">
        <f t="shared" si="9"/>
        <v>1446.1036585365855</v>
      </c>
      <c r="T66" s="1337">
        <f t="shared" si="10"/>
        <v>0.48203455284552849</v>
      </c>
      <c r="U66" s="1338">
        <f t="shared" si="11"/>
        <v>0.51796544715447146</v>
      </c>
      <c r="V66" s="1339">
        <f t="shared" si="12"/>
        <v>23913.876071032319</v>
      </c>
      <c r="W66" s="1339">
        <f t="shared" si="3"/>
        <v>37821.296446952379</v>
      </c>
      <c r="X66" s="1334">
        <f t="shared" si="13"/>
        <v>23479.455550506904</v>
      </c>
      <c r="Y66" s="1334">
        <f t="shared" si="14"/>
        <v>43443.027666000002</v>
      </c>
      <c r="Z66" s="1334">
        <f t="shared" si="4"/>
        <v>38269.419101533334</v>
      </c>
    </row>
    <row r="67" spans="1:26">
      <c r="A67" s="5">
        <v>2</v>
      </c>
      <c r="B67" s="5">
        <v>2020</v>
      </c>
      <c r="C67" s="5" t="s">
        <v>697</v>
      </c>
      <c r="D67" s="1341">
        <f t="shared" si="17"/>
        <v>43862</v>
      </c>
      <c r="E67" s="1335">
        <v>36292</v>
      </c>
      <c r="F67" s="1335">
        <v>32326</v>
      </c>
      <c r="G67" s="1335">
        <v>39167</v>
      </c>
      <c r="H67" s="1335">
        <f>VLOOKUP(D67,'[9]$ to INR'!$R$3:$S$131,2,TRUE)</f>
        <v>71.865499999999997</v>
      </c>
      <c r="I67" s="1334">
        <f t="shared" si="18"/>
        <v>37957.802800000005</v>
      </c>
      <c r="J67" s="1334">
        <f t="shared" si="6"/>
        <v>33686.174287149996</v>
      </c>
      <c r="K67" s="1334">
        <v>40964</v>
      </c>
      <c r="L67" s="1335">
        <v>29.95</v>
      </c>
      <c r="M67" s="1335">
        <v>1.877</v>
      </c>
      <c r="N67" s="1335">
        <v>3.23</v>
      </c>
      <c r="O67" s="1335">
        <f t="shared" si="19"/>
        <v>1553.8963414634145</v>
      </c>
      <c r="P67" s="1334">
        <f t="shared" si="20"/>
        <v>23522.862643314002</v>
      </c>
      <c r="Q67" s="1335">
        <f t="shared" si="21"/>
        <v>6.6046539000000006</v>
      </c>
      <c r="R67" s="1334">
        <f t="shared" si="8"/>
        <v>23352.620338642144</v>
      </c>
      <c r="S67" s="1336">
        <f t="shared" si="9"/>
        <v>1446.1036585365855</v>
      </c>
      <c r="T67" s="1337">
        <f t="shared" si="10"/>
        <v>0.48203455284552849</v>
      </c>
      <c r="U67" s="1338">
        <f t="shared" si="11"/>
        <v>0.51796544715447146</v>
      </c>
      <c r="V67" s="1339">
        <f t="shared" si="12"/>
        <v>23440.799970106109</v>
      </c>
      <c r="W67" s="1339">
        <f t="shared" ref="W67:W97" si="22">(1.011*F67+0.02*H67)*0.55+0.22*(1.011*F67+17*H67)+0.23*(F67+L67*H67)</f>
        <v>33364.414207249996</v>
      </c>
      <c r="X67" s="1334">
        <f t="shared" si="13"/>
        <v>23512.648105033688</v>
      </c>
      <c r="Y67" s="1334">
        <f t="shared" si="14"/>
        <v>39155.475092000001</v>
      </c>
      <c r="Z67" s="1334">
        <f t="shared" ref="Z67:Z97" si="23">(1.011*F67+0.02*H67)*0.36+0.15*(1.011*F67+17*H67)+0.49*(F67+L67*H67)</f>
        <v>33745.785461849999</v>
      </c>
    </row>
    <row r="68" spans="1:26">
      <c r="A68" s="5">
        <v>3</v>
      </c>
      <c r="B68" s="5">
        <v>2020</v>
      </c>
      <c r="C68" s="5" t="s">
        <v>698</v>
      </c>
      <c r="D68" s="1341">
        <f t="shared" si="17"/>
        <v>43891</v>
      </c>
      <c r="E68" s="1335">
        <v>32173</v>
      </c>
      <c r="F68" s="1335">
        <v>18359</v>
      </c>
      <c r="G68" s="1335">
        <v>35914</v>
      </c>
      <c r="H68" s="1335">
        <f>VLOOKUP(D68,'[9]$ to INR'!$R$3:$S$131,2,TRUE)</f>
        <v>74.991</v>
      </c>
      <c r="I68" s="1334">
        <f t="shared" si="18"/>
        <v>33649.740700000002</v>
      </c>
      <c r="J68" s="1334">
        <f t="shared" ref="J68:J97" si="24">(1.011*F68+0.02*H68)*0.39+0.16*(1.011*F68+17*H68)+0.45*(F68+L68*H68)</f>
        <v>19267.487385027271</v>
      </c>
      <c r="K68" s="1334">
        <v>37562</v>
      </c>
      <c r="L68" s="1335">
        <v>17.568181818181817</v>
      </c>
      <c r="M68" s="1335">
        <v>1.821</v>
      </c>
      <c r="N68" s="1335">
        <v>3.23</v>
      </c>
      <c r="O68" s="1335">
        <f t="shared" si="19"/>
        <v>1553.8963414634145</v>
      </c>
      <c r="P68" s="1334">
        <f t="shared" si="20"/>
        <v>24040.912355508</v>
      </c>
      <c r="Q68" s="1335">
        <f t="shared" si="21"/>
        <v>6.5306946999999997</v>
      </c>
      <c r="R68" s="1334">
        <f t="shared" ref="R68:R97" si="25">Q68*49.2*H68</f>
        <v>24095.371651386842</v>
      </c>
      <c r="S68" s="1336">
        <f t="shared" ref="S68:S97" si="26">3000-O68</f>
        <v>1446.1036585365855</v>
      </c>
      <c r="T68" s="1337">
        <f t="shared" ref="T68:T97" si="27">S68/3000</f>
        <v>0.48203455284552849</v>
      </c>
      <c r="U68" s="1338">
        <f t="shared" ref="U68:U97" si="28">100%-T68</f>
        <v>0.51796544715447146</v>
      </c>
      <c r="V68" s="1339">
        <f t="shared" ref="V68:V97" si="29">(T68*R68)+(U68*P68)</f>
        <v>24067.163617845239</v>
      </c>
      <c r="W68" s="1339">
        <f t="shared" si="22"/>
        <v>19098.806741227272</v>
      </c>
      <c r="X68" s="1334">
        <f t="shared" ref="X68:X97" si="30">0.94*P68+0.06*R68</f>
        <v>24044.179913260727</v>
      </c>
      <c r="Y68" s="1334">
        <f t="shared" ref="Y68:Y97" si="31">0.39*I68+0.61*1.1*E68</f>
        <v>34711.481873000004</v>
      </c>
      <c r="Z68" s="1334">
        <f t="shared" si="23"/>
        <v>19299.314181336362</v>
      </c>
    </row>
    <row r="69" spans="1:26">
      <c r="A69" s="5">
        <v>4</v>
      </c>
      <c r="B69" s="5">
        <v>2020</v>
      </c>
      <c r="C69" s="5" t="s">
        <v>699</v>
      </c>
      <c r="D69" s="1341">
        <f t="shared" si="17"/>
        <v>43922</v>
      </c>
      <c r="E69" s="1335">
        <v>17517</v>
      </c>
      <c r="F69" s="1335">
        <v>8251</v>
      </c>
      <c r="G69" s="1335">
        <v>18278</v>
      </c>
      <c r="H69" s="1335">
        <f>VLOOKUP(D69,'[9]$ to INR'!$R$3:$S$131,2,TRUE)</f>
        <v>76.111999999999995</v>
      </c>
      <c r="I69" s="1334">
        <f t="shared" si="18"/>
        <v>18321.030300000002</v>
      </c>
      <c r="J69" s="1334">
        <f t="shared" si="24"/>
        <v>8796.4033207428565</v>
      </c>
      <c r="K69" s="1334">
        <v>19117</v>
      </c>
      <c r="L69" s="1335">
        <v>8.4047619047619051</v>
      </c>
      <c r="M69" s="1335">
        <v>1.6339999999999999</v>
      </c>
      <c r="N69" s="1335">
        <v>2.39</v>
      </c>
      <c r="O69" s="1335">
        <f t="shared" si="19"/>
        <v>1553.8963414634145</v>
      </c>
      <c r="P69" s="1334">
        <f t="shared" si="20"/>
        <v>20945.901743808005</v>
      </c>
      <c r="Q69" s="1335">
        <f t="shared" si="21"/>
        <v>6.2837238000000006</v>
      </c>
      <c r="R69" s="1334">
        <f t="shared" si="25"/>
        <v>23530.725864587523</v>
      </c>
      <c r="S69" s="1336">
        <f t="shared" si="26"/>
        <v>1446.1036585365855</v>
      </c>
      <c r="T69" s="1337">
        <f t="shared" si="27"/>
        <v>0.48203455284552849</v>
      </c>
      <c r="U69" s="1338">
        <f t="shared" si="28"/>
        <v>0.51796544715447146</v>
      </c>
      <c r="V69" s="1339">
        <f t="shared" si="29"/>
        <v>22191.876283052297</v>
      </c>
      <c r="W69" s="1339">
        <f t="shared" si="22"/>
        <v>8753.5138267619041</v>
      </c>
      <c r="X69" s="1334">
        <f t="shared" si="30"/>
        <v>21100.991191054774</v>
      </c>
      <c r="Y69" s="1334">
        <f t="shared" si="31"/>
        <v>18899.108817</v>
      </c>
      <c r="Z69" s="1334">
        <f t="shared" si="23"/>
        <v>8805.3763030666669</v>
      </c>
    </row>
    <row r="70" spans="1:26">
      <c r="A70" s="5">
        <v>5</v>
      </c>
      <c r="B70" s="5">
        <v>2020</v>
      </c>
      <c r="C70" s="5" t="s">
        <v>700</v>
      </c>
      <c r="D70" s="1341">
        <f t="shared" si="17"/>
        <v>43952</v>
      </c>
      <c r="E70" s="1335">
        <v>25754</v>
      </c>
      <c r="F70" s="1335">
        <v>14695</v>
      </c>
      <c r="G70" s="1335">
        <v>25754</v>
      </c>
      <c r="H70" s="1335">
        <f>VLOOKUP(D70,'[9]$ to INR'!$R$3:$S$131,2,TRUE)</f>
        <v>75.695999999999998</v>
      </c>
      <c r="I70" s="1334">
        <f t="shared" si="18"/>
        <v>26936.1086</v>
      </c>
      <c r="J70" s="1334">
        <f t="shared" si="24"/>
        <v>15522.152698799999</v>
      </c>
      <c r="K70" s="1334">
        <v>26936</v>
      </c>
      <c r="L70" s="1335">
        <v>15.611111111111111</v>
      </c>
      <c r="M70" s="1335">
        <v>1.794</v>
      </c>
      <c r="N70" s="1335">
        <v>2.39</v>
      </c>
      <c r="O70" s="1335">
        <f t="shared" si="19"/>
        <v>1553.8963414634145</v>
      </c>
      <c r="P70" s="1334">
        <f t="shared" si="20"/>
        <v>20894.881721664002</v>
      </c>
      <c r="Q70" s="1335">
        <f t="shared" si="21"/>
        <v>6.4950358000000001</v>
      </c>
      <c r="R70" s="1334">
        <f t="shared" si="25"/>
        <v>24189.092911906562</v>
      </c>
      <c r="S70" s="1336">
        <f t="shared" si="26"/>
        <v>1446.1036585365855</v>
      </c>
      <c r="T70" s="1337">
        <f t="shared" si="27"/>
        <v>0.48203455284552849</v>
      </c>
      <c r="U70" s="1338">
        <f t="shared" si="28"/>
        <v>0.51796544715447146</v>
      </c>
      <c r="V70" s="1339">
        <f t="shared" si="29"/>
        <v>22482.805339731309</v>
      </c>
      <c r="W70" s="1339">
        <f t="shared" si="22"/>
        <v>15375.193039333331</v>
      </c>
      <c r="X70" s="1334">
        <f t="shared" si="30"/>
        <v>21092.534393078553</v>
      </c>
      <c r="Y70" s="1334">
        <f t="shared" si="31"/>
        <v>27786.016353999999</v>
      </c>
      <c r="Z70" s="1334">
        <f t="shared" si="23"/>
        <v>15550.041107866666</v>
      </c>
    </row>
    <row r="71" spans="1:26">
      <c r="A71" s="5">
        <v>6</v>
      </c>
      <c r="B71" s="5">
        <v>2020</v>
      </c>
      <c r="C71" s="5" t="s">
        <v>701</v>
      </c>
      <c r="D71" s="1341">
        <f t="shared" si="17"/>
        <v>43983</v>
      </c>
      <c r="E71" s="1335">
        <v>26516</v>
      </c>
      <c r="F71" s="1335">
        <v>25514</v>
      </c>
      <c r="G71" s="1335">
        <v>25001</v>
      </c>
      <c r="H71" s="1335">
        <f>VLOOKUP(D71,'[9]$ to INR'!$R$3:$S$131,2,TRUE)</f>
        <v>75.641500000000008</v>
      </c>
      <c r="I71" s="1334">
        <f t="shared" si="18"/>
        <v>27733.0844</v>
      </c>
      <c r="J71" s="1334">
        <f t="shared" si="24"/>
        <v>26642.498786824999</v>
      </c>
      <c r="K71" s="1334">
        <v>26148</v>
      </c>
      <c r="L71" s="1335">
        <v>22.556818181818183</v>
      </c>
      <c r="M71" s="1335">
        <v>1.722</v>
      </c>
      <c r="N71" s="1335">
        <v>2.39</v>
      </c>
      <c r="O71" s="1335">
        <f t="shared" si="19"/>
        <v>1553.8963414634145</v>
      </c>
      <c r="P71" s="1334">
        <f t="shared" si="20"/>
        <v>20888.197608186005</v>
      </c>
      <c r="Q71" s="1335">
        <f t="shared" si="21"/>
        <v>6.3999454</v>
      </c>
      <c r="R71" s="1334">
        <f t="shared" si="25"/>
        <v>23817.792322725727</v>
      </c>
      <c r="S71" s="1336">
        <f t="shared" si="26"/>
        <v>1446.1036585365855</v>
      </c>
      <c r="T71" s="1337">
        <f t="shared" si="27"/>
        <v>0.48203455284552849</v>
      </c>
      <c r="U71" s="1338">
        <f t="shared" si="28"/>
        <v>0.51796544715447146</v>
      </c>
      <c r="V71" s="1339">
        <f t="shared" si="29"/>
        <v>22300.363486427781</v>
      </c>
      <c r="W71" s="1339">
        <f t="shared" si="22"/>
        <v>26406.268105875002</v>
      </c>
      <c r="X71" s="1334">
        <f t="shared" si="30"/>
        <v>21063.973291058388</v>
      </c>
      <c r="Y71" s="1334">
        <f t="shared" si="31"/>
        <v>28608.138916000004</v>
      </c>
      <c r="Z71" s="1334">
        <f t="shared" si="23"/>
        <v>26686.617449425001</v>
      </c>
    </row>
    <row r="72" spans="1:26">
      <c r="A72" s="5">
        <v>7</v>
      </c>
      <c r="B72" s="5">
        <v>2020</v>
      </c>
      <c r="C72" s="5" t="s">
        <v>702</v>
      </c>
      <c r="D72" s="1341">
        <f t="shared" si="17"/>
        <v>44013</v>
      </c>
      <c r="E72" s="1335">
        <v>26959</v>
      </c>
      <c r="F72" s="1335">
        <v>28109</v>
      </c>
      <c r="G72" s="1335">
        <v>25462</v>
      </c>
      <c r="H72" s="1335">
        <f>VLOOKUP(D72,'[9]$ to INR'!$R$3:$S$131,2,TRUE)</f>
        <v>74.941999999999993</v>
      </c>
      <c r="I72" s="1334">
        <f t="shared" si="18"/>
        <v>28196.418100000003</v>
      </c>
      <c r="J72" s="1334">
        <f t="shared" si="24"/>
        <v>29295.268687600001</v>
      </c>
      <c r="K72" s="1334">
        <v>26630</v>
      </c>
      <c r="L72" s="1335">
        <v>24.071428571428573</v>
      </c>
      <c r="M72" s="1335">
        <v>1.4950000000000001</v>
      </c>
      <c r="N72" s="1335">
        <v>2.39</v>
      </c>
      <c r="O72" s="1335">
        <f t="shared" si="19"/>
        <v>1553.8963414634145</v>
      </c>
      <c r="P72" s="1334">
        <f t="shared" si="20"/>
        <v>20802.407931528</v>
      </c>
      <c r="Q72" s="1335">
        <f t="shared" si="21"/>
        <v>6.1001465000000001</v>
      </c>
      <c r="R72" s="1334">
        <f t="shared" si="25"/>
        <v>22492.133206947598</v>
      </c>
      <c r="S72" s="1336">
        <f t="shared" si="26"/>
        <v>1446.1036585365855</v>
      </c>
      <c r="T72" s="1337">
        <f t="shared" si="27"/>
        <v>0.48203455284552849</v>
      </c>
      <c r="U72" s="1338">
        <f t="shared" si="28"/>
        <v>0.51796544715447146</v>
      </c>
      <c r="V72" s="1339">
        <f t="shared" si="29"/>
        <v>21616.913899096671</v>
      </c>
      <c r="W72" s="1339">
        <f t="shared" si="22"/>
        <v>29043.101701999996</v>
      </c>
      <c r="X72" s="1334">
        <f t="shared" si="30"/>
        <v>20903.791448053176</v>
      </c>
      <c r="Y72" s="1334">
        <f t="shared" si="31"/>
        <v>29086.092059000002</v>
      </c>
      <c r="Z72" s="1334">
        <f t="shared" si="23"/>
        <v>29342.2740624</v>
      </c>
    </row>
    <row r="73" spans="1:26">
      <c r="A73" s="5">
        <v>8</v>
      </c>
      <c r="B73" s="5">
        <v>2020</v>
      </c>
      <c r="C73" s="5" t="s">
        <v>703</v>
      </c>
      <c r="D73" s="1341">
        <f t="shared" si="17"/>
        <v>44044</v>
      </c>
      <c r="E73" s="1335">
        <v>27156</v>
      </c>
      <c r="F73" s="1335">
        <v>27974</v>
      </c>
      <c r="G73" s="1335">
        <v>25668</v>
      </c>
      <c r="H73" s="1335">
        <f>VLOOKUP(D73,'[9]$ to INR'!$R$3:$S$131,2,TRUE)</f>
        <v>74.241799999999984</v>
      </c>
      <c r="I73" s="1334">
        <f t="shared" si="18"/>
        <v>28402.4604</v>
      </c>
      <c r="J73" s="1334">
        <f t="shared" si="24"/>
        <v>28670.242549164999</v>
      </c>
      <c r="K73" s="1334">
        <v>26846</v>
      </c>
      <c r="L73" s="1335">
        <v>9.7125000000000004</v>
      </c>
      <c r="M73" s="1335">
        <v>1.8540000000000001</v>
      </c>
      <c r="N73" s="1335">
        <v>2.39</v>
      </c>
      <c r="O73" s="1335">
        <f t="shared" si="19"/>
        <v>1553.8963414634145</v>
      </c>
      <c r="P73" s="1334">
        <f t="shared" si="20"/>
        <v>20716.532403871199</v>
      </c>
      <c r="Q73" s="1335">
        <f t="shared" si="21"/>
        <v>6.5742778000000008</v>
      </c>
      <c r="R73" s="1334">
        <f t="shared" si="25"/>
        <v>24013.841904544366</v>
      </c>
      <c r="S73" s="1336">
        <f t="shared" si="26"/>
        <v>1446.1036585365855</v>
      </c>
      <c r="T73" s="1337">
        <f t="shared" si="27"/>
        <v>0.48203455284552849</v>
      </c>
      <c r="U73" s="1338">
        <f t="shared" si="28"/>
        <v>0.51796544715447146</v>
      </c>
      <c r="V73" s="1339">
        <f t="shared" si="29"/>
        <v>22305.949514621501</v>
      </c>
      <c r="W73" s="1339">
        <f t="shared" si="22"/>
        <v>28655.267672775</v>
      </c>
      <c r="X73" s="1334">
        <f t="shared" si="30"/>
        <v>20914.370973911587</v>
      </c>
      <c r="Y73" s="1334">
        <f t="shared" si="31"/>
        <v>29298.635556000001</v>
      </c>
      <c r="Z73" s="1334">
        <f t="shared" si="23"/>
        <v>28674.111277384996</v>
      </c>
    </row>
    <row r="74" spans="1:26">
      <c r="A74" s="5">
        <v>9</v>
      </c>
      <c r="B74" s="5">
        <v>2020</v>
      </c>
      <c r="C74" s="5" t="s">
        <v>704</v>
      </c>
      <c r="D74" s="1341">
        <f t="shared" si="17"/>
        <v>44075</v>
      </c>
      <c r="E74" s="1335">
        <v>26814</v>
      </c>
      <c r="F74" s="1335">
        <v>27615</v>
      </c>
      <c r="G74" s="1335">
        <v>26080</v>
      </c>
      <c r="H74" s="1335">
        <f>VLOOKUP(D74,'[9]$ to INR'!$R$3:$S$131,2,TRUE)</f>
        <v>73.482000000000014</v>
      </c>
      <c r="I74" s="1334">
        <f t="shared" si="18"/>
        <v>28044.762600000002</v>
      </c>
      <c r="J74" s="1334">
        <f t="shared" si="24"/>
        <v>28510.833829145449</v>
      </c>
      <c r="K74" s="1334">
        <v>27277</v>
      </c>
      <c r="L74" s="1335">
        <v>15.977272727272727</v>
      </c>
      <c r="M74" s="1335">
        <v>2.5790000000000002</v>
      </c>
      <c r="N74" s="1335">
        <v>2.39</v>
      </c>
      <c r="O74" s="1335">
        <f t="shared" si="19"/>
        <v>1553.8963414634145</v>
      </c>
      <c r="P74" s="1334">
        <f t="shared" si="20"/>
        <v>20623.347276888002</v>
      </c>
      <c r="Q74" s="1335">
        <f t="shared" si="21"/>
        <v>7.5317853000000001</v>
      </c>
      <c r="R74" s="1334">
        <f t="shared" si="25"/>
        <v>27229.771852798327</v>
      </c>
      <c r="S74" s="1336">
        <f t="shared" si="26"/>
        <v>1446.1036585365855</v>
      </c>
      <c r="T74" s="1337">
        <f t="shared" si="27"/>
        <v>0.48203455284552849</v>
      </c>
      <c r="U74" s="1338">
        <f t="shared" si="28"/>
        <v>0.51796544715447146</v>
      </c>
      <c r="V74" s="1339">
        <f t="shared" si="29"/>
        <v>23807.872193244646</v>
      </c>
      <c r="W74" s="1339">
        <f t="shared" si="22"/>
        <v>28394.559681545452</v>
      </c>
      <c r="X74" s="1334">
        <f t="shared" si="30"/>
        <v>21019.732751442622</v>
      </c>
      <c r="Y74" s="1334">
        <f t="shared" si="31"/>
        <v>28929.651414</v>
      </c>
      <c r="Z74" s="1334">
        <f t="shared" si="23"/>
        <v>28533.10887812727</v>
      </c>
    </row>
    <row r="75" spans="1:26">
      <c r="A75" s="5">
        <v>10</v>
      </c>
      <c r="B75" s="5">
        <v>2020</v>
      </c>
      <c r="C75" s="5" t="s">
        <v>705</v>
      </c>
      <c r="D75" s="1341">
        <f t="shared" si="17"/>
        <v>44105</v>
      </c>
      <c r="E75" s="1335">
        <v>27627</v>
      </c>
      <c r="F75" s="1335">
        <v>27366</v>
      </c>
      <c r="G75" s="1335">
        <v>27995</v>
      </c>
      <c r="H75" s="1335">
        <f>VLOOKUP(D75,'[9]$ to INR'!$R$3:$S$131,2,TRUE)</f>
        <v>73.708750000000009</v>
      </c>
      <c r="I75" s="1334">
        <f t="shared" si="18"/>
        <v>28895.079300000001</v>
      </c>
      <c r="J75" s="1334">
        <f t="shared" si="24"/>
        <v>28129.146599272728</v>
      </c>
      <c r="K75" s="1334">
        <v>29280</v>
      </c>
      <c r="L75" s="1335">
        <v>11.954545454545455</v>
      </c>
      <c r="M75" s="1335">
        <v>2.101</v>
      </c>
      <c r="N75" s="1335">
        <v>1.79</v>
      </c>
      <c r="O75" s="1335">
        <f t="shared" si="19"/>
        <v>1553.8963414634145</v>
      </c>
      <c r="P75" s="1334">
        <f t="shared" si="20"/>
        <v>18381.711629385001</v>
      </c>
      <c r="Q75" s="1335">
        <f t="shared" si="21"/>
        <v>6.9004907000000006</v>
      </c>
      <c r="R75" s="1334">
        <f t="shared" si="25"/>
        <v>25024.425959074357</v>
      </c>
      <c r="S75" s="1336">
        <f t="shared" si="26"/>
        <v>1446.1036585365855</v>
      </c>
      <c r="T75" s="1337">
        <f t="shared" si="27"/>
        <v>0.48203455284552849</v>
      </c>
      <c r="U75" s="1338">
        <f t="shared" si="28"/>
        <v>0.51796544715447146</v>
      </c>
      <c r="V75" s="1339">
        <f t="shared" si="29"/>
        <v>21583.729460977393</v>
      </c>
      <c r="W75" s="1339">
        <f t="shared" si="22"/>
        <v>28076.937099772727</v>
      </c>
      <c r="X75" s="1334">
        <f t="shared" si="30"/>
        <v>18780.274489166361</v>
      </c>
      <c r="Y75" s="1334">
        <f t="shared" si="31"/>
        <v>29806.797927</v>
      </c>
      <c r="Z75" s="1334">
        <f t="shared" si="23"/>
        <v>28139.777030613637</v>
      </c>
    </row>
    <row r="76" spans="1:26">
      <c r="A76" s="5">
        <v>11</v>
      </c>
      <c r="B76" s="5">
        <v>2020</v>
      </c>
      <c r="C76" s="5" t="s">
        <v>706</v>
      </c>
      <c r="D76" s="1341">
        <f t="shared" si="17"/>
        <v>44136</v>
      </c>
      <c r="E76" s="1335">
        <v>31874</v>
      </c>
      <c r="F76" s="1335">
        <v>26901</v>
      </c>
      <c r="G76" s="1335">
        <v>32615</v>
      </c>
      <c r="H76" s="1335">
        <f>VLOOKUP(D76,'[9]$ to INR'!$R$3:$S$131,2,TRUE)</f>
        <v>74.067000000000007</v>
      </c>
      <c r="I76" s="1334">
        <f t="shared" si="18"/>
        <v>33337.016600000003</v>
      </c>
      <c r="J76" s="1334">
        <f t="shared" si="24"/>
        <v>27516.560712599996</v>
      </c>
      <c r="K76" s="1334">
        <v>34113</v>
      </c>
      <c r="L76" s="1335">
        <v>7.5238095238095237</v>
      </c>
      <c r="M76" s="1335">
        <v>2.996</v>
      </c>
      <c r="N76" s="1335">
        <v>1.79</v>
      </c>
      <c r="O76" s="1335">
        <f t="shared" si="19"/>
        <v>1553.8963414634145</v>
      </c>
      <c r="P76" s="1334">
        <f t="shared" si="20"/>
        <v>18414.618655908002</v>
      </c>
      <c r="Q76" s="1335">
        <f t="shared" si="21"/>
        <v>8.0825171999999998</v>
      </c>
      <c r="R76" s="1334">
        <f t="shared" si="25"/>
        <v>29453.471831458086</v>
      </c>
      <c r="S76" s="1336">
        <f t="shared" si="26"/>
        <v>1446.1036585365855</v>
      </c>
      <c r="T76" s="1337">
        <f t="shared" si="27"/>
        <v>0.48203455284552849</v>
      </c>
      <c r="U76" s="1338">
        <f t="shared" si="28"/>
        <v>0.51796544715447146</v>
      </c>
      <c r="V76" s="1339">
        <f t="shared" si="29"/>
        <v>23735.727310311726</v>
      </c>
      <c r="W76" s="1339">
        <f t="shared" si="22"/>
        <v>27534.847966999998</v>
      </c>
      <c r="X76" s="1334">
        <f t="shared" si="30"/>
        <v>19076.949846441006</v>
      </c>
      <c r="Y76" s="1334">
        <f t="shared" si="31"/>
        <v>34388.890474</v>
      </c>
      <c r="Z76" s="1334">
        <f t="shared" si="23"/>
        <v>27514.379082399995</v>
      </c>
    </row>
    <row r="77" spans="1:26">
      <c r="A77" s="5">
        <v>12</v>
      </c>
      <c r="B77" s="5">
        <v>2020</v>
      </c>
      <c r="C77" s="5" t="s">
        <v>707</v>
      </c>
      <c r="D77" s="1341">
        <f t="shared" si="17"/>
        <v>44166</v>
      </c>
      <c r="E77" s="1335">
        <v>33101</v>
      </c>
      <c r="F77" s="1335">
        <v>30891</v>
      </c>
      <c r="G77" s="1335">
        <v>33836</v>
      </c>
      <c r="H77" s="1335">
        <f>VLOOKUP(D77,'[9]$ to INR'!$R$3:$S$131,2,TRUE)</f>
        <v>73.495499999999993</v>
      </c>
      <c r="I77" s="1334">
        <f t="shared" si="18"/>
        <v>34620.335899999998</v>
      </c>
      <c r="J77" s="1334">
        <f t="shared" si="24"/>
        <v>31807.539174899997</v>
      </c>
      <c r="K77" s="1334">
        <v>35389</v>
      </c>
      <c r="L77" s="1335">
        <v>16</v>
      </c>
      <c r="M77" s="1335">
        <v>2.8959999999999999</v>
      </c>
      <c r="N77" s="1335">
        <v>1.79</v>
      </c>
      <c r="O77" s="1335">
        <f t="shared" si="19"/>
        <v>1553.8963414634145</v>
      </c>
      <c r="P77" s="1334">
        <f t="shared" si="20"/>
        <v>18362.123566842001</v>
      </c>
      <c r="Q77" s="1335">
        <f t="shared" si="21"/>
        <v>7.9504472000000002</v>
      </c>
      <c r="R77" s="1334">
        <f t="shared" si="25"/>
        <v>28748.64693562992</v>
      </c>
      <c r="S77" s="1336">
        <f t="shared" si="26"/>
        <v>1446.1036585365855</v>
      </c>
      <c r="T77" s="1337">
        <f t="shared" si="27"/>
        <v>0.48203455284552849</v>
      </c>
      <c r="U77" s="1338">
        <f t="shared" si="28"/>
        <v>0.51796544715447146</v>
      </c>
      <c r="V77" s="1339">
        <f t="shared" si="29"/>
        <v>23368.786714535316</v>
      </c>
      <c r="W77" s="1339">
        <f t="shared" si="22"/>
        <v>31698.791830499998</v>
      </c>
      <c r="X77" s="1334">
        <f t="shared" si="30"/>
        <v>18985.314968969273</v>
      </c>
      <c r="Y77" s="1334">
        <f t="shared" si="31"/>
        <v>35712.702000999998</v>
      </c>
      <c r="Z77" s="1334">
        <f t="shared" si="23"/>
        <v>31828.445922599996</v>
      </c>
    </row>
    <row r="78" spans="1:26">
      <c r="A78" s="5">
        <v>1</v>
      </c>
      <c r="B78" s="5">
        <v>2021</v>
      </c>
      <c r="C78" s="5" t="s">
        <v>696</v>
      </c>
      <c r="D78" s="1341">
        <f t="shared" si="17"/>
        <v>44197</v>
      </c>
      <c r="E78" s="1335">
        <v>40192</v>
      </c>
      <c r="F78" s="1335">
        <v>36061</v>
      </c>
      <c r="G78" s="1335">
        <v>38731</v>
      </c>
      <c r="H78" s="1335">
        <f>VLOOKUP(D78,'[9]$ to INR'!$R$3:$S$131,2,TRUE)</f>
        <v>73.023400000000009</v>
      </c>
      <c r="I78" s="1334">
        <f t="shared" si="18"/>
        <v>42036.8128</v>
      </c>
      <c r="J78" s="1334">
        <f t="shared" si="24"/>
        <v>37171.308706894997</v>
      </c>
      <c r="K78" s="1334">
        <v>40508</v>
      </c>
      <c r="L78" s="1335">
        <v>21.087499999999999</v>
      </c>
      <c r="M78" s="1335">
        <v>2.4670000000000001</v>
      </c>
      <c r="N78" s="1335">
        <v>1.79</v>
      </c>
      <c r="O78" s="1335">
        <f t="shared" si="19"/>
        <v>1553.8963414634145</v>
      </c>
      <c r="P78" s="1334">
        <f t="shared" si="20"/>
        <v>18318.758857221601</v>
      </c>
      <c r="Q78" s="1335">
        <f t="shared" si="21"/>
        <v>7.3838669000000001</v>
      </c>
      <c r="R78" s="1334">
        <f t="shared" si="25"/>
        <v>26528.397256324639</v>
      </c>
      <c r="S78" s="1336">
        <f t="shared" si="26"/>
        <v>1446.1036585365855</v>
      </c>
      <c r="T78" s="1337">
        <f t="shared" si="27"/>
        <v>0.48203455284552849</v>
      </c>
      <c r="U78" s="1338">
        <f t="shared" si="28"/>
        <v>0.51796544715447146</v>
      </c>
      <c r="V78" s="1339">
        <f t="shared" si="29"/>
        <v>22276.08823195671</v>
      </c>
      <c r="W78" s="1339">
        <f t="shared" si="22"/>
        <v>36994.520061324998</v>
      </c>
      <c r="X78" s="1334">
        <f t="shared" si="30"/>
        <v>18811.337161167783</v>
      </c>
      <c r="Y78" s="1334">
        <f t="shared" si="31"/>
        <v>43363.188992000003</v>
      </c>
      <c r="Z78" s="1334">
        <f t="shared" si="23"/>
        <v>37204.579312754999</v>
      </c>
    </row>
    <row r="79" spans="1:26">
      <c r="A79" s="5">
        <v>2</v>
      </c>
      <c r="B79" s="5">
        <v>2021</v>
      </c>
      <c r="C79" s="5" t="s">
        <v>697</v>
      </c>
      <c r="D79" s="1341">
        <f t="shared" si="17"/>
        <v>44228</v>
      </c>
      <c r="E79" s="1335">
        <v>44156</v>
      </c>
      <c r="F79" s="1335">
        <v>39752</v>
      </c>
      <c r="G79" s="1335">
        <v>42696</v>
      </c>
      <c r="H79" s="1335">
        <f>VLOOKUP(D79,'[9]$ to INR'!$R$3:$S$131,2,TRUE)</f>
        <v>73.057500000000005</v>
      </c>
      <c r="I79" s="1334">
        <f t="shared" si="18"/>
        <v>46182.760399999999</v>
      </c>
      <c r="J79" s="1334">
        <f t="shared" si="24"/>
        <v>40943.605200473685</v>
      </c>
      <c r="K79" s="1334">
        <v>44656</v>
      </c>
      <c r="L79" s="1335">
        <v>22.868421052631579</v>
      </c>
      <c r="M79" s="1335">
        <v>2.76</v>
      </c>
      <c r="N79" s="1335">
        <v>1.79</v>
      </c>
      <c r="O79" s="1335">
        <f t="shared" si="19"/>
        <v>1553.8963414634145</v>
      </c>
      <c r="P79" s="1334">
        <f t="shared" si="20"/>
        <v>18321.89111013</v>
      </c>
      <c r="Q79" s="1335">
        <f t="shared" si="21"/>
        <v>7.7708320000000004</v>
      </c>
      <c r="R79" s="1334">
        <f t="shared" si="25"/>
        <v>27931.703894928003</v>
      </c>
      <c r="S79" s="1336">
        <f t="shared" si="26"/>
        <v>1446.1036585365855</v>
      </c>
      <c r="T79" s="1337">
        <f t="shared" si="27"/>
        <v>0.48203455284552849</v>
      </c>
      <c r="U79" s="1338">
        <f t="shared" si="28"/>
        <v>0.51796544715447146</v>
      </c>
      <c r="V79" s="1339">
        <f t="shared" si="29"/>
        <v>22954.152918779349</v>
      </c>
      <c r="W79" s="1339">
        <f t="shared" si="22"/>
        <v>40747.001346842109</v>
      </c>
      <c r="X79" s="1334">
        <f t="shared" si="30"/>
        <v>18898.47987721788</v>
      </c>
      <c r="Y79" s="1334">
        <f t="shared" si="31"/>
        <v>47639.952556000004</v>
      </c>
      <c r="Z79" s="1334">
        <f t="shared" si="23"/>
        <v>40980.479097815791</v>
      </c>
    </row>
    <row r="80" spans="1:26">
      <c r="A80" s="5">
        <v>3</v>
      </c>
      <c r="B80" s="5">
        <v>2021</v>
      </c>
      <c r="C80" s="5" t="s">
        <v>698</v>
      </c>
      <c r="D80" s="1341">
        <f t="shared" si="17"/>
        <v>44256</v>
      </c>
      <c r="E80" s="1335">
        <v>45502</v>
      </c>
      <c r="F80" s="1335">
        <v>41189</v>
      </c>
      <c r="G80" s="1335">
        <v>43318</v>
      </c>
      <c r="H80" s="1335">
        <f>VLOOKUP(D80,'[9]$ to INR'!$R$3:$S$131,2,TRUE)</f>
        <v>72.765250000000009</v>
      </c>
      <c r="I80" s="1334">
        <f t="shared" si="18"/>
        <v>47590.541799999999</v>
      </c>
      <c r="J80" s="1334">
        <f t="shared" si="24"/>
        <v>42674.536423406527</v>
      </c>
      <c r="K80" s="1334">
        <v>45306</v>
      </c>
      <c r="L80" s="1335">
        <v>31.695652173913043</v>
      </c>
      <c r="M80" s="1335">
        <v>2.8540000000000001</v>
      </c>
      <c r="N80" s="1335">
        <v>1.79</v>
      </c>
      <c r="O80" s="1335">
        <f t="shared" si="19"/>
        <v>1553.8963414634145</v>
      </c>
      <c r="P80" s="1334">
        <f t="shared" si="20"/>
        <v>18295.046508591</v>
      </c>
      <c r="Q80" s="1335">
        <f t="shared" si="21"/>
        <v>7.8949778000000004</v>
      </c>
      <c r="R80" s="1334">
        <f t="shared" si="25"/>
        <v>28264.417641383345</v>
      </c>
      <c r="S80" s="1336">
        <f t="shared" si="26"/>
        <v>1446.1036585365855</v>
      </c>
      <c r="T80" s="1337">
        <f t="shared" si="27"/>
        <v>0.48203455284552849</v>
      </c>
      <c r="U80" s="1338">
        <f t="shared" si="28"/>
        <v>0.51796544715447146</v>
      </c>
      <c r="V80" s="1339">
        <f t="shared" si="29"/>
        <v>23100.627864737675</v>
      </c>
      <c r="W80" s="1339">
        <f t="shared" si="22"/>
        <v>42341.271955250006</v>
      </c>
      <c r="X80" s="1334">
        <f t="shared" si="30"/>
        <v>18893.208776558538</v>
      </c>
      <c r="Y80" s="1334">
        <f t="shared" si="31"/>
        <v>49092.153302000006</v>
      </c>
      <c r="Z80" s="1334">
        <f t="shared" si="23"/>
        <v>42736.253193930432</v>
      </c>
    </row>
    <row r="81" spans="1:26">
      <c r="A81" s="5">
        <v>4</v>
      </c>
      <c r="B81" s="5">
        <v>2021</v>
      </c>
      <c r="C81" s="5" t="s">
        <v>699</v>
      </c>
      <c r="D81" s="1341">
        <f t="shared" si="17"/>
        <v>44287</v>
      </c>
      <c r="E81" s="1335">
        <v>41719</v>
      </c>
      <c r="F81" s="1335">
        <v>40361</v>
      </c>
      <c r="G81" s="1335">
        <v>39484</v>
      </c>
      <c r="H81" s="1335">
        <f>VLOOKUP(D81,'[9]$ to INR'!$R$3:$S$131,2,TRUE)</f>
        <v>74.555500000000009</v>
      </c>
      <c r="I81" s="1334">
        <f t="shared" si="18"/>
        <v>43633.902099999999</v>
      </c>
      <c r="J81" s="1334">
        <f t="shared" si="24"/>
        <v>41741.964775935718</v>
      </c>
      <c r="K81" s="1334">
        <v>41297</v>
      </c>
      <c r="L81" s="1335">
        <v>27.821428571428573</v>
      </c>
      <c r="M81" s="1335">
        <v>2.5859999999999999</v>
      </c>
      <c r="N81" s="1335">
        <v>1.79</v>
      </c>
      <c r="O81" s="1335">
        <f t="shared" si="19"/>
        <v>1553.8963414634145</v>
      </c>
      <c r="P81" s="1334">
        <f t="shared" si="20"/>
        <v>18459.489786282</v>
      </c>
      <c r="Q81" s="1335">
        <f t="shared" si="21"/>
        <v>7.5410301999999998</v>
      </c>
      <c r="R81" s="1334">
        <f t="shared" si="25"/>
        <v>27661.483632144122</v>
      </c>
      <c r="S81" s="1336">
        <f t="shared" si="26"/>
        <v>1446.1036585365855</v>
      </c>
      <c r="T81" s="1337">
        <f t="shared" si="27"/>
        <v>0.48203455284552849</v>
      </c>
      <c r="U81" s="1338">
        <f t="shared" si="28"/>
        <v>0.51796544715447146</v>
      </c>
      <c r="V81" s="1339">
        <f t="shared" si="29"/>
        <v>22895.16877505945</v>
      </c>
      <c r="W81" s="1339">
        <f t="shared" si="22"/>
        <v>41459.590669607147</v>
      </c>
      <c r="X81" s="1334">
        <f t="shared" si="30"/>
        <v>19011.609417033724</v>
      </c>
      <c r="Y81" s="1334">
        <f t="shared" si="31"/>
        <v>45010.670818999999</v>
      </c>
      <c r="Z81" s="1334">
        <f t="shared" si="23"/>
        <v>41794.456388349994</v>
      </c>
    </row>
    <row r="82" spans="1:26">
      <c r="A82" s="5">
        <v>5</v>
      </c>
      <c r="B82" s="5">
        <v>2021</v>
      </c>
      <c r="C82" s="5" t="s">
        <v>700</v>
      </c>
      <c r="D82" s="1341">
        <f t="shared" si="17"/>
        <v>44317</v>
      </c>
      <c r="E82" s="1335">
        <v>36108</v>
      </c>
      <c r="F82" s="1335">
        <v>42249</v>
      </c>
      <c r="G82" s="1335">
        <v>34649</v>
      </c>
      <c r="H82" s="1335">
        <f>VLOOKUP(D82,'[9]$ to INR'!$R$3:$S$131,2,TRUE)</f>
        <v>72.9238</v>
      </c>
      <c r="I82" s="1334">
        <f t="shared" si="18"/>
        <v>37765.357199999999</v>
      </c>
      <c r="J82" s="1334">
        <f t="shared" si="24"/>
        <v>43532.556454797894</v>
      </c>
      <c r="K82" s="1334">
        <v>36240</v>
      </c>
      <c r="L82" s="1335">
        <v>25.263157894736842</v>
      </c>
      <c r="M82" s="1335">
        <v>2.9249999999999998</v>
      </c>
      <c r="N82" s="1335">
        <v>1.79</v>
      </c>
      <c r="O82" s="1335">
        <f t="shared" si="19"/>
        <v>1553.8963414634145</v>
      </c>
      <c r="P82" s="1334">
        <f t="shared" si="20"/>
        <v>18309.610106791202</v>
      </c>
      <c r="Q82" s="1335">
        <f t="shared" si="21"/>
        <v>7.9887474999999997</v>
      </c>
      <c r="R82" s="1334">
        <f t="shared" si="25"/>
        <v>28662.435387072601</v>
      </c>
      <c r="S82" s="1336">
        <f t="shared" si="26"/>
        <v>1446.1036585365855</v>
      </c>
      <c r="T82" s="1337">
        <f t="shared" si="27"/>
        <v>0.48203455284552849</v>
      </c>
      <c r="U82" s="1338">
        <f t="shared" si="28"/>
        <v>0.51796544715447146</v>
      </c>
      <c r="V82" s="1339">
        <f t="shared" si="29"/>
        <v>23300.029611459526</v>
      </c>
      <c r="W82" s="1339">
        <f t="shared" si="22"/>
        <v>43304.111862747362</v>
      </c>
      <c r="X82" s="1334">
        <f t="shared" si="30"/>
        <v>18930.779623608083</v>
      </c>
      <c r="Y82" s="1334">
        <f t="shared" si="31"/>
        <v>38956.957307999997</v>
      </c>
      <c r="Z82" s="1334">
        <f t="shared" si="23"/>
        <v>43575.217513465264</v>
      </c>
    </row>
    <row r="83" spans="1:26">
      <c r="A83" s="5">
        <v>6</v>
      </c>
      <c r="B83" s="5">
        <v>2021</v>
      </c>
      <c r="C83" s="5" t="s">
        <v>701</v>
      </c>
      <c r="D83" s="1341">
        <f t="shared" ref="D83:D97" si="32">DATE(B83,A83,1)</f>
        <v>44348</v>
      </c>
      <c r="E83" s="1335">
        <v>39093</v>
      </c>
      <c r="F83" s="1335">
        <v>45923</v>
      </c>
      <c r="G83" s="1335">
        <v>38724</v>
      </c>
      <c r="H83" s="1335">
        <f>VLOOKUP(D83,'[9]$ to INR'!$R$3:$S$131,2,TRUE)</f>
        <v>74.015499999999989</v>
      </c>
      <c r="I83" s="1334">
        <f t="shared" ref="I83:I97" si="33">1.0459*E83</f>
        <v>40887.368699999999</v>
      </c>
      <c r="J83" s="1334">
        <f t="shared" si="24"/>
        <v>47167.658590843181</v>
      </c>
      <c r="K83" s="1334">
        <v>40502</v>
      </c>
      <c r="L83" s="1335">
        <v>22.96590909090909</v>
      </c>
      <c r="M83" s="1335">
        <v>2.984</v>
      </c>
      <c r="N83" s="1335">
        <v>1.79</v>
      </c>
      <c r="O83" s="1335">
        <f t="shared" ref="O83:O97" si="34">1.95*39206/49.2</f>
        <v>1553.8963414634145</v>
      </c>
      <c r="P83" s="1334">
        <f t="shared" ref="P83:P97" si="35">(1.043*N83*H83+236)*49.2</f>
        <v>18409.888127321999</v>
      </c>
      <c r="Q83" s="1335">
        <f t="shared" ref="Q83:Q97" si="36">1.3207*M83 + 4.1257</f>
        <v>8.0666688000000004</v>
      </c>
      <c r="R83" s="1334">
        <f t="shared" si="25"/>
        <v>29375.27940866688</v>
      </c>
      <c r="S83" s="1336">
        <f t="shared" si="26"/>
        <v>1446.1036585365855</v>
      </c>
      <c r="T83" s="1337">
        <f t="shared" si="27"/>
        <v>0.48203455284552849</v>
      </c>
      <c r="U83" s="1338">
        <f t="shared" si="28"/>
        <v>0.51796544715447146</v>
      </c>
      <c r="V83" s="1339">
        <f t="shared" si="29"/>
        <v>23695.585610401336</v>
      </c>
      <c r="W83" s="1339">
        <f t="shared" si="22"/>
        <v>46980.56159669318</v>
      </c>
      <c r="X83" s="1334">
        <f t="shared" si="30"/>
        <v>19067.811604202692</v>
      </c>
      <c r="Y83" s="1334">
        <f t="shared" si="31"/>
        <v>42177.476793000002</v>
      </c>
      <c r="Z83" s="1334">
        <f t="shared" si="23"/>
        <v>47202.818756315908</v>
      </c>
    </row>
    <row r="84" spans="1:26">
      <c r="A84" s="5">
        <v>7</v>
      </c>
      <c r="B84" s="5">
        <v>2021</v>
      </c>
      <c r="C84" s="5" t="s">
        <v>702</v>
      </c>
      <c r="D84" s="1341">
        <f t="shared" si="32"/>
        <v>44378</v>
      </c>
      <c r="E84" s="1335">
        <v>46171</v>
      </c>
      <c r="F84" s="1335">
        <v>49402</v>
      </c>
      <c r="G84" s="1335">
        <v>46171</v>
      </c>
      <c r="H84" s="1335">
        <f>VLOOKUP(D84,'[9]$ to INR'!$R$3:$S$131,2,TRUE)</f>
        <v>74.463250000000002</v>
      </c>
      <c r="I84" s="1334">
        <f t="shared" si="33"/>
        <v>48290.248900000006</v>
      </c>
      <c r="J84" s="1334">
        <f t="shared" si="24"/>
        <v>50670.309577903565</v>
      </c>
      <c r="K84" s="1334">
        <v>48290</v>
      </c>
      <c r="L84" s="1335">
        <v>22.86904761904762</v>
      </c>
      <c r="M84" s="1335">
        <v>3.617</v>
      </c>
      <c r="N84" s="1335">
        <v>1.79</v>
      </c>
      <c r="O84" s="1335">
        <f t="shared" si="34"/>
        <v>1553.8963414634145</v>
      </c>
      <c r="P84" s="1334">
        <f t="shared" si="35"/>
        <v>18451.016169543</v>
      </c>
      <c r="Q84" s="1335">
        <f t="shared" si="36"/>
        <v>8.9026718999999996</v>
      </c>
      <c r="R84" s="1334">
        <f t="shared" si="25"/>
        <v>32615.756661197611</v>
      </c>
      <c r="S84" s="1336">
        <f t="shared" si="26"/>
        <v>1446.1036585365855</v>
      </c>
      <c r="T84" s="1337">
        <f t="shared" si="27"/>
        <v>0.48203455284552849</v>
      </c>
      <c r="U84" s="1338">
        <f t="shared" si="28"/>
        <v>0.51796544715447146</v>
      </c>
      <c r="V84" s="1339">
        <f t="shared" si="29"/>
        <v>25278.910518610683</v>
      </c>
      <c r="W84" s="1339">
        <f t="shared" si="22"/>
        <v>50491.414421077381</v>
      </c>
      <c r="X84" s="1334">
        <f t="shared" si="30"/>
        <v>19300.900599042274</v>
      </c>
      <c r="Y84" s="1334">
        <f t="shared" si="31"/>
        <v>49813.938071000004</v>
      </c>
      <c r="Z84" s="1334">
        <f t="shared" si="23"/>
        <v>50703.985411858332</v>
      </c>
    </row>
    <row r="85" spans="1:26">
      <c r="A85" s="5">
        <v>8</v>
      </c>
      <c r="B85" s="5">
        <v>2021</v>
      </c>
      <c r="C85" s="5" t="s">
        <v>703</v>
      </c>
      <c r="D85" s="1341">
        <f t="shared" si="32"/>
        <v>44409</v>
      </c>
      <c r="E85" s="1335">
        <v>48815</v>
      </c>
      <c r="F85" s="1335">
        <v>46084</v>
      </c>
      <c r="G85" s="1335">
        <v>48445</v>
      </c>
      <c r="H85" s="1335">
        <f>VLOOKUP(D85,'[9]$ to INR'!$R$3:$S$131,2,TRUE)</f>
        <v>73.855599999999981</v>
      </c>
      <c r="I85" s="1334">
        <f t="shared" si="33"/>
        <v>51055.608500000002</v>
      </c>
      <c r="J85" s="1334">
        <f t="shared" si="24"/>
        <v>47209.980465679997</v>
      </c>
      <c r="K85" s="1334">
        <v>50669</v>
      </c>
      <c r="L85" s="1335">
        <v>19.428571428571427</v>
      </c>
      <c r="M85" s="1335">
        <v>4.0439999999999996</v>
      </c>
      <c r="N85" s="1335">
        <v>1.79</v>
      </c>
      <c r="O85" s="1335">
        <f t="shared" si="34"/>
        <v>1553.8963414634145</v>
      </c>
      <c r="P85" s="1334">
        <f t="shared" si="35"/>
        <v>18395.2005249744</v>
      </c>
      <c r="Q85" s="1335">
        <f t="shared" si="36"/>
        <v>9.4666107999999998</v>
      </c>
      <c r="R85" s="1334">
        <f t="shared" si="25"/>
        <v>34398.78125354361</v>
      </c>
      <c r="S85" s="1336">
        <f t="shared" si="26"/>
        <v>1446.1036585365855</v>
      </c>
      <c r="T85" s="1337">
        <f t="shared" si="27"/>
        <v>0.48203455284552849</v>
      </c>
      <c r="U85" s="1338">
        <f t="shared" si="28"/>
        <v>0.51796544715447146</v>
      </c>
      <c r="V85" s="1339">
        <f t="shared" si="29"/>
        <v>26109.479405397575</v>
      </c>
      <c r="W85" s="1339">
        <f t="shared" si="22"/>
        <v>47081.39285959999</v>
      </c>
      <c r="X85" s="1334">
        <f t="shared" si="30"/>
        <v>19355.415368688551</v>
      </c>
      <c r="Y85" s="1334">
        <f t="shared" si="31"/>
        <v>52666.552315000008</v>
      </c>
      <c r="Z85" s="1334">
        <f t="shared" si="23"/>
        <v>47234.500092319999</v>
      </c>
    </row>
    <row r="86" spans="1:26">
      <c r="A86" s="5">
        <v>9</v>
      </c>
      <c r="B86" s="5">
        <v>2021</v>
      </c>
      <c r="C86" s="5" t="s">
        <v>704</v>
      </c>
      <c r="D86" s="1341">
        <f t="shared" si="32"/>
        <v>44440</v>
      </c>
      <c r="E86" s="1335">
        <v>48978</v>
      </c>
      <c r="F86" s="1335">
        <v>48752</v>
      </c>
      <c r="G86" s="1335">
        <v>48978</v>
      </c>
      <c r="H86" s="1335">
        <f>VLOOKUP(D86,'[9]$ to INR'!$R$3:$S$131,2,TRUE)</f>
        <v>73.77525</v>
      </c>
      <c r="I86" s="1334">
        <f t="shared" si="33"/>
        <v>51226.090200000006</v>
      </c>
      <c r="J86" s="1334">
        <f t="shared" si="24"/>
        <v>49831.814639307951</v>
      </c>
      <c r="K86" s="1334">
        <v>51226</v>
      </c>
      <c r="L86" s="1335">
        <v>17.579545454545453</v>
      </c>
      <c r="M86" s="1335">
        <v>4.37</v>
      </c>
      <c r="N86" s="1335">
        <v>1.79</v>
      </c>
      <c r="O86" s="1335">
        <f t="shared" si="34"/>
        <v>1553.8963414634145</v>
      </c>
      <c r="P86" s="1334">
        <f t="shared" si="35"/>
        <v>18387.819981831002</v>
      </c>
      <c r="Q86" s="1335">
        <f t="shared" si="36"/>
        <v>9.8971590000000003</v>
      </c>
      <c r="R86" s="1334">
        <f t="shared" si="25"/>
        <v>35924.1366721257</v>
      </c>
      <c r="S86" s="1336">
        <f t="shared" si="26"/>
        <v>1446.1036585365855</v>
      </c>
      <c r="T86" s="1337">
        <f t="shared" si="27"/>
        <v>0.48203455284552849</v>
      </c>
      <c r="U86" s="1338">
        <f t="shared" si="28"/>
        <v>0.51796544715447146</v>
      </c>
      <c r="V86" s="1339">
        <f t="shared" si="29"/>
        <v>26840.930556194784</v>
      </c>
      <c r="W86" s="1339">
        <f t="shared" si="22"/>
        <v>49739.955535732952</v>
      </c>
      <c r="X86" s="1334">
        <f t="shared" si="30"/>
        <v>19439.998983248683</v>
      </c>
      <c r="Y86" s="1334">
        <f t="shared" si="31"/>
        <v>52842.413178000003</v>
      </c>
      <c r="Z86" s="1334">
        <f t="shared" si="23"/>
        <v>49849.655116089765</v>
      </c>
    </row>
    <row r="87" spans="1:26" hidden="1">
      <c r="A87" s="5">
        <v>10</v>
      </c>
      <c r="B87" s="5">
        <v>2021</v>
      </c>
      <c r="C87" s="5" t="s">
        <v>705</v>
      </c>
      <c r="D87" s="1341">
        <f t="shared" si="32"/>
        <v>44470</v>
      </c>
      <c r="E87" s="1335">
        <v>60110</v>
      </c>
      <c r="F87" s="1335">
        <v>55805</v>
      </c>
      <c r="G87" s="1335">
        <v>59734</v>
      </c>
      <c r="H87" s="1335">
        <f>VLOOKUP(D87,'[9]$ to INR'!$R$3:$S$131,2,TRUE)</f>
        <v>75.146000000000001</v>
      </c>
      <c r="I87" s="1334">
        <f t="shared" si="33"/>
        <v>62869.049000000006</v>
      </c>
      <c r="J87" s="1334">
        <f t="shared" si="24"/>
        <v>57007.412226657143</v>
      </c>
      <c r="K87" s="1334">
        <v>62476</v>
      </c>
      <c r="L87" s="1335">
        <v>19.511904761904763</v>
      </c>
      <c r="M87" s="1335">
        <v>5.8410000000000002</v>
      </c>
      <c r="N87" s="1335">
        <v>2.9</v>
      </c>
      <c r="O87" s="1335">
        <f t="shared" si="34"/>
        <v>1553.8963414634145</v>
      </c>
      <c r="P87" s="1334">
        <f t="shared" si="35"/>
        <v>22794.07002504</v>
      </c>
      <c r="Q87" s="1335">
        <f t="shared" si="36"/>
        <v>11.839908700000001</v>
      </c>
      <c r="R87" s="1334">
        <f t="shared" si="25"/>
        <v>43774.311535173845</v>
      </c>
      <c r="S87" s="1336">
        <f t="shared" si="26"/>
        <v>1446.1036585365855</v>
      </c>
      <c r="T87" s="1337">
        <f t="shared" si="27"/>
        <v>0.48203455284552849</v>
      </c>
      <c r="U87" s="1338">
        <f t="shared" si="28"/>
        <v>0.51796544715447146</v>
      </c>
      <c r="V87" s="1334">
        <f t="shared" si="29"/>
        <v>32907.271359968559</v>
      </c>
      <c r="W87" s="1334">
        <f t="shared" si="22"/>
        <v>56896.776562904764</v>
      </c>
      <c r="X87" s="1334">
        <f t="shared" si="30"/>
        <v>24052.884515648031</v>
      </c>
      <c r="Y87" s="1334">
        <f t="shared" si="31"/>
        <v>64852.73911000001</v>
      </c>
      <c r="Z87" s="1334">
        <f t="shared" si="23"/>
        <v>57028.687782866662</v>
      </c>
    </row>
    <row r="88" spans="1:26" hidden="1">
      <c r="A88" s="5">
        <v>11</v>
      </c>
      <c r="B88" s="5">
        <v>2021</v>
      </c>
      <c r="C88" s="5" t="s">
        <v>706</v>
      </c>
      <c r="D88" s="1341">
        <f t="shared" si="32"/>
        <v>44501</v>
      </c>
      <c r="E88" s="1335">
        <v>65522</v>
      </c>
      <c r="F88" s="1335">
        <v>55132</v>
      </c>
      <c r="G88" s="1335">
        <v>62510</v>
      </c>
      <c r="H88" s="1335">
        <f>VLOOKUP(D88,'[9]$ to INR'!$R$3:$S$131,2,TRUE)</f>
        <v>75.146000000000001</v>
      </c>
      <c r="I88" s="1334">
        <f t="shared" si="33"/>
        <v>68529.459799999997</v>
      </c>
      <c r="J88" s="1334">
        <f t="shared" si="24"/>
        <v>56943.048855228568</v>
      </c>
      <c r="K88" s="1334">
        <v>65379</v>
      </c>
      <c r="L88" s="1335">
        <v>37.63095238095238</v>
      </c>
      <c r="M88" s="1335">
        <v>6.202</v>
      </c>
      <c r="N88" s="1335">
        <v>2.9</v>
      </c>
      <c r="O88" s="1335">
        <f t="shared" si="34"/>
        <v>1553.8963414634145</v>
      </c>
      <c r="P88" s="1334">
        <f t="shared" si="35"/>
        <v>22794.07002504</v>
      </c>
      <c r="Q88" s="1335">
        <f t="shared" si="36"/>
        <v>12.3166814</v>
      </c>
      <c r="R88" s="1334">
        <f t="shared" si="25"/>
        <v>45537.027551832485</v>
      </c>
      <c r="S88" s="1336">
        <f t="shared" si="26"/>
        <v>1446.1036585365855</v>
      </c>
      <c r="T88" s="1337">
        <f t="shared" si="27"/>
        <v>0.48203455284552849</v>
      </c>
      <c r="U88" s="1338">
        <f t="shared" si="28"/>
        <v>0.51796544715447146</v>
      </c>
      <c r="V88" s="1334">
        <f t="shared" si="29"/>
        <v>33756.961386852265</v>
      </c>
      <c r="W88" s="1334">
        <f t="shared" si="22"/>
        <v>56531.238261952378</v>
      </c>
      <c r="X88" s="1334">
        <f t="shared" si="30"/>
        <v>24158.647476647548</v>
      </c>
      <c r="Y88" s="1334">
        <f t="shared" si="31"/>
        <v>70691.751321999996</v>
      </c>
      <c r="Z88" s="1334">
        <f t="shared" si="23"/>
        <v>57019.083489533332</v>
      </c>
    </row>
    <row r="89" spans="1:26" hidden="1">
      <c r="A89" s="5">
        <v>12</v>
      </c>
      <c r="B89" s="5">
        <v>2021</v>
      </c>
      <c r="C89" s="5" t="s">
        <v>707</v>
      </c>
      <c r="D89" s="1341">
        <f t="shared" si="32"/>
        <v>44531</v>
      </c>
      <c r="E89" s="1335">
        <v>59874</v>
      </c>
      <c r="F89" s="1335">
        <v>50548</v>
      </c>
      <c r="G89" s="1335">
        <v>56485</v>
      </c>
      <c r="H89" s="1335">
        <f>VLOOKUP(D89,'[9]$ to INR'!$R$3:$S$131,2,TRUE)</f>
        <v>75.146000000000001</v>
      </c>
      <c r="I89" s="1334">
        <f t="shared" si="33"/>
        <v>62622.2166</v>
      </c>
      <c r="J89" s="1334">
        <f t="shared" si="24"/>
        <v>52490.970407663641</v>
      </c>
      <c r="K89" s="1334">
        <v>59077</v>
      </c>
      <c r="L89" s="1335">
        <v>42.352272727272727</v>
      </c>
      <c r="M89" s="1335">
        <v>5.4470000000000001</v>
      </c>
      <c r="N89" s="1335">
        <v>2.9</v>
      </c>
      <c r="O89" s="1335">
        <f t="shared" si="34"/>
        <v>1553.8963414634145</v>
      </c>
      <c r="P89" s="1334">
        <f t="shared" si="35"/>
        <v>22794.07002504</v>
      </c>
      <c r="Q89" s="1335">
        <f t="shared" si="36"/>
        <v>11.319552900000001</v>
      </c>
      <c r="R89" s="1334">
        <f t="shared" si="25"/>
        <v>41850.460813391292</v>
      </c>
      <c r="S89" s="1336">
        <f t="shared" si="26"/>
        <v>1446.1036585365855</v>
      </c>
      <c r="T89" s="1337">
        <f t="shared" si="27"/>
        <v>0.48203455284552849</v>
      </c>
      <c r="U89" s="1338">
        <f t="shared" si="28"/>
        <v>0.51796544715447146</v>
      </c>
      <c r="V89" s="1334">
        <f t="shared" si="29"/>
        <v>31979.908837552561</v>
      </c>
      <c r="W89" s="1334">
        <f t="shared" si="22"/>
        <v>51990.013099863638</v>
      </c>
      <c r="X89" s="1334">
        <f t="shared" si="30"/>
        <v>23937.453472341076</v>
      </c>
      <c r="Y89" s="1334">
        <f t="shared" si="31"/>
        <v>64598.118474000003</v>
      </c>
      <c r="Z89" s="1334">
        <f t="shared" si="23"/>
        <v>52583.213535518174</v>
      </c>
    </row>
    <row r="90" spans="1:26" hidden="1">
      <c r="A90" s="5">
        <v>1</v>
      </c>
      <c r="B90" s="5">
        <v>2022</v>
      </c>
      <c r="C90" s="5" t="s">
        <v>696</v>
      </c>
      <c r="D90" s="1341">
        <f t="shared" si="32"/>
        <v>44562</v>
      </c>
      <c r="E90" s="1335">
        <v>55732</v>
      </c>
      <c r="F90" s="1335">
        <v>56007</v>
      </c>
      <c r="G90" s="1335">
        <v>53472</v>
      </c>
      <c r="H90" s="1335">
        <f>VLOOKUP(D90,'[9]$ to INR'!$R$3:$S$131,2,TRUE)</f>
        <v>75.146000000000001</v>
      </c>
      <c r="I90" s="1334">
        <f t="shared" si="33"/>
        <v>58290.0988</v>
      </c>
      <c r="J90" s="1334">
        <f t="shared" si="24"/>
        <v>57688.079805228568</v>
      </c>
      <c r="K90" s="1334">
        <v>55927</v>
      </c>
      <c r="L90" s="1335">
        <v>33.63095238095238</v>
      </c>
      <c r="M90" s="1335">
        <v>4.024</v>
      </c>
      <c r="N90" s="1335">
        <v>2.9</v>
      </c>
      <c r="O90" s="1335">
        <f t="shared" si="34"/>
        <v>1553.8963414634145</v>
      </c>
      <c r="P90" s="1334">
        <f t="shared" si="35"/>
        <v>22794.07002504</v>
      </c>
      <c r="Q90" s="1335">
        <f t="shared" si="36"/>
        <v>9.4401967999999989</v>
      </c>
      <c r="R90" s="1334">
        <f t="shared" si="25"/>
        <v>34902.137013653759</v>
      </c>
      <c r="S90" s="1336">
        <f t="shared" si="26"/>
        <v>1446.1036585365855</v>
      </c>
      <c r="T90" s="1337">
        <f t="shared" si="27"/>
        <v>0.48203455284552849</v>
      </c>
      <c r="U90" s="1338">
        <f t="shared" si="28"/>
        <v>0.51796544715447146</v>
      </c>
      <c r="V90" s="1334">
        <f t="shared" si="29"/>
        <v>28630.576681720137</v>
      </c>
      <c r="W90" s="1334">
        <f t="shared" si="22"/>
        <v>57344.515191952378</v>
      </c>
      <c r="X90" s="1334">
        <f t="shared" si="30"/>
        <v>23520.554044356824</v>
      </c>
      <c r="Y90" s="1334">
        <f t="shared" si="31"/>
        <v>60129.310532000003</v>
      </c>
      <c r="Z90" s="1334">
        <f t="shared" si="23"/>
        <v>57751.706079533331</v>
      </c>
    </row>
    <row r="91" spans="1:26" hidden="1">
      <c r="A91" s="5">
        <v>2</v>
      </c>
      <c r="B91" s="5">
        <v>2022</v>
      </c>
      <c r="C91" s="5" t="s">
        <v>697</v>
      </c>
      <c r="D91" s="1341">
        <f t="shared" si="32"/>
        <v>44593</v>
      </c>
      <c r="E91" s="1335">
        <v>58368</v>
      </c>
      <c r="F91" s="1335">
        <v>62663</v>
      </c>
      <c r="G91" s="1335">
        <v>58368</v>
      </c>
      <c r="H91" s="1335">
        <f>VLOOKUP(D91,'[9]$ to INR'!$R$3:$S$131,2,TRUE)</f>
        <v>75.146000000000001</v>
      </c>
      <c r="I91" s="1334">
        <f t="shared" si="33"/>
        <v>61047.091200000003</v>
      </c>
      <c r="J91" s="1334">
        <f t="shared" si="24"/>
        <v>64651.385283799995</v>
      </c>
      <c r="K91" s="1334">
        <v>61047</v>
      </c>
      <c r="L91" s="1335">
        <v>41.527777777777779</v>
      </c>
      <c r="M91" s="1335">
        <v>6.2649999999999997</v>
      </c>
      <c r="N91" s="1335">
        <v>2.9</v>
      </c>
      <c r="O91" s="1335">
        <f t="shared" si="34"/>
        <v>1553.8963414634145</v>
      </c>
      <c r="P91" s="1334">
        <f t="shared" si="35"/>
        <v>22794.07002504</v>
      </c>
      <c r="Q91" s="1335">
        <f t="shared" si="36"/>
        <v>12.3998855</v>
      </c>
      <c r="R91" s="1334">
        <f t="shared" si="25"/>
        <v>45844.648352523604</v>
      </c>
      <c r="S91" s="1336">
        <f t="shared" si="26"/>
        <v>1446.1036585365855</v>
      </c>
      <c r="T91" s="1337">
        <f t="shared" si="27"/>
        <v>0.48203455284552849</v>
      </c>
      <c r="U91" s="1338">
        <f t="shared" si="28"/>
        <v>0.51796544715447146</v>
      </c>
      <c r="V91" s="1334">
        <f t="shared" si="29"/>
        <v>33905.24524195939</v>
      </c>
      <c r="W91" s="1334">
        <f t="shared" si="22"/>
        <v>64193.376925444434</v>
      </c>
      <c r="X91" s="1334">
        <f t="shared" si="30"/>
        <v>24177.104724689016</v>
      </c>
      <c r="Y91" s="1334">
        <f t="shared" si="31"/>
        <v>62973.293568000001</v>
      </c>
      <c r="Z91" s="1334">
        <f t="shared" si="23"/>
        <v>64735.819511755544</v>
      </c>
    </row>
    <row r="92" spans="1:26" hidden="1">
      <c r="A92" s="5">
        <v>3</v>
      </c>
      <c r="B92" s="5">
        <v>2022</v>
      </c>
      <c r="C92" s="5" t="s">
        <v>698</v>
      </c>
      <c r="D92" s="1341">
        <f t="shared" si="32"/>
        <v>44621</v>
      </c>
      <c r="E92" s="1335">
        <v>67405</v>
      </c>
      <c r="F92" s="1335">
        <v>71963</v>
      </c>
      <c r="G92" s="1335">
        <v>69288</v>
      </c>
      <c r="H92" s="1335">
        <f>VLOOKUP(D92,'[9]$ to INR'!$R$3:$S$131,2,TRUE)</f>
        <v>75.146000000000001</v>
      </c>
      <c r="I92" s="1334">
        <f t="shared" si="33"/>
        <v>70498.889500000005</v>
      </c>
      <c r="J92" s="1334">
        <f t="shared" si="24"/>
        <v>74269.517757713038</v>
      </c>
      <c r="K92" s="1334">
        <v>72468</v>
      </c>
      <c r="L92" s="1335">
        <v>49.271739130434781</v>
      </c>
      <c r="M92" s="1335">
        <v>4.5679999999999996</v>
      </c>
      <c r="N92" s="1335">
        <v>2.9</v>
      </c>
      <c r="O92" s="1335">
        <f t="shared" si="34"/>
        <v>1553.8963414634145</v>
      </c>
      <c r="P92" s="1334">
        <f t="shared" si="35"/>
        <v>22794.07002504</v>
      </c>
      <c r="Q92" s="1335">
        <f t="shared" si="36"/>
        <v>10.1586576</v>
      </c>
      <c r="R92" s="1334">
        <f t="shared" si="25"/>
        <v>37558.418213272322</v>
      </c>
      <c r="S92" s="1336">
        <f t="shared" si="26"/>
        <v>1446.1036585365855</v>
      </c>
      <c r="T92" s="1337">
        <f t="shared" si="27"/>
        <v>0.48203455284552849</v>
      </c>
      <c r="U92" s="1338">
        <f t="shared" si="28"/>
        <v>0.51796544715447146</v>
      </c>
      <c r="V92" s="1334">
        <f t="shared" si="29"/>
        <v>29910.996002010259</v>
      </c>
      <c r="W92" s="1334">
        <f t="shared" si="22"/>
        <v>73705.991301000002</v>
      </c>
      <c r="X92" s="1334">
        <f t="shared" si="30"/>
        <v>23679.930916333939</v>
      </c>
      <c r="Y92" s="1334">
        <f t="shared" si="31"/>
        <v>72723.321905000004</v>
      </c>
      <c r="Z92" s="1334">
        <f t="shared" si="23"/>
        <v>74373.137094460864</v>
      </c>
    </row>
    <row r="93" spans="1:26" hidden="1">
      <c r="A93" s="5">
        <v>4</v>
      </c>
      <c r="B93" s="5">
        <v>2022</v>
      </c>
      <c r="C93" s="5" t="s">
        <v>699</v>
      </c>
      <c r="D93" s="1341">
        <f t="shared" si="32"/>
        <v>44652</v>
      </c>
      <c r="E93" s="1335">
        <v>70794</v>
      </c>
      <c r="F93" s="1335">
        <v>64215</v>
      </c>
      <c r="G93" s="1335">
        <v>72300</v>
      </c>
      <c r="H93" s="1335">
        <f>VLOOKUP(D93,'[9]$ to INR'!$R$3:$S$131,2,TRUE)</f>
        <v>75.146000000000001</v>
      </c>
      <c r="I93" s="1334">
        <f t="shared" si="33"/>
        <v>74043.444600000003</v>
      </c>
      <c r="J93" s="1334">
        <f t="shared" si="24"/>
        <v>65683.465246299995</v>
      </c>
      <c r="K93" s="1334">
        <v>75619</v>
      </c>
      <c r="L93" s="1335">
        <v>25.875</v>
      </c>
      <c r="M93" s="1335">
        <v>5.3360000000000003</v>
      </c>
      <c r="N93" s="1335">
        <v>2.9</v>
      </c>
      <c r="O93" s="1335">
        <f t="shared" si="34"/>
        <v>1553.8963414634145</v>
      </c>
      <c r="P93" s="1334">
        <f t="shared" si="35"/>
        <v>22794.07002504</v>
      </c>
      <c r="Q93" s="1335">
        <f t="shared" si="36"/>
        <v>11.172955200000001</v>
      </c>
      <c r="R93" s="1334">
        <f t="shared" si="25"/>
        <v>41308.462259792643</v>
      </c>
      <c r="S93" s="1336">
        <f t="shared" si="26"/>
        <v>1446.1036585365855</v>
      </c>
      <c r="T93" s="1337">
        <f t="shared" si="27"/>
        <v>0.48203455284552849</v>
      </c>
      <c r="U93" s="1338">
        <f t="shared" si="28"/>
        <v>0.51796544715447146</v>
      </c>
      <c r="V93" s="1334">
        <f t="shared" si="29"/>
        <v>31718.646807125711</v>
      </c>
      <c r="W93" s="1334">
        <f t="shared" si="22"/>
        <v>65487.986328499988</v>
      </c>
      <c r="X93" s="1334">
        <f t="shared" si="30"/>
        <v>23904.933559125158</v>
      </c>
      <c r="Y93" s="1334">
        <f t="shared" si="31"/>
        <v>76379.717394000007</v>
      </c>
      <c r="Z93" s="1334">
        <f t="shared" si="23"/>
        <v>65720.166848699984</v>
      </c>
    </row>
    <row r="94" spans="1:26" hidden="1">
      <c r="A94" s="5">
        <v>5</v>
      </c>
      <c r="B94" s="5">
        <v>2022</v>
      </c>
      <c r="C94" s="5" t="s">
        <v>700</v>
      </c>
      <c r="D94" s="1341">
        <f t="shared" si="32"/>
        <v>44682</v>
      </c>
      <c r="E94" s="1335">
        <v>64016</v>
      </c>
      <c r="F94" s="1335">
        <v>61866</v>
      </c>
      <c r="G94" s="1335">
        <v>64769</v>
      </c>
      <c r="H94" s="1335">
        <f>VLOOKUP(D94,'[9]$ to INR'!$R$3:$S$131,2,TRUE)</f>
        <v>75.146000000000001</v>
      </c>
      <c r="I94" s="1334">
        <f t="shared" si="33"/>
        <v>66954.334400000007</v>
      </c>
      <c r="J94" s="1334">
        <f t="shared" si="24"/>
        <v>63044.166403536845</v>
      </c>
      <c r="K94" s="1334">
        <v>67742</v>
      </c>
      <c r="L94" s="1335">
        <v>17.710526315789473</v>
      </c>
      <c r="M94" s="1335">
        <v>7.2670000000000003</v>
      </c>
      <c r="N94" s="1335">
        <v>6.1</v>
      </c>
      <c r="O94" s="1335">
        <f t="shared" si="34"/>
        <v>1553.8963414634145</v>
      </c>
      <c r="P94" s="1334">
        <f t="shared" si="35"/>
        <v>35133.788673360003</v>
      </c>
      <c r="Q94" s="1335">
        <f t="shared" si="36"/>
        <v>13.7232269</v>
      </c>
      <c r="R94" s="1334">
        <f t="shared" si="25"/>
        <v>50737.283944468087</v>
      </c>
      <c r="S94" s="1336">
        <f t="shared" si="26"/>
        <v>1446.1036585365855</v>
      </c>
      <c r="T94" s="1337">
        <f t="shared" si="27"/>
        <v>0.48203455284552849</v>
      </c>
      <c r="U94" s="1338">
        <f t="shared" si="28"/>
        <v>0.51796544715447146</v>
      </c>
      <c r="V94" s="1334">
        <f t="shared" si="29"/>
        <v>42655.212539195905</v>
      </c>
      <c r="W94" s="1334">
        <f t="shared" si="22"/>
        <v>62977.978964421047</v>
      </c>
      <c r="X94" s="1334">
        <f t="shared" si="30"/>
        <v>36069.998389626482</v>
      </c>
      <c r="Y94" s="1334">
        <f t="shared" si="31"/>
        <v>69066.926416000002</v>
      </c>
      <c r="Z94" s="1334">
        <f t="shared" si="23"/>
        <v>63057.360464357887</v>
      </c>
    </row>
    <row r="95" spans="1:26" hidden="1">
      <c r="A95" s="5">
        <v>6</v>
      </c>
      <c r="B95" s="5">
        <v>2022</v>
      </c>
      <c r="C95" s="5" t="s">
        <v>701</v>
      </c>
      <c r="D95" s="1341">
        <f t="shared" si="32"/>
        <v>44713</v>
      </c>
      <c r="E95" s="1335">
        <v>56485</v>
      </c>
      <c r="F95" s="1335">
        <v>55766</v>
      </c>
      <c r="G95" s="1335">
        <v>56485</v>
      </c>
      <c r="H95" s="1335">
        <f>VLOOKUP(D95,'[9]$ to INR'!$R$3:$S$131,2,TRUE)</f>
        <v>75.146000000000001</v>
      </c>
      <c r="I95" s="1334">
        <f t="shared" si="33"/>
        <v>59077.661500000002</v>
      </c>
      <c r="J95" s="1334">
        <f t="shared" si="24"/>
        <v>56746.818850845448</v>
      </c>
      <c r="K95" s="1334">
        <v>59077</v>
      </c>
      <c r="L95" s="1335">
        <v>12.965909090909092</v>
      </c>
      <c r="M95" s="1335">
        <v>8.9079999999999995</v>
      </c>
      <c r="N95" s="1335">
        <v>6.1</v>
      </c>
      <c r="O95" s="1335">
        <f t="shared" si="34"/>
        <v>1553.8963414634145</v>
      </c>
      <c r="P95" s="1334">
        <f t="shared" si="35"/>
        <v>35133.788673360003</v>
      </c>
      <c r="Q95" s="1335">
        <f t="shared" si="36"/>
        <v>15.890495599999999</v>
      </c>
      <c r="R95" s="1334">
        <f t="shared" si="25"/>
        <v>58750.073371993924</v>
      </c>
      <c r="S95" s="1336">
        <f t="shared" si="26"/>
        <v>1446.1036585365855</v>
      </c>
      <c r="T95" s="1337">
        <f t="shared" si="27"/>
        <v>0.48203455284552849</v>
      </c>
      <c r="U95" s="1338">
        <f t="shared" si="28"/>
        <v>0.51796544715447146</v>
      </c>
      <c r="V95" s="1334">
        <f t="shared" si="29"/>
        <v>46517.6539079387</v>
      </c>
      <c r="W95" s="1334">
        <f t="shared" si="22"/>
        <v>56744.307993045448</v>
      </c>
      <c r="X95" s="1334">
        <f t="shared" si="30"/>
        <v>36550.765755278029</v>
      </c>
      <c r="Y95" s="1334">
        <f t="shared" si="31"/>
        <v>60941.722985000008</v>
      </c>
      <c r="Z95" s="1334">
        <f t="shared" si="23"/>
        <v>56748.435351427266</v>
      </c>
    </row>
    <row r="96" spans="1:26" hidden="1">
      <c r="A96" s="5">
        <v>7</v>
      </c>
      <c r="B96" s="5">
        <v>2022</v>
      </c>
      <c r="C96" s="5" t="s">
        <v>702</v>
      </c>
      <c r="D96" s="1341">
        <f t="shared" si="32"/>
        <v>44743</v>
      </c>
      <c r="E96" s="1335">
        <v>54602</v>
      </c>
      <c r="F96" s="1335">
        <v>53476</v>
      </c>
      <c r="G96" s="1335">
        <v>54602</v>
      </c>
      <c r="H96" s="1335">
        <f>VLOOKUP(D96,'[9]$ to INR'!$R$3:$S$131,2,TRUE)</f>
        <v>75.146000000000001</v>
      </c>
      <c r="I96" s="1334">
        <f t="shared" si="33"/>
        <v>57108.231800000001</v>
      </c>
      <c r="J96" s="1334">
        <f t="shared" si="24"/>
        <v>55060.830987549998</v>
      </c>
      <c r="K96" s="1334">
        <v>57108</v>
      </c>
      <c r="L96" s="1335">
        <v>31.237500000000001</v>
      </c>
      <c r="M96" s="1335">
        <v>6.5510000000000002</v>
      </c>
      <c r="N96" s="1335">
        <v>6.1</v>
      </c>
      <c r="O96" s="1335">
        <f t="shared" si="34"/>
        <v>1553.8963414634145</v>
      </c>
      <c r="P96" s="1334">
        <f t="shared" si="35"/>
        <v>35133.788673360003</v>
      </c>
      <c r="Q96" s="1335">
        <f t="shared" si="36"/>
        <v>12.777605700000001</v>
      </c>
      <c r="R96" s="1334">
        <f t="shared" si="25"/>
        <v>47241.149130264246</v>
      </c>
      <c r="S96" s="1336">
        <f t="shared" si="26"/>
        <v>1446.1036585365855</v>
      </c>
      <c r="T96" s="1337">
        <f t="shared" si="27"/>
        <v>0.48203455284552849</v>
      </c>
      <c r="U96" s="1338">
        <f t="shared" si="28"/>
        <v>0.51796544715447146</v>
      </c>
      <c r="V96" s="1334">
        <f t="shared" si="29"/>
        <v>40969.954757343468</v>
      </c>
      <c r="W96" s="1334">
        <f t="shared" si="22"/>
        <v>54750.710196250002</v>
      </c>
      <c r="X96" s="1334">
        <f t="shared" si="30"/>
        <v>35860.230300774252</v>
      </c>
      <c r="Y96" s="1334">
        <f t="shared" si="31"/>
        <v>58910.152402000007</v>
      </c>
      <c r="Z96" s="1334">
        <f t="shared" si="23"/>
        <v>55118.376566949999</v>
      </c>
    </row>
    <row r="97" spans="1:26" hidden="1">
      <c r="A97" s="5">
        <v>8</v>
      </c>
      <c r="B97" s="5">
        <v>2022</v>
      </c>
      <c r="C97" s="5" t="s">
        <v>703</v>
      </c>
      <c r="D97" s="1341">
        <f t="shared" si="32"/>
        <v>44774</v>
      </c>
      <c r="E97" s="1335">
        <v>50460</v>
      </c>
      <c r="F97" s="1335">
        <v>47653</v>
      </c>
      <c r="G97" s="1335">
        <v>49707</v>
      </c>
      <c r="H97" s="1335">
        <f>VLOOKUP(D97,'[9]$ to INR'!$R$3:$S$131,2,TRUE)</f>
        <v>75.146000000000001</v>
      </c>
      <c r="I97" s="1334">
        <f t="shared" si="33"/>
        <v>52776.114000000001</v>
      </c>
      <c r="J97" s="1334">
        <f t="shared" si="24"/>
        <v>48826.440601981813</v>
      </c>
      <c r="K97" s="1334">
        <v>51988</v>
      </c>
      <c r="L97" s="1335">
        <v>20.113636363636363</v>
      </c>
      <c r="M97" s="1335">
        <v>8.6869999999999994</v>
      </c>
      <c r="N97" s="1335">
        <v>6.1</v>
      </c>
      <c r="O97" s="1335">
        <f t="shared" si="34"/>
        <v>1553.8963414634145</v>
      </c>
      <c r="P97" s="1334">
        <f t="shared" si="35"/>
        <v>35133.788673360003</v>
      </c>
      <c r="Q97" s="1335">
        <f t="shared" si="36"/>
        <v>15.598620899999998</v>
      </c>
      <c r="R97" s="1334">
        <f t="shared" si="25"/>
        <v>57670.959134648874</v>
      </c>
      <c r="S97" s="1336">
        <f t="shared" si="26"/>
        <v>1446.1036585365855</v>
      </c>
      <c r="T97" s="1337">
        <f t="shared" si="27"/>
        <v>0.48203455284552849</v>
      </c>
      <c r="U97" s="1338">
        <f t="shared" si="28"/>
        <v>0.51796544715447146</v>
      </c>
      <c r="V97" s="1334">
        <f t="shared" si="29"/>
        <v>45997.483559070839</v>
      </c>
      <c r="W97" s="1334">
        <f t="shared" si="22"/>
        <v>48686.129199181814</v>
      </c>
      <c r="X97" s="1334">
        <f t="shared" si="30"/>
        <v>36486.018901037329</v>
      </c>
      <c r="Y97" s="1334">
        <f t="shared" si="31"/>
        <v>54441.344460000008</v>
      </c>
      <c r="Z97" s="1334">
        <f t="shared" si="23"/>
        <v>48853.111747109084</v>
      </c>
    </row>
  </sheetData>
  <mergeCells count="4">
    <mergeCell ref="AD2:AH2"/>
    <mergeCell ref="AD3:AD5"/>
    <mergeCell ref="AD7:AD9"/>
    <mergeCell ref="AD12:AD1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7"/>
  <dimension ref="A1:J30"/>
  <sheetViews>
    <sheetView showGridLines="0" zoomScale="70" zoomScaleNormal="70" workbookViewId="0">
      <pane xSplit="2" ySplit="1" topLeftCell="C2" activePane="bottomRight" state="frozen"/>
      <selection activeCell="C13" sqref="C13"/>
      <selection pane="topRight" activeCell="C13" sqref="C13"/>
      <selection pane="bottomLeft" activeCell="C13" sqref="C13"/>
      <selection pane="bottomRight" activeCell="C1" sqref="C1:D1"/>
    </sheetView>
  </sheetViews>
  <sheetFormatPr defaultRowHeight="12.75"/>
  <cols>
    <col min="1" max="1" width="9.42578125" style="329" customWidth="1"/>
    <col min="2" max="2" width="26" style="329" bestFit="1" customWidth="1"/>
    <col min="3" max="3" width="36.28515625" style="329" customWidth="1"/>
    <col min="4" max="4" width="77.85546875" style="329" customWidth="1"/>
    <col min="5" max="5" width="40.5703125" style="329" customWidth="1"/>
    <col min="6" max="6" width="44" style="329" customWidth="1"/>
    <col min="7" max="7" width="37.28515625" style="329" customWidth="1"/>
    <col min="8" max="8" width="46.42578125" style="329" customWidth="1"/>
    <col min="9" max="9" width="28.85546875" style="329" customWidth="1"/>
    <col min="10" max="10" width="30.5703125" style="329" customWidth="1"/>
    <col min="11" max="16384" width="9.140625" style="329"/>
  </cols>
  <sheetData>
    <row r="1" spans="1:10" ht="52.5" customHeight="1">
      <c r="A1" s="327" t="s">
        <v>149</v>
      </c>
      <c r="B1" s="328"/>
      <c r="C1" s="1353" t="str">
        <f>'Background and Option Evaluated'!A2</f>
        <v>Option 1 : Capacity of 200 KTPA Phenol and 123 KTPA Acetone capacity (Propane Furnace Additional)</v>
      </c>
      <c r="D1" s="1354"/>
      <c r="E1" s="1353" t="s">
        <v>555</v>
      </c>
      <c r="F1" s="1354"/>
      <c r="G1" s="1353" t="str">
        <f>'Background and Option Evaluated'!A4</f>
        <v>Option 3 : Capacity for 200 KTPA Phenol + 120 KTPA Acetone, (Propylene - 80 % in house and 20 % external procurement)</v>
      </c>
      <c r="H1" s="1354"/>
      <c r="I1" s="1353" t="s">
        <v>572</v>
      </c>
      <c r="J1" s="1354"/>
    </row>
    <row r="2" spans="1:10" ht="19.5" customHeight="1">
      <c r="A2" s="1357" t="s">
        <v>112</v>
      </c>
      <c r="B2" s="1017" t="s">
        <v>104</v>
      </c>
      <c r="C2" s="330" t="s">
        <v>576</v>
      </c>
      <c r="D2" s="1018" t="s">
        <v>577</v>
      </c>
      <c r="E2" s="330" t="s">
        <v>576</v>
      </c>
      <c r="F2" s="1018" t="s">
        <v>577</v>
      </c>
      <c r="G2" s="330" t="s">
        <v>576</v>
      </c>
      <c r="H2" s="1018" t="s">
        <v>577</v>
      </c>
      <c r="I2" s="330" t="s">
        <v>576</v>
      </c>
      <c r="J2" s="1018" t="s">
        <v>577</v>
      </c>
    </row>
    <row r="3" spans="1:10">
      <c r="A3" s="1358"/>
      <c r="B3" s="1019" t="s">
        <v>2</v>
      </c>
      <c r="C3" s="331">
        <v>91750</v>
      </c>
      <c r="D3" s="345">
        <f>'Financial Model Prop. Furn. Add'!CM70</f>
        <v>47244.380438566972</v>
      </c>
      <c r="E3" s="333">
        <v>73400</v>
      </c>
      <c r="F3" s="533">
        <f>'Financial Model Base Case'!CM71</f>
        <v>46133.268121625209</v>
      </c>
      <c r="G3" s="332">
        <v>91750</v>
      </c>
      <c r="H3" s="533">
        <v>55650</v>
      </c>
      <c r="I3" s="332">
        <v>91750</v>
      </c>
      <c r="J3" s="533">
        <v>89500</v>
      </c>
    </row>
    <row r="4" spans="1:10" ht="21.75" customHeight="1">
      <c r="A4" s="1359"/>
      <c r="B4" s="1019" t="s">
        <v>3</v>
      </c>
      <c r="C4" s="331">
        <v>164000</v>
      </c>
      <c r="D4" s="345">
        <f>'Financial Model Prop. Furn. Add'!CM7</f>
        <v>49804.452380952382</v>
      </c>
      <c r="E4" s="333">
        <v>131200</v>
      </c>
      <c r="F4" s="533">
        <v>49804.452380952403</v>
      </c>
      <c r="G4" s="333">
        <v>164000</v>
      </c>
      <c r="H4" s="533">
        <v>49804.452380952382</v>
      </c>
      <c r="I4" s="333">
        <v>164000</v>
      </c>
      <c r="J4" s="533">
        <v>91500</v>
      </c>
    </row>
    <row r="5" spans="1:10">
      <c r="A5" s="1357" t="s">
        <v>111</v>
      </c>
      <c r="B5" s="334" t="s">
        <v>148</v>
      </c>
      <c r="C5" s="335">
        <v>44400</v>
      </c>
      <c r="D5" s="551">
        <v>5830</v>
      </c>
      <c r="E5" s="334">
        <v>30950</v>
      </c>
      <c r="F5" s="1016">
        <f t="shared" ref="F5:F18" si="0">D5</f>
        <v>5830</v>
      </c>
      <c r="G5" s="336">
        <f t="shared" ref="G5:G10" si="1">C5</f>
        <v>44400</v>
      </c>
      <c r="H5" s="997">
        <v>5830</v>
      </c>
      <c r="I5" s="336">
        <f t="shared" ref="I5:I10" si="2">E5</f>
        <v>30950</v>
      </c>
      <c r="J5" s="997">
        <v>11450</v>
      </c>
    </row>
    <row r="6" spans="1:10">
      <c r="A6" s="1358"/>
      <c r="B6" s="333" t="s">
        <v>134</v>
      </c>
      <c r="C6" s="337">
        <f>2278*365</f>
        <v>831470</v>
      </c>
      <c r="D6" s="552">
        <v>4.1779999999999999</v>
      </c>
      <c r="E6" s="333">
        <v>681900</v>
      </c>
      <c r="F6" s="1015">
        <f t="shared" si="0"/>
        <v>4.1779999999999999</v>
      </c>
      <c r="G6" s="338">
        <f t="shared" si="1"/>
        <v>831470</v>
      </c>
      <c r="H6" s="998">
        <v>4.1779999999999999</v>
      </c>
      <c r="I6" s="338">
        <f t="shared" si="2"/>
        <v>681900</v>
      </c>
      <c r="J6" s="998">
        <v>4.1779999999999999</v>
      </c>
    </row>
    <row r="7" spans="1:10">
      <c r="A7" s="1358"/>
      <c r="B7" s="333" t="s">
        <v>133</v>
      </c>
      <c r="C7" s="337">
        <v>71620</v>
      </c>
      <c r="D7" s="552">
        <v>90.86</v>
      </c>
      <c r="E7" s="333">
        <v>58700</v>
      </c>
      <c r="F7" s="1015">
        <f t="shared" si="0"/>
        <v>90.86</v>
      </c>
      <c r="G7" s="338">
        <f t="shared" si="1"/>
        <v>71620</v>
      </c>
      <c r="H7" s="998">
        <v>90.86</v>
      </c>
      <c r="I7" s="338">
        <f t="shared" si="2"/>
        <v>58700</v>
      </c>
      <c r="J7" s="998">
        <v>90.86</v>
      </c>
    </row>
    <row r="8" spans="1:10">
      <c r="A8" s="1358"/>
      <c r="B8" s="333" t="s">
        <v>132</v>
      </c>
      <c r="C8" s="337">
        <v>141300</v>
      </c>
      <c r="D8" s="553">
        <v>10450</v>
      </c>
      <c r="E8" s="333">
        <v>115866</v>
      </c>
      <c r="F8" s="1015">
        <f t="shared" si="0"/>
        <v>10450</v>
      </c>
      <c r="G8" s="338">
        <f t="shared" si="1"/>
        <v>141300</v>
      </c>
      <c r="H8" s="998">
        <v>10450</v>
      </c>
      <c r="I8" s="338">
        <f t="shared" si="2"/>
        <v>115866</v>
      </c>
      <c r="J8" s="998">
        <v>14300</v>
      </c>
    </row>
    <row r="9" spans="1:10">
      <c r="A9" s="1358"/>
      <c r="B9" s="333" t="s">
        <v>131</v>
      </c>
      <c r="C9" s="337">
        <v>2032</v>
      </c>
      <c r="D9" s="552">
        <v>52</v>
      </c>
      <c r="E9" s="333">
        <v>1667</v>
      </c>
      <c r="F9" s="1015">
        <f t="shared" si="0"/>
        <v>52</v>
      </c>
      <c r="G9" s="338">
        <f t="shared" si="1"/>
        <v>2032</v>
      </c>
      <c r="H9" s="998">
        <v>52</v>
      </c>
      <c r="I9" s="338">
        <f t="shared" si="2"/>
        <v>1667</v>
      </c>
      <c r="J9" s="998">
        <v>65</v>
      </c>
    </row>
    <row r="10" spans="1:10" ht="14.25" customHeight="1">
      <c r="A10" s="1359"/>
      <c r="B10" s="339" t="s">
        <v>153</v>
      </c>
      <c r="C10" s="340">
        <v>445</v>
      </c>
      <c r="D10" s="554">
        <v>57</v>
      </c>
      <c r="E10" s="339">
        <v>365</v>
      </c>
      <c r="F10" s="999">
        <f t="shared" si="0"/>
        <v>57</v>
      </c>
      <c r="G10" s="338">
        <f t="shared" si="1"/>
        <v>445</v>
      </c>
      <c r="H10" s="1015">
        <v>57</v>
      </c>
      <c r="I10" s="338">
        <f t="shared" si="2"/>
        <v>365</v>
      </c>
      <c r="J10" s="1015">
        <v>57</v>
      </c>
    </row>
    <row r="11" spans="1:10" ht="14.25" customHeight="1">
      <c r="A11" s="1355" t="s">
        <v>110</v>
      </c>
      <c r="B11" s="1020" t="s">
        <v>276</v>
      </c>
      <c r="C11" s="335">
        <f>0.0244*200000</f>
        <v>4880</v>
      </c>
      <c r="D11" s="1014">
        <v>27500</v>
      </c>
      <c r="E11" s="334">
        <v>4105</v>
      </c>
      <c r="F11" s="1016">
        <f t="shared" si="0"/>
        <v>27500</v>
      </c>
      <c r="G11" s="555">
        <f>0.0244*200000</f>
        <v>4880</v>
      </c>
      <c r="H11" s="334">
        <f t="shared" ref="H11:H18" si="3">D11</f>
        <v>27500</v>
      </c>
      <c r="I11" s="555">
        <f>0.0244*200000</f>
        <v>4880</v>
      </c>
      <c r="J11" s="334">
        <v>34500</v>
      </c>
    </row>
    <row r="12" spans="1:10" ht="14.25" customHeight="1">
      <c r="A12" s="1356"/>
      <c r="B12" s="1019" t="s">
        <v>277</v>
      </c>
      <c r="C12" s="337">
        <f>0.0082*200000</f>
        <v>1640.0000000000002</v>
      </c>
      <c r="D12" s="341">
        <v>14300</v>
      </c>
      <c r="E12" s="333">
        <v>359</v>
      </c>
      <c r="F12" s="1015">
        <f t="shared" si="0"/>
        <v>14300</v>
      </c>
      <c r="G12" s="553">
        <f>0.0082*200000</f>
        <v>1640.0000000000002</v>
      </c>
      <c r="H12" s="333">
        <f t="shared" si="3"/>
        <v>14300</v>
      </c>
      <c r="I12" s="553">
        <f>0.0082*200000</f>
        <v>1640.0000000000002</v>
      </c>
      <c r="J12" s="333">
        <v>17200</v>
      </c>
    </row>
    <row r="13" spans="1:10" ht="14.25" customHeight="1">
      <c r="A13" s="1356"/>
      <c r="B13" s="1019" t="s">
        <v>427</v>
      </c>
      <c r="C13" s="337">
        <f>0.00001*200000</f>
        <v>2</v>
      </c>
      <c r="D13" s="341">
        <v>135000</v>
      </c>
      <c r="E13" s="333">
        <v>1.65</v>
      </c>
      <c r="F13" s="1015">
        <f t="shared" si="0"/>
        <v>135000</v>
      </c>
      <c r="G13" s="553">
        <f>0.00001*200000</f>
        <v>2</v>
      </c>
      <c r="H13" s="333">
        <f t="shared" si="3"/>
        <v>135000</v>
      </c>
      <c r="I13" s="553">
        <f>0.00001*200000</f>
        <v>2</v>
      </c>
      <c r="J13" s="333">
        <f t="shared" ref="J13:J18" si="4">F13</f>
        <v>135000</v>
      </c>
    </row>
    <row r="14" spans="1:10" ht="14.25" customHeight="1">
      <c r="A14" s="1356"/>
      <c r="B14" s="1019" t="s">
        <v>440</v>
      </c>
      <c r="C14" s="337">
        <v>4.5</v>
      </c>
      <c r="D14" s="341">
        <v>43500</v>
      </c>
      <c r="E14" s="333">
        <v>3.7</v>
      </c>
      <c r="F14" s="1015">
        <f t="shared" si="0"/>
        <v>43500</v>
      </c>
      <c r="G14" s="553">
        <v>4.5</v>
      </c>
      <c r="H14" s="333">
        <f t="shared" si="3"/>
        <v>43500</v>
      </c>
      <c r="I14" s="553">
        <v>4.5</v>
      </c>
      <c r="J14" s="333">
        <f t="shared" si="4"/>
        <v>43500</v>
      </c>
    </row>
    <row r="15" spans="1:10" ht="14.25" customHeight="1">
      <c r="A15" s="1356"/>
      <c r="B15" s="1019" t="s">
        <v>428</v>
      </c>
      <c r="C15" s="337">
        <f>0.00007*200000</f>
        <v>13.999999999999998</v>
      </c>
      <c r="D15" s="341">
        <v>63000</v>
      </c>
      <c r="E15" s="333">
        <v>11.5</v>
      </c>
      <c r="F15" s="1015">
        <f t="shared" si="0"/>
        <v>63000</v>
      </c>
      <c r="G15" s="553">
        <f>0.00007*200000</f>
        <v>13.999999999999998</v>
      </c>
      <c r="H15" s="333">
        <f t="shared" si="3"/>
        <v>63000</v>
      </c>
      <c r="I15" s="553">
        <f>0.00007*200000</f>
        <v>13.999999999999998</v>
      </c>
      <c r="J15" s="333">
        <f t="shared" si="4"/>
        <v>63000</v>
      </c>
    </row>
    <row r="16" spans="1:10" ht="14.25" customHeight="1">
      <c r="A16" s="360"/>
      <c r="B16" s="1019" t="s">
        <v>444</v>
      </c>
      <c r="C16" s="337">
        <v>5.4</v>
      </c>
      <c r="D16" s="341">
        <v>194000</v>
      </c>
      <c r="E16" s="333">
        <v>4.45</v>
      </c>
      <c r="F16" s="1015">
        <f t="shared" si="0"/>
        <v>194000</v>
      </c>
      <c r="G16" s="553">
        <v>5.4</v>
      </c>
      <c r="H16" s="333">
        <f t="shared" si="3"/>
        <v>194000</v>
      </c>
      <c r="I16" s="553">
        <v>5.4</v>
      </c>
      <c r="J16" s="333">
        <f t="shared" si="4"/>
        <v>194000</v>
      </c>
    </row>
    <row r="17" spans="1:10" ht="14.25" customHeight="1">
      <c r="A17" s="360"/>
      <c r="B17" s="1019" t="s">
        <v>441</v>
      </c>
      <c r="C17" s="337">
        <v>54.45</v>
      </c>
      <c r="D17" s="341">
        <v>4400</v>
      </c>
      <c r="E17" s="333">
        <v>44.65</v>
      </c>
      <c r="F17" s="1015">
        <f t="shared" si="0"/>
        <v>4400</v>
      </c>
      <c r="G17" s="553">
        <v>54.45</v>
      </c>
      <c r="H17" s="333">
        <f t="shared" si="3"/>
        <v>4400</v>
      </c>
      <c r="I17" s="553">
        <v>54.45</v>
      </c>
      <c r="J17" s="333">
        <f t="shared" si="4"/>
        <v>4400</v>
      </c>
    </row>
    <row r="18" spans="1:10" ht="14.25" customHeight="1">
      <c r="A18" s="360"/>
      <c r="B18" s="1019" t="s">
        <v>153</v>
      </c>
      <c r="C18" s="337">
        <v>65000</v>
      </c>
      <c r="D18" s="341">
        <v>12000</v>
      </c>
      <c r="E18" s="333">
        <v>53300</v>
      </c>
      <c r="F18" s="1015">
        <f t="shared" si="0"/>
        <v>12000</v>
      </c>
      <c r="G18" s="553">
        <v>65000</v>
      </c>
      <c r="H18" s="333">
        <f t="shared" si="3"/>
        <v>12000</v>
      </c>
      <c r="I18" s="553">
        <v>65000</v>
      </c>
      <c r="J18" s="333">
        <f t="shared" si="4"/>
        <v>12000</v>
      </c>
    </row>
    <row r="19" spans="1:10">
      <c r="A19" s="534"/>
      <c r="B19" s="1021" t="s">
        <v>4</v>
      </c>
      <c r="C19" s="1022" t="s">
        <v>146</v>
      </c>
      <c r="D19" s="1023" t="s">
        <v>145</v>
      </c>
      <c r="E19" s="330" t="s">
        <v>146</v>
      </c>
      <c r="F19" s="1018" t="s">
        <v>145</v>
      </c>
      <c r="G19" s="330" t="s">
        <v>146</v>
      </c>
      <c r="H19" s="1024" t="s">
        <v>145</v>
      </c>
      <c r="I19" s="330" t="s">
        <v>146</v>
      </c>
      <c r="J19" s="1018" t="s">
        <v>145</v>
      </c>
    </row>
    <row r="20" spans="1:10">
      <c r="A20" s="534"/>
      <c r="B20" s="1025" t="s">
        <v>147</v>
      </c>
      <c r="C20" s="342">
        <v>200000</v>
      </c>
      <c r="D20" s="346">
        <f>'Financial Model (84 Months)'!CM57</f>
        <v>77038.391071428574</v>
      </c>
      <c r="E20" s="343">
        <f>200000*0.8</f>
        <v>160000</v>
      </c>
      <c r="F20" s="536">
        <f>H20</f>
        <v>77038.391071428574</v>
      </c>
      <c r="G20" s="343">
        <v>200000</v>
      </c>
      <c r="H20" s="535">
        <f>D20</f>
        <v>77038.391071428574</v>
      </c>
      <c r="I20" s="343">
        <v>200000</v>
      </c>
      <c r="J20" s="536">
        <f>F20</f>
        <v>77038.391071428574</v>
      </c>
    </row>
    <row r="21" spans="1:10">
      <c r="A21" s="534"/>
      <c r="B21" s="1026" t="s">
        <v>11</v>
      </c>
      <c r="C21" s="1027">
        <v>120000</v>
      </c>
      <c r="D21" s="1028">
        <f>'Financial Model (84 Months)'!CM56</f>
        <v>58590.053407738094</v>
      </c>
      <c r="E21" s="1029">
        <f>120000*0.8</f>
        <v>96000</v>
      </c>
      <c r="F21" s="1030">
        <f>H21</f>
        <v>58590.053407738094</v>
      </c>
      <c r="G21" s="1029">
        <v>120000</v>
      </c>
      <c r="H21" s="1031">
        <f>D21</f>
        <v>58590.053407738094</v>
      </c>
      <c r="I21" s="1029">
        <v>120000</v>
      </c>
      <c r="J21" s="1030">
        <f>F21</f>
        <v>58590.053407738094</v>
      </c>
    </row>
    <row r="22" spans="1:10" s="344" customFormat="1"/>
    <row r="23" spans="1:10">
      <c r="B23" s="344"/>
      <c r="C23" s="344"/>
      <c r="D23" s="344"/>
    </row>
    <row r="24" spans="1:10">
      <c r="B24" s="344"/>
    </row>
    <row r="25" spans="1:10">
      <c r="E25" s="344"/>
      <c r="F25" s="344"/>
      <c r="G25" s="344"/>
      <c r="H25" s="344"/>
    </row>
    <row r="26" spans="1:10">
      <c r="E26" s="344"/>
      <c r="F26" s="344"/>
      <c r="G26" s="344"/>
      <c r="H26" s="344"/>
    </row>
    <row r="27" spans="1:10">
      <c r="E27" s="344"/>
      <c r="F27" s="344"/>
      <c r="G27" s="344"/>
      <c r="H27" s="344"/>
    </row>
    <row r="28" spans="1:10">
      <c r="E28" s="344"/>
      <c r="F28" s="344"/>
      <c r="G28" s="344"/>
      <c r="H28" s="344"/>
    </row>
    <row r="29" spans="1:10">
      <c r="E29" s="344"/>
      <c r="F29" s="344"/>
      <c r="G29" s="344"/>
      <c r="H29" s="344"/>
    </row>
    <row r="30" spans="1:10">
      <c r="E30" s="344"/>
      <c r="F30" s="344"/>
      <c r="G30" s="344"/>
      <c r="H30" s="344"/>
    </row>
  </sheetData>
  <mergeCells count="7">
    <mergeCell ref="I1:J1"/>
    <mergeCell ref="E1:F1"/>
    <mergeCell ref="A11:A15"/>
    <mergeCell ref="A2:A4"/>
    <mergeCell ref="G1:H1"/>
    <mergeCell ref="A5:A10"/>
    <mergeCell ref="C1:D1"/>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N43"/>
  <sheetViews>
    <sheetView showGridLines="0" zoomScaleNormal="100" workbookViewId="0">
      <selection activeCell="J11" sqref="J11"/>
    </sheetView>
  </sheetViews>
  <sheetFormatPr defaultRowHeight="12.75"/>
  <cols>
    <col min="1" max="1" width="24.28515625" style="1" bestFit="1" customWidth="1"/>
    <col min="2" max="2" width="20.140625" style="1" bestFit="1" customWidth="1"/>
    <col min="3" max="3" width="18.42578125" style="1" bestFit="1" customWidth="1"/>
    <col min="4" max="4" width="18.42578125" style="1" customWidth="1"/>
    <col min="5" max="5" width="36.85546875" style="1" customWidth="1"/>
    <col min="6" max="6" width="20.140625" style="1" bestFit="1" customWidth="1"/>
    <col min="7" max="7" width="22.140625" style="1" customWidth="1"/>
    <col min="8" max="8" width="13.5703125" style="1" customWidth="1"/>
    <col min="9" max="9" width="14.28515625" style="1" customWidth="1"/>
    <col min="10" max="10" width="30" style="1" customWidth="1"/>
    <col min="11" max="11" width="17" style="1" bestFit="1" customWidth="1"/>
    <col min="12" max="12" width="15.85546875" style="1" customWidth="1"/>
    <col min="13" max="14" width="12.5703125" style="1" customWidth="1"/>
    <col min="15" max="16384" width="9.140625" style="1"/>
  </cols>
  <sheetData>
    <row r="1" spans="1:11">
      <c r="A1" s="81"/>
      <c r="B1" s="1363" t="s">
        <v>180</v>
      </c>
      <c r="C1" s="1364"/>
      <c r="D1" s="94"/>
      <c r="E1" s="98" t="s">
        <v>228</v>
      </c>
      <c r="F1" s="99" t="s">
        <v>183</v>
      </c>
      <c r="G1" s="100"/>
      <c r="I1" s="98"/>
      <c r="J1" s="1302" t="s">
        <v>597</v>
      </c>
      <c r="K1" s="100"/>
    </row>
    <row r="2" spans="1:11">
      <c r="A2" s="82"/>
      <c r="B2" s="77" t="s">
        <v>183</v>
      </c>
      <c r="C2" s="83" t="s">
        <v>173</v>
      </c>
      <c r="D2" s="95"/>
      <c r="E2" s="82"/>
      <c r="F2" s="4"/>
      <c r="G2" s="85"/>
      <c r="I2" s="82"/>
      <c r="J2" s="4"/>
      <c r="K2" s="85"/>
    </row>
    <row r="3" spans="1:11">
      <c r="A3" s="84" t="s">
        <v>135</v>
      </c>
      <c r="B3" s="4"/>
      <c r="C3" s="85"/>
      <c r="D3" s="25"/>
      <c r="E3" s="84" t="s">
        <v>135</v>
      </c>
      <c r="F3" s="4"/>
      <c r="G3" s="85" t="s">
        <v>278</v>
      </c>
      <c r="I3" s="84" t="s">
        <v>135</v>
      </c>
      <c r="J3" s="4" t="s">
        <v>598</v>
      </c>
      <c r="K3" s="85" t="s">
        <v>173</v>
      </c>
    </row>
    <row r="4" spans="1:11">
      <c r="A4" s="86" t="s">
        <v>168</v>
      </c>
      <c r="B4" s="76">
        <v>535</v>
      </c>
      <c r="C4" s="87">
        <f>((B4/$B$8)/$B$11)</f>
        <v>0.4870410662102741</v>
      </c>
      <c r="D4" s="96"/>
      <c r="E4" s="86" t="s">
        <v>168</v>
      </c>
      <c r="F4" s="114">
        <v>569</v>
      </c>
      <c r="G4" s="146">
        <f>F4-B4</f>
        <v>34</v>
      </c>
      <c r="I4" s="86" t="s">
        <v>168</v>
      </c>
      <c r="J4" s="114">
        <v>1080</v>
      </c>
      <c r="K4" s="1303">
        <v>0.78657119051919533</v>
      </c>
    </row>
    <row r="5" spans="1:11">
      <c r="A5" s="86" t="s">
        <v>1</v>
      </c>
      <c r="B5" s="76">
        <v>1500</v>
      </c>
      <c r="C5" s="87">
        <f>((B5/$B$8)/$B$11)</f>
        <v>1.3655356996549743</v>
      </c>
      <c r="D5" s="96"/>
      <c r="E5" s="86" t="s">
        <v>1</v>
      </c>
      <c r="F5" s="114">
        <v>1611</v>
      </c>
      <c r="G5" s="146">
        <f>F5-B5</f>
        <v>111</v>
      </c>
      <c r="I5" s="86" t="s">
        <v>1</v>
      </c>
      <c r="J5" s="114">
        <v>1071</v>
      </c>
      <c r="K5" s="1303">
        <v>0.78001643059820203</v>
      </c>
    </row>
    <row r="6" spans="1:11">
      <c r="A6" s="86" t="s">
        <v>0</v>
      </c>
      <c r="B6" s="76">
        <v>271</v>
      </c>
      <c r="C6" s="87">
        <f>((B6/$B$8)/$B$11)</f>
        <v>0.24670678307099869</v>
      </c>
      <c r="D6" s="96"/>
      <c r="E6" s="86" t="s">
        <v>0</v>
      </c>
      <c r="F6" s="114">
        <f>271+426</f>
        <v>697</v>
      </c>
      <c r="G6" s="146">
        <f>F6-B6</f>
        <v>426</v>
      </c>
      <c r="I6" s="86" t="s">
        <v>0</v>
      </c>
      <c r="J6" s="114">
        <v>245</v>
      </c>
      <c r="K6" s="1303">
        <v>0.16764295070661636</v>
      </c>
    </row>
    <row r="7" spans="1:11">
      <c r="A7" s="86" t="s">
        <v>169</v>
      </c>
      <c r="B7" s="76">
        <v>167</v>
      </c>
      <c r="C7" s="87">
        <f>((B7/$B$8)/$B$11)</f>
        <v>0.1520296412282538</v>
      </c>
      <c r="D7" s="96"/>
      <c r="E7" s="86" t="s">
        <v>169</v>
      </c>
      <c r="F7" s="114">
        <v>136</v>
      </c>
      <c r="G7" s="146">
        <f>F7-B7</f>
        <v>-31</v>
      </c>
      <c r="I7" s="86" t="s">
        <v>169</v>
      </c>
      <c r="J7" s="114">
        <v>136</v>
      </c>
      <c r="K7" s="1303">
        <v>9.3058944065713564E-2</v>
      </c>
    </row>
    <row r="8" spans="1:11">
      <c r="A8" s="88" t="s">
        <v>172</v>
      </c>
      <c r="B8" s="80">
        <f>SUM(B4:B7)</f>
        <v>2473</v>
      </c>
      <c r="C8" s="89"/>
      <c r="D8" s="97">
        <f>B8*8.5/8</f>
        <v>2627.5625</v>
      </c>
      <c r="E8" s="88" t="s">
        <v>172</v>
      </c>
      <c r="F8" s="80">
        <f>SUM(F4:F7)</f>
        <v>3013</v>
      </c>
      <c r="G8" s="89"/>
      <c r="I8" s="88" t="s">
        <v>172</v>
      </c>
      <c r="J8" s="80">
        <f>SUM(J4:J7)</f>
        <v>2532</v>
      </c>
      <c r="K8" s="1304">
        <f>SUM(K4:K7)</f>
        <v>1.8272895158897271</v>
      </c>
    </row>
    <row r="9" spans="1:11">
      <c r="A9" s="82"/>
      <c r="B9" s="4"/>
      <c r="C9" s="85"/>
      <c r="D9" s="25"/>
      <c r="E9" s="82"/>
      <c r="F9" s="4"/>
      <c r="G9" s="85"/>
      <c r="I9" s="82"/>
      <c r="J9" s="4"/>
      <c r="K9" s="85"/>
    </row>
    <row r="10" spans="1:11" ht="25.5">
      <c r="A10" s="90" t="s">
        <v>174</v>
      </c>
      <c r="B10" s="78" t="s">
        <v>175</v>
      </c>
      <c r="C10" s="1000" t="s">
        <v>559</v>
      </c>
      <c r="D10" s="1000" t="s">
        <v>558</v>
      </c>
      <c r="E10" s="90" t="s">
        <v>174</v>
      </c>
      <c r="F10" s="78" t="s">
        <v>175</v>
      </c>
      <c r="G10" s="91" t="s">
        <v>182</v>
      </c>
      <c r="I10" s="90" t="s">
        <v>174</v>
      </c>
      <c r="J10" s="78" t="s">
        <v>175</v>
      </c>
      <c r="K10" s="91" t="s">
        <v>182</v>
      </c>
    </row>
    <row r="11" spans="1:11">
      <c r="A11" s="86" t="s">
        <v>165</v>
      </c>
      <c r="B11" s="79">
        <v>0.44418520016174701</v>
      </c>
      <c r="C11" s="53">
        <f>$B$8*B11</f>
        <v>1098.4700000000003</v>
      </c>
      <c r="D11" s="97">
        <f>C11*8.5/8</f>
        <v>1167.1243750000003</v>
      </c>
      <c r="E11" s="86" t="s">
        <v>165</v>
      </c>
      <c r="F11" s="79">
        <v>0.44727242552485269</v>
      </c>
      <c r="G11" s="43">
        <f>$F$8*F11</f>
        <v>1347.6318181063812</v>
      </c>
      <c r="I11" s="86" t="s">
        <v>165</v>
      </c>
      <c r="J11" s="79">
        <v>0.54227804107424959</v>
      </c>
      <c r="K11" s="43">
        <f>J11*$J$8</f>
        <v>1373.048</v>
      </c>
    </row>
    <row r="12" spans="1:11">
      <c r="A12" s="86" t="s">
        <v>2</v>
      </c>
      <c r="B12" s="79">
        <v>0.16173473513950665</v>
      </c>
      <c r="C12" s="53">
        <f t="shared" ref="C12:C21" si="0">$B$8*B12</f>
        <v>399.96999999999991</v>
      </c>
      <c r="D12" s="97">
        <f t="shared" ref="D12:D21" si="1">C12*8.5/8</f>
        <v>424.96812499999993</v>
      </c>
      <c r="E12" s="86" t="s">
        <v>2</v>
      </c>
      <c r="F12" s="79">
        <v>0.17143299311260474</v>
      </c>
      <c r="G12" s="43">
        <f t="shared" ref="G12:G21" si="2">$F$8*F12</f>
        <v>516.52760824827806</v>
      </c>
      <c r="I12" s="86" t="s">
        <v>2</v>
      </c>
      <c r="J12" s="79">
        <v>0.13512796208530806</v>
      </c>
      <c r="K12" s="43">
        <f t="shared" ref="K12:K20" si="3">J12*$J$8</f>
        <v>342.14400000000001</v>
      </c>
    </row>
    <row r="13" spans="1:11">
      <c r="A13" s="86" t="s">
        <v>8</v>
      </c>
      <c r="B13" s="79">
        <v>2.3996360695511525E-2</v>
      </c>
      <c r="C13" s="53">
        <f t="shared" si="0"/>
        <v>59.343000000000004</v>
      </c>
      <c r="D13" s="97">
        <f t="shared" si="1"/>
        <v>63.051937500000001</v>
      </c>
      <c r="E13" s="86" t="s">
        <v>8</v>
      </c>
      <c r="F13" s="79">
        <v>2.2352070367604348E-2</v>
      </c>
      <c r="G13" s="43">
        <f t="shared" si="2"/>
        <v>67.346788017591905</v>
      </c>
      <c r="I13" s="86" t="s">
        <v>8</v>
      </c>
      <c r="J13" s="79">
        <v>1.792298578199052E-2</v>
      </c>
      <c r="K13" s="43">
        <f t="shared" si="3"/>
        <v>45.380999999999993</v>
      </c>
    </row>
    <row r="14" spans="1:11">
      <c r="A14" s="86" t="s">
        <v>3</v>
      </c>
      <c r="B14" s="79">
        <v>5.2989001213101482E-2</v>
      </c>
      <c r="C14" s="53">
        <f t="shared" si="0"/>
        <v>131.04179999999997</v>
      </c>
      <c r="D14" s="97">
        <f t="shared" si="1"/>
        <v>139.23191249999996</v>
      </c>
      <c r="E14" s="86" t="s">
        <v>3</v>
      </c>
      <c r="F14" s="79">
        <v>4.7020184217077404E-2</v>
      </c>
      <c r="G14" s="43">
        <f t="shared" si="2"/>
        <v>141.67181504605421</v>
      </c>
      <c r="I14" s="86" t="s">
        <v>3</v>
      </c>
      <c r="J14" s="79">
        <v>3.8885260663507115E-2</v>
      </c>
      <c r="K14" s="43">
        <f t="shared" si="3"/>
        <v>98.457480000000018</v>
      </c>
    </row>
    <row r="15" spans="1:11">
      <c r="A15" s="86" t="s">
        <v>176</v>
      </c>
      <c r="B15" s="79">
        <v>4.6617350384148812E-2</v>
      </c>
      <c r="C15" s="53">
        <f t="shared" si="0"/>
        <v>115.28470750000001</v>
      </c>
      <c r="D15" s="97">
        <f t="shared" si="1"/>
        <v>122.49000171875001</v>
      </c>
      <c r="E15" s="86" t="s">
        <v>176</v>
      </c>
      <c r="F15" s="79">
        <v>4.1174129698780183E-2</v>
      </c>
      <c r="G15" s="43">
        <f t="shared" si="2"/>
        <v>124.0576527824247</v>
      </c>
      <c r="I15" s="86" t="s">
        <v>176</v>
      </c>
      <c r="J15" s="79">
        <v>4.1307898894154829E-2</v>
      </c>
      <c r="K15" s="43">
        <f t="shared" si="3"/>
        <v>104.59160000000003</v>
      </c>
    </row>
    <row r="16" spans="1:11">
      <c r="A16" s="86" t="s">
        <v>177</v>
      </c>
      <c r="B16" s="79">
        <v>5.9612626364739178E-2</v>
      </c>
      <c r="C16" s="53">
        <f t="shared" si="0"/>
        <v>147.42202499999999</v>
      </c>
      <c r="D16" s="97">
        <f t="shared" si="1"/>
        <v>156.63590156249998</v>
      </c>
      <c r="E16" s="86" t="s">
        <v>177</v>
      </c>
      <c r="F16" s="79">
        <v>5.2897707244212104E-2</v>
      </c>
      <c r="G16" s="43">
        <f t="shared" si="2"/>
        <v>159.38079192681107</v>
      </c>
      <c r="I16" s="86" t="s">
        <v>177</v>
      </c>
      <c r="J16" s="79">
        <v>4.6662312796208534E-2</v>
      </c>
      <c r="K16" s="43">
        <f t="shared" si="3"/>
        <v>118.148976</v>
      </c>
    </row>
    <row r="17" spans="1:14">
      <c r="A17" s="86" t="s">
        <v>9</v>
      </c>
      <c r="B17" s="79">
        <v>2.2979030327537401E-2</v>
      </c>
      <c r="C17" s="53">
        <f t="shared" si="0"/>
        <v>56.827141999999995</v>
      </c>
      <c r="D17" s="97">
        <f t="shared" si="1"/>
        <v>60.378838374999994</v>
      </c>
      <c r="E17" s="86" t="s">
        <v>9</v>
      </c>
      <c r="F17" s="79">
        <v>2.1811367355406192E-2</v>
      </c>
      <c r="G17" s="43">
        <f t="shared" si="2"/>
        <v>65.717649841838863</v>
      </c>
      <c r="I17" s="86" t="s">
        <v>9</v>
      </c>
      <c r="J17" s="79">
        <v>3.4588362085308057E-2</v>
      </c>
      <c r="K17" s="43">
        <f t="shared" si="3"/>
        <v>87.577732799999993</v>
      </c>
    </row>
    <row r="18" spans="1:14">
      <c r="A18" s="86" t="s">
        <v>178</v>
      </c>
      <c r="B18" s="79">
        <v>6.2185928022644545E-4</v>
      </c>
      <c r="C18" s="53">
        <f t="shared" si="0"/>
        <v>1.5378579999999995</v>
      </c>
      <c r="D18" s="97">
        <f t="shared" si="1"/>
        <v>1.6339741249999995</v>
      </c>
      <c r="E18" s="86" t="s">
        <v>178</v>
      </c>
      <c r="F18" s="79">
        <v>6.2618139573479374E-4</v>
      </c>
      <c r="G18" s="43">
        <f t="shared" si="2"/>
        <v>1.8866845453489336</v>
      </c>
      <c r="I18" s="86" t="s">
        <v>178</v>
      </c>
      <c r="J18" s="79">
        <v>7.5918925750394944E-4</v>
      </c>
      <c r="K18" s="43">
        <f t="shared" si="3"/>
        <v>1.9222672000000001</v>
      </c>
    </row>
    <row r="19" spans="1:14">
      <c r="A19" s="86" t="s">
        <v>10</v>
      </c>
      <c r="B19" s="79">
        <v>1.7883787909421755E-2</v>
      </c>
      <c r="C19" s="53">
        <f t="shared" si="0"/>
        <v>44.2266075</v>
      </c>
      <c r="D19" s="97">
        <f t="shared" si="1"/>
        <v>46.99077046875</v>
      </c>
      <c r="E19" s="86" t="s">
        <v>10</v>
      </c>
      <c r="F19" s="79">
        <v>1.5869312173263629E-2</v>
      </c>
      <c r="G19" s="43">
        <f t="shared" si="2"/>
        <v>47.814237578043311</v>
      </c>
      <c r="I19" s="86" t="s">
        <v>10</v>
      </c>
      <c r="J19" s="79">
        <v>8.3992163033175353E-3</v>
      </c>
      <c r="K19" s="43">
        <f t="shared" si="3"/>
        <v>21.266815680000001</v>
      </c>
    </row>
    <row r="20" spans="1:14">
      <c r="A20" s="86" t="s">
        <v>179</v>
      </c>
      <c r="B20" s="79">
        <v>0.15316740800646989</v>
      </c>
      <c r="C20" s="53">
        <f t="shared" si="0"/>
        <v>378.78300000000002</v>
      </c>
      <c r="D20" s="97">
        <f t="shared" si="1"/>
        <v>402.45693750000004</v>
      </c>
      <c r="E20" s="86" t="s">
        <v>179</v>
      </c>
      <c r="F20" s="79">
        <v>0.16039014189693798</v>
      </c>
      <c r="G20" s="43">
        <f t="shared" si="2"/>
        <v>483.25549753547415</v>
      </c>
      <c r="I20" s="86" t="s">
        <v>179</v>
      </c>
      <c r="J20" s="79">
        <v>0.13600236966824641</v>
      </c>
      <c r="K20" s="43">
        <f t="shared" si="3"/>
        <v>344.35799999999995</v>
      </c>
    </row>
    <row r="21" spans="1:14">
      <c r="A21" s="92" t="s">
        <v>181</v>
      </c>
      <c r="B21" s="93">
        <v>1.6212640517590023E-2</v>
      </c>
      <c r="C21" s="54">
        <f t="shared" si="0"/>
        <v>40.093860000000127</v>
      </c>
      <c r="D21" s="97">
        <f t="shared" si="1"/>
        <v>42.599726250000138</v>
      </c>
      <c r="E21" s="92" t="s">
        <v>181</v>
      </c>
      <c r="F21" s="93">
        <v>1.9153487013525899E-2</v>
      </c>
      <c r="G21" s="113">
        <f t="shared" si="2"/>
        <v>57.709456371753532</v>
      </c>
      <c r="I21" s="92" t="s">
        <v>181</v>
      </c>
      <c r="J21" s="93">
        <v>0</v>
      </c>
      <c r="K21" s="113">
        <v>0</v>
      </c>
    </row>
    <row r="26" spans="1:14" ht="13.5" thickBot="1">
      <c r="E26" s="1365" t="s">
        <v>254</v>
      </c>
      <c r="F26" s="1365"/>
      <c r="G26" s="115"/>
      <c r="H26" s="115"/>
      <c r="I26" s="115"/>
    </row>
    <row r="27" spans="1:14" ht="13.5" thickBot="1">
      <c r="E27" s="116" t="s">
        <v>4</v>
      </c>
      <c r="F27" s="117" t="s">
        <v>5</v>
      </c>
      <c r="G27" s="118" t="s">
        <v>6</v>
      </c>
      <c r="H27" s="118" t="s">
        <v>7</v>
      </c>
      <c r="I27" s="118" t="s">
        <v>1</v>
      </c>
      <c r="J27" s="142" t="s">
        <v>234</v>
      </c>
    </row>
    <row r="28" spans="1:14" ht="13.5" thickBot="1">
      <c r="E28" s="119" t="s">
        <v>235</v>
      </c>
      <c r="F28" s="120">
        <v>0.82</v>
      </c>
      <c r="G28" s="120">
        <v>0.46</v>
      </c>
      <c r="H28" s="120">
        <v>0.33</v>
      </c>
      <c r="I28" s="120">
        <v>0.32</v>
      </c>
      <c r="J28" s="136" t="s">
        <v>4</v>
      </c>
      <c r="K28" s="137" t="s">
        <v>198</v>
      </c>
      <c r="L28" s="137" t="s">
        <v>199</v>
      </c>
      <c r="M28" s="137" t="s">
        <v>200</v>
      </c>
      <c r="N28" s="137" t="s">
        <v>1</v>
      </c>
    </row>
    <row r="29" spans="1:14" ht="13.5" thickBot="1">
      <c r="E29" s="119" t="s">
        <v>236</v>
      </c>
      <c r="F29" s="120">
        <v>0.01</v>
      </c>
      <c r="G29" s="120">
        <v>0.24</v>
      </c>
      <c r="H29" s="120">
        <v>0.24</v>
      </c>
      <c r="I29" s="120">
        <v>0.193</v>
      </c>
      <c r="J29" s="139" t="s">
        <v>235</v>
      </c>
      <c r="K29" s="325">
        <v>0.82</v>
      </c>
      <c r="L29" s="325">
        <v>0.46</v>
      </c>
      <c r="M29" s="325">
        <v>0.33</v>
      </c>
      <c r="N29" s="325">
        <v>0.308</v>
      </c>
    </row>
    <row r="30" spans="1:14" ht="13.5" thickBot="1">
      <c r="E30" s="121" t="s">
        <v>154</v>
      </c>
      <c r="F30" s="120">
        <v>1.35E-2</v>
      </c>
      <c r="G30" s="120">
        <v>0.02</v>
      </c>
      <c r="H30" s="120">
        <v>9.5000000000000001E-2</v>
      </c>
      <c r="I30" s="120">
        <v>0.34499999999999997</v>
      </c>
      <c r="J30" s="139" t="s">
        <v>236</v>
      </c>
      <c r="K30" s="325">
        <v>0.01</v>
      </c>
      <c r="L30" s="325">
        <v>0.24</v>
      </c>
      <c r="M30" s="325">
        <v>0.24</v>
      </c>
      <c r="N30" s="325">
        <v>0.224</v>
      </c>
    </row>
    <row r="31" spans="1:14" ht="13.5" thickBot="1">
      <c r="E31" s="121" t="s">
        <v>255</v>
      </c>
      <c r="F31" s="120">
        <v>3.2500000000000001E-2</v>
      </c>
      <c r="G31" s="120">
        <v>3.5000000000000003E-2</v>
      </c>
      <c r="H31" s="120">
        <v>0.31</v>
      </c>
      <c r="I31" s="120">
        <v>0.13100000000000001</v>
      </c>
      <c r="J31" s="139" t="s">
        <v>8</v>
      </c>
      <c r="K31" s="325">
        <v>1.8E-3</v>
      </c>
      <c r="L31" s="325">
        <v>0.01</v>
      </c>
      <c r="M31" s="325">
        <v>0.01</v>
      </c>
      <c r="N31" s="325">
        <v>3.6999999999999998E-2</v>
      </c>
    </row>
    <row r="32" spans="1:14" ht="13.5" thickBot="1">
      <c r="E32" s="121" t="s">
        <v>8</v>
      </c>
      <c r="F32" s="120">
        <v>1.8E-3</v>
      </c>
      <c r="G32" s="120">
        <v>0.01</v>
      </c>
      <c r="H32" s="120">
        <v>0.01</v>
      </c>
      <c r="I32" s="120">
        <v>3.5999999999999997E-2</v>
      </c>
      <c r="J32" s="139" t="s">
        <v>3</v>
      </c>
      <c r="K32" s="325">
        <v>2.7000000000000001E-3</v>
      </c>
      <c r="L32" s="325">
        <v>4.0000000000000001E-3</v>
      </c>
      <c r="M32" s="325">
        <v>1.9000000000000003E-2</v>
      </c>
      <c r="N32" s="325">
        <v>8.5880000000000012E-2</v>
      </c>
    </row>
    <row r="33" spans="5:14" ht="13.5" thickBot="1">
      <c r="E33" s="121" t="s">
        <v>179</v>
      </c>
      <c r="F33" s="120">
        <v>0.06</v>
      </c>
      <c r="G33" s="120">
        <v>0.22</v>
      </c>
      <c r="H33" s="120">
        <v>0.28899999999999998</v>
      </c>
      <c r="I33" s="120">
        <v>0.15920000000000001</v>
      </c>
      <c r="J33" s="139" t="s">
        <v>176</v>
      </c>
      <c r="K33" s="325">
        <v>1.3000000000000001E-2</v>
      </c>
      <c r="L33" s="325">
        <v>1.4000000000000002E-2</v>
      </c>
      <c r="M33" s="325">
        <v>0.124</v>
      </c>
      <c r="N33" s="325">
        <v>6.5600000000000006E-2</v>
      </c>
    </row>
    <row r="34" spans="5:14" ht="13.5" thickBot="1">
      <c r="E34" s="121" t="s">
        <v>9</v>
      </c>
      <c r="F34" s="120">
        <v>6.2199999999999998E-2</v>
      </c>
      <c r="G34" s="120">
        <v>1.4999999999999999E-2</v>
      </c>
      <c r="H34" s="120">
        <v>1.9E-2</v>
      </c>
      <c r="I34" s="120">
        <v>1.1900000000000001E-2</v>
      </c>
      <c r="J34" s="139" t="s">
        <v>177</v>
      </c>
      <c r="K34" s="325">
        <v>3.2399999999999998E-3</v>
      </c>
      <c r="L34" s="325">
        <v>4.7999999999999996E-3</v>
      </c>
      <c r="M34" s="325">
        <v>2.2800000000000001E-2</v>
      </c>
      <c r="N34" s="325">
        <v>0.10305599999999999</v>
      </c>
    </row>
    <row r="35" spans="5:14">
      <c r="E35" s="1366"/>
      <c r="F35" s="1366"/>
      <c r="G35" s="1360"/>
      <c r="H35" s="1360"/>
      <c r="I35" s="1360"/>
      <c r="J35" s="139" t="s">
        <v>9</v>
      </c>
      <c r="K35" s="325">
        <v>6.1051999999999995E-2</v>
      </c>
      <c r="L35" s="325">
        <v>1.4355999999999999E-2</v>
      </c>
      <c r="M35" s="325">
        <v>1.8537999999999999E-2</v>
      </c>
      <c r="N35" s="325">
        <v>1.45688E-2</v>
      </c>
    </row>
    <row r="36" spans="5:14" ht="13.5" thickBot="1">
      <c r="E36" s="1367" t="s">
        <v>256</v>
      </c>
      <c r="F36" s="1367"/>
      <c r="G36" s="1361"/>
      <c r="H36" s="1361"/>
      <c r="I36" s="1362"/>
      <c r="J36" s="139" t="s">
        <v>178</v>
      </c>
      <c r="K36" s="325">
        <v>1.1479999999999999E-3</v>
      </c>
      <c r="L36" s="325">
        <v>6.4400000000000004E-4</v>
      </c>
      <c r="M36" s="325">
        <v>4.6200000000000001E-4</v>
      </c>
      <c r="N36" s="325">
        <v>4.3119999999999996E-4</v>
      </c>
    </row>
    <row r="37" spans="5:14" ht="39" thickBot="1">
      <c r="E37" s="122" t="s">
        <v>257</v>
      </c>
      <c r="F37" s="123" t="s">
        <v>258</v>
      </c>
      <c r="G37" s="118" t="s">
        <v>259</v>
      </c>
      <c r="H37" s="124" t="s">
        <v>260</v>
      </c>
      <c r="I37" s="125"/>
      <c r="J37" s="139" t="s">
        <v>10</v>
      </c>
      <c r="K37" s="325">
        <v>5.8319999999999997E-4</v>
      </c>
      <c r="L37" s="325">
        <v>8.6399999999999986E-4</v>
      </c>
      <c r="M37" s="325">
        <v>4.104E-3</v>
      </c>
      <c r="N37" s="325">
        <v>1.855008E-2</v>
      </c>
    </row>
    <row r="38" spans="5:14" ht="13.5" thickBot="1">
      <c r="E38" s="126">
        <v>1</v>
      </c>
      <c r="F38" s="127" t="s">
        <v>3</v>
      </c>
      <c r="G38" s="128" t="s">
        <v>261</v>
      </c>
      <c r="H38" s="129">
        <v>0.24</v>
      </c>
      <c r="I38" s="125"/>
      <c r="J38" s="139" t="s">
        <v>179</v>
      </c>
      <c r="K38" s="325">
        <v>0.06</v>
      </c>
      <c r="L38" s="325">
        <v>0.22</v>
      </c>
      <c r="M38" s="325">
        <v>0.28899999999999998</v>
      </c>
      <c r="N38" s="325">
        <v>0.17399999999999999</v>
      </c>
    </row>
    <row r="39" spans="5:14" ht="13.5" thickBot="1">
      <c r="E39" s="126">
        <v>2</v>
      </c>
      <c r="F39" s="127" t="s">
        <v>176</v>
      </c>
      <c r="G39" s="128" t="s">
        <v>262</v>
      </c>
      <c r="H39" s="129">
        <v>0.42</v>
      </c>
      <c r="I39" s="125"/>
      <c r="J39" s="139" t="s">
        <v>181</v>
      </c>
      <c r="K39" s="325">
        <v>2.6476799999999967E-2</v>
      </c>
      <c r="L39" s="325">
        <v>3.133600000000003E-2</v>
      </c>
      <c r="M39" s="325">
        <v>-5.7904000000000178E-2</v>
      </c>
      <c r="N39" s="325">
        <v>-3.1086080000000127E-2</v>
      </c>
    </row>
    <row r="40" spans="5:14" ht="13.5" thickBot="1">
      <c r="E40" s="126">
        <v>3</v>
      </c>
      <c r="F40" s="127" t="s">
        <v>177</v>
      </c>
      <c r="G40" s="128" t="s">
        <v>261</v>
      </c>
      <c r="H40" s="129">
        <v>0.27</v>
      </c>
      <c r="I40" s="125"/>
    </row>
    <row r="41" spans="5:14" ht="13.5" thickBot="1">
      <c r="E41" s="126">
        <v>4</v>
      </c>
      <c r="F41" s="127" t="s">
        <v>263</v>
      </c>
      <c r="G41" s="128" t="s">
        <v>264</v>
      </c>
      <c r="H41" s="129">
        <v>1.4</v>
      </c>
      <c r="I41" s="125"/>
    </row>
    <row r="42" spans="5:14" ht="13.5" thickBot="1">
      <c r="E42" s="126">
        <v>5</v>
      </c>
      <c r="F42" s="127" t="s">
        <v>265</v>
      </c>
      <c r="G42" s="128" t="s">
        <v>266</v>
      </c>
      <c r="H42" s="129">
        <v>0</v>
      </c>
      <c r="I42" s="125"/>
    </row>
    <row r="43" spans="5:14" ht="13.5" thickBot="1">
      <c r="E43" s="126">
        <v>6</v>
      </c>
      <c r="F43" s="127" t="s">
        <v>10</v>
      </c>
      <c r="G43" s="128" t="s">
        <v>267</v>
      </c>
      <c r="H43" s="129">
        <v>0.3</v>
      </c>
      <c r="I43" s="125"/>
    </row>
  </sheetData>
  <mergeCells count="7">
    <mergeCell ref="H35:H36"/>
    <mergeCell ref="I35:I36"/>
    <mergeCell ref="B1:C1"/>
    <mergeCell ref="E26:F26"/>
    <mergeCell ref="E35:F35"/>
    <mergeCell ref="E36:F36"/>
    <mergeCell ref="G35:G3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0"/>
  <dimension ref="A1:AN30"/>
  <sheetViews>
    <sheetView showGridLines="0" zoomScaleNormal="100" workbookViewId="0">
      <selection activeCell="E8" sqref="E8"/>
    </sheetView>
  </sheetViews>
  <sheetFormatPr defaultRowHeight="12.75"/>
  <cols>
    <col min="1" max="1" width="28.85546875" style="1" bestFit="1" customWidth="1"/>
    <col min="2" max="2" width="19.140625" style="1" bestFit="1" customWidth="1"/>
    <col min="3" max="3" width="11.7109375" style="1" customWidth="1"/>
    <col min="4" max="4" width="11.140625" style="1" bestFit="1" customWidth="1"/>
    <col min="5" max="5" width="9.85546875" style="1" bestFit="1" customWidth="1"/>
    <col min="6" max="6" width="24" style="1" customWidth="1"/>
    <col min="7" max="7" width="25.28515625" style="1" bestFit="1" customWidth="1"/>
    <col min="8" max="8" width="14" style="1" customWidth="1"/>
    <col min="9" max="9" width="12.28515625" style="1" bestFit="1" customWidth="1"/>
    <col min="10" max="10" width="10.7109375" style="1" customWidth="1"/>
    <col min="11" max="11" width="10.5703125" style="1" customWidth="1"/>
    <col min="12" max="13" width="9.28515625" style="1" bestFit="1" customWidth="1"/>
    <col min="14" max="14" width="12.7109375" style="1" bestFit="1" customWidth="1"/>
    <col min="15" max="19" width="12.5703125" style="1" customWidth="1"/>
    <col min="20" max="20" width="9.140625" style="1"/>
    <col min="21" max="21" width="0" style="1" hidden="1" customWidth="1"/>
    <col min="22" max="22" width="12.5703125" style="138" hidden="1" customWidth="1"/>
    <col min="23" max="24" width="9.140625" style="138" hidden="1" customWidth="1"/>
    <col min="25" max="25" width="11.7109375" style="138" hidden="1" customWidth="1"/>
    <col min="26" max="40" width="9.140625" style="138" hidden="1" customWidth="1"/>
    <col min="41" max="41" width="0" style="1" hidden="1" customWidth="1"/>
    <col min="42" max="16384" width="9.140625" style="1"/>
  </cols>
  <sheetData>
    <row r="1" spans="1:40">
      <c r="A1" s="1168" t="s">
        <v>627</v>
      </c>
      <c r="G1" s="142" t="s">
        <v>628</v>
      </c>
      <c r="V1" s="141">
        <v>12</v>
      </c>
      <c r="W1" s="138">
        <v>-560.28072146136765</v>
      </c>
      <c r="Y1" s="141">
        <v>12</v>
      </c>
      <c r="Z1" s="138">
        <v>-28.368635419760267</v>
      </c>
      <c r="AB1" s="141">
        <v>12</v>
      </c>
      <c r="AC1" s="138">
        <v>12.848301537703719</v>
      </c>
      <c r="AG1" s="141">
        <v>12</v>
      </c>
      <c r="AH1" s="138">
        <v>3497.1507519116394</v>
      </c>
      <c r="AJ1" s="141">
        <v>12</v>
      </c>
      <c r="AK1" s="138">
        <v>3455.9338149541754</v>
      </c>
      <c r="AM1" s="141">
        <v>12</v>
      </c>
      <c r="AN1" s="138">
        <v>2924.0217289125681</v>
      </c>
    </row>
    <row r="2" spans="1:40">
      <c r="A2" s="136" t="s">
        <v>4</v>
      </c>
      <c r="B2" s="137" t="s">
        <v>198</v>
      </c>
      <c r="C2" s="137" t="s">
        <v>199</v>
      </c>
      <c r="D2" s="137" t="s">
        <v>200</v>
      </c>
      <c r="E2" s="137" t="s">
        <v>1</v>
      </c>
      <c r="F2" s="143"/>
      <c r="G2" s="136" t="s">
        <v>4</v>
      </c>
      <c r="H2" s="137" t="s">
        <v>198</v>
      </c>
      <c r="I2" s="137" t="s">
        <v>199</v>
      </c>
      <c r="J2" s="137" t="s">
        <v>200</v>
      </c>
      <c r="K2" s="137" t="s">
        <v>1</v>
      </c>
      <c r="V2" s="141">
        <v>12.5</v>
      </c>
      <c r="W2" s="138">
        <v>-628.24943082097343</v>
      </c>
      <c r="Y2" s="141">
        <v>12.5</v>
      </c>
      <c r="Z2" s="138">
        <v>-122.59996546902266</v>
      </c>
      <c r="AB2" s="141">
        <v>12.5</v>
      </c>
      <c r="AC2" s="138">
        <v>-96.756695506630876</v>
      </c>
      <c r="AG2" s="141">
        <v>12.5</v>
      </c>
      <c r="AH2" s="138">
        <v>3387.5457548673048</v>
      </c>
      <c r="AJ2" s="141">
        <v>12.5</v>
      </c>
      <c r="AK2" s="138">
        <v>3361.702484904913</v>
      </c>
      <c r="AM2" s="141">
        <v>12.5</v>
      </c>
      <c r="AN2" s="138">
        <v>2856.0530195529623</v>
      </c>
    </row>
    <row r="3" spans="1:40">
      <c r="A3" s="139" t="s">
        <v>235</v>
      </c>
      <c r="B3" s="144">
        <v>0.82</v>
      </c>
      <c r="C3" s="144">
        <v>0.46</v>
      </c>
      <c r="D3" s="144">
        <v>0.33</v>
      </c>
      <c r="E3" s="144">
        <v>0.32</v>
      </c>
      <c r="G3" s="139" t="s">
        <v>235</v>
      </c>
      <c r="H3" s="325">
        <v>0.82</v>
      </c>
      <c r="I3" s="325">
        <v>0.46</v>
      </c>
      <c r="J3" s="325">
        <v>0.33</v>
      </c>
      <c r="K3" s="325">
        <v>0.308</v>
      </c>
      <c r="L3" s="140"/>
      <c r="M3" s="140"/>
      <c r="N3" s="140"/>
      <c r="O3" s="140"/>
      <c r="P3" s="140"/>
      <c r="Q3" s="140"/>
      <c r="R3" s="140"/>
      <c r="S3" s="140"/>
      <c r="V3" s="141">
        <v>13</v>
      </c>
      <c r="W3" s="138">
        <v>-696.21814018057921</v>
      </c>
      <c r="Y3" s="141">
        <v>13</v>
      </c>
      <c r="Z3" s="138">
        <v>-216.83129551828324</v>
      </c>
      <c r="AB3" s="141">
        <v>13</v>
      </c>
      <c r="AC3" s="138">
        <v>-206.36169255096547</v>
      </c>
      <c r="AG3" s="141">
        <v>13</v>
      </c>
      <c r="AH3" s="138">
        <v>3277.9407578229702</v>
      </c>
      <c r="AJ3" s="141">
        <v>13</v>
      </c>
      <c r="AK3" s="138">
        <v>3267.4711548556525</v>
      </c>
      <c r="AM3" s="141">
        <v>13</v>
      </c>
      <c r="AN3" s="138">
        <v>2788.0843101933565</v>
      </c>
    </row>
    <row r="4" spans="1:40">
      <c r="A4" s="139" t="s">
        <v>236</v>
      </c>
      <c r="B4" s="144">
        <v>0.01</v>
      </c>
      <c r="C4" s="144">
        <v>0.24</v>
      </c>
      <c r="D4" s="144">
        <v>0.24</v>
      </c>
      <c r="E4" s="144">
        <v>0.193</v>
      </c>
      <c r="G4" s="139" t="s">
        <v>236</v>
      </c>
      <c r="H4" s="325">
        <v>0.01</v>
      </c>
      <c r="I4" s="325">
        <v>0.24</v>
      </c>
      <c r="J4" s="325">
        <v>0.24</v>
      </c>
      <c r="K4" s="325">
        <v>0.224</v>
      </c>
      <c r="L4" s="140"/>
      <c r="M4" s="140"/>
      <c r="N4" s="140"/>
      <c r="O4" s="140"/>
      <c r="P4" s="140"/>
      <c r="Q4" s="140"/>
      <c r="R4" s="140"/>
      <c r="S4" s="140"/>
      <c r="V4" s="141">
        <v>13.5</v>
      </c>
      <c r="W4" s="138">
        <v>-764.1868495401859</v>
      </c>
      <c r="Y4" s="141">
        <v>13.5</v>
      </c>
      <c r="Z4" s="138">
        <v>-311.06262556754564</v>
      </c>
      <c r="AB4" s="141">
        <v>13.5</v>
      </c>
      <c r="AC4" s="138">
        <v>-315.96668959530007</v>
      </c>
      <c r="AG4" s="141">
        <v>13.5</v>
      </c>
      <c r="AH4" s="138">
        <v>3168.3357607786356</v>
      </c>
      <c r="AJ4" s="141">
        <v>13.5</v>
      </c>
      <c r="AK4" s="138">
        <v>3173.2398248063901</v>
      </c>
      <c r="AM4" s="141">
        <v>13.5</v>
      </c>
      <c r="AN4" s="138">
        <v>2720.1156008337498</v>
      </c>
    </row>
    <row r="5" spans="1:40">
      <c r="A5" s="139" t="s">
        <v>8</v>
      </c>
      <c r="B5" s="144">
        <v>1.8E-3</v>
      </c>
      <c r="C5" s="144">
        <v>0.01</v>
      </c>
      <c r="D5" s="144">
        <v>0.01</v>
      </c>
      <c r="E5" s="144">
        <v>3.5999999999999997E-2</v>
      </c>
      <c r="G5" s="139" t="s">
        <v>8</v>
      </c>
      <c r="H5" s="325">
        <v>1.8E-3</v>
      </c>
      <c r="I5" s="325">
        <v>0.01</v>
      </c>
      <c r="J5" s="325">
        <v>0.01</v>
      </c>
      <c r="K5" s="325">
        <v>3.6999999999999998E-2</v>
      </c>
      <c r="L5" s="140"/>
      <c r="M5" s="140"/>
      <c r="N5" s="140"/>
      <c r="O5" s="140"/>
      <c r="P5" s="140"/>
      <c r="Q5" s="140"/>
      <c r="R5" s="140"/>
      <c r="S5" s="140"/>
      <c r="V5" s="141">
        <v>14</v>
      </c>
      <c r="W5" s="138">
        <v>-832.15555889979169</v>
      </c>
      <c r="Y5" s="141">
        <v>14</v>
      </c>
      <c r="Z5" s="138">
        <v>-405.29395561680622</v>
      </c>
      <c r="AB5" s="141">
        <v>14</v>
      </c>
      <c r="AC5" s="138">
        <v>-425.57168663963648</v>
      </c>
      <c r="AG5" s="141">
        <v>14</v>
      </c>
      <c r="AH5" s="138">
        <v>3058.7307637342992</v>
      </c>
      <c r="AJ5" s="141">
        <v>14</v>
      </c>
      <c r="AK5" s="138">
        <v>3079.0084947571295</v>
      </c>
      <c r="AM5" s="141">
        <v>14</v>
      </c>
      <c r="AN5" s="138">
        <v>2652.146891474144</v>
      </c>
    </row>
    <row r="6" spans="1:40">
      <c r="A6" s="139" t="s">
        <v>3</v>
      </c>
      <c r="B6" s="144">
        <v>3.2399999999999998E-3</v>
      </c>
      <c r="C6" s="144">
        <v>4.7999999999999996E-3</v>
      </c>
      <c r="D6" s="144">
        <v>2.2800000000000001E-2</v>
      </c>
      <c r="E6" s="144">
        <v>8.2799999999999985E-2</v>
      </c>
      <c r="G6" s="139" t="s">
        <v>3</v>
      </c>
      <c r="H6" s="325">
        <v>2.7000000000000001E-3</v>
      </c>
      <c r="I6" s="325">
        <v>4.0000000000000001E-3</v>
      </c>
      <c r="J6" s="325">
        <v>1.9000000000000003E-2</v>
      </c>
      <c r="K6" s="325">
        <v>8.5880000000000012E-2</v>
      </c>
      <c r="L6" s="140"/>
      <c r="M6" s="140"/>
      <c r="N6" s="140"/>
      <c r="O6" s="140"/>
      <c r="P6" s="140"/>
      <c r="Q6" s="140"/>
      <c r="R6" s="140"/>
      <c r="S6" s="140"/>
      <c r="V6" s="141">
        <v>14.5</v>
      </c>
      <c r="W6" s="138">
        <v>-900.12426825939747</v>
      </c>
      <c r="Y6" s="141">
        <v>14.5</v>
      </c>
      <c r="Z6" s="138">
        <v>-499.52528566606679</v>
      </c>
      <c r="AB6" s="141">
        <v>14.5</v>
      </c>
      <c r="AC6" s="138">
        <v>-535.17668368397108</v>
      </c>
      <c r="AG6" s="141">
        <v>14.5</v>
      </c>
      <c r="AH6" s="138">
        <v>2949.1257666899646</v>
      </c>
      <c r="AJ6" s="141">
        <v>14.5</v>
      </c>
      <c r="AK6" s="138">
        <v>2984.7771647078689</v>
      </c>
      <c r="AM6" s="141">
        <v>14.5</v>
      </c>
      <c r="AN6" s="138">
        <v>2584.1781821145382</v>
      </c>
    </row>
    <row r="7" spans="1:40">
      <c r="A7" s="139" t="s">
        <v>176</v>
      </c>
      <c r="B7" s="144">
        <v>1.3617499999999999E-2</v>
      </c>
      <c r="C7" s="144">
        <v>1.4665000000000001E-2</v>
      </c>
      <c r="D7" s="144">
        <v>0.12989000000000001</v>
      </c>
      <c r="E7" s="144">
        <v>5.4889E-2</v>
      </c>
      <c r="G7" s="139" t="s">
        <v>176</v>
      </c>
      <c r="H7" s="325">
        <v>1.3000000000000001E-2</v>
      </c>
      <c r="I7" s="325">
        <v>1.4000000000000002E-2</v>
      </c>
      <c r="J7" s="325">
        <v>0.124</v>
      </c>
      <c r="K7" s="325">
        <v>6.5600000000000006E-2</v>
      </c>
      <c r="L7" s="140"/>
      <c r="M7" s="140"/>
      <c r="N7" s="140"/>
      <c r="O7" s="140"/>
      <c r="P7" s="140"/>
      <c r="Q7" s="140"/>
      <c r="R7" s="140"/>
      <c r="S7" s="140"/>
      <c r="V7" s="141">
        <v>15</v>
      </c>
      <c r="W7" s="138">
        <v>-968.09297761900234</v>
      </c>
      <c r="Y7" s="141">
        <v>15</v>
      </c>
      <c r="Z7" s="138">
        <v>-593.75661571532737</v>
      </c>
      <c r="AB7" s="141">
        <v>15</v>
      </c>
      <c r="AC7" s="138">
        <v>-644.78168072830567</v>
      </c>
      <c r="AG7" s="141">
        <v>15</v>
      </c>
      <c r="AH7" s="138">
        <v>2839.52076964563</v>
      </c>
      <c r="AJ7" s="141">
        <v>15</v>
      </c>
      <c r="AK7" s="138">
        <v>2890.5458346586083</v>
      </c>
      <c r="AM7" s="141">
        <v>15</v>
      </c>
      <c r="AN7" s="138">
        <v>2516.2094727549334</v>
      </c>
    </row>
    <row r="8" spans="1:40">
      <c r="A8" s="139" t="s">
        <v>177</v>
      </c>
      <c r="B8" s="144">
        <v>3.6450000000000002E-3</v>
      </c>
      <c r="C8" s="144">
        <v>5.4000000000000003E-3</v>
      </c>
      <c r="D8" s="144">
        <v>2.5650000000000003E-2</v>
      </c>
      <c r="E8" s="144">
        <v>9.3149999999999997E-2</v>
      </c>
      <c r="G8" s="139" t="s">
        <v>177</v>
      </c>
      <c r="H8" s="325">
        <v>3.2399999999999998E-3</v>
      </c>
      <c r="I8" s="325">
        <v>4.7999999999999996E-3</v>
      </c>
      <c r="J8" s="325">
        <v>2.2800000000000001E-2</v>
      </c>
      <c r="K8" s="325">
        <v>0.10305599999999999</v>
      </c>
      <c r="L8" s="140"/>
      <c r="M8" s="140"/>
      <c r="N8" s="140"/>
      <c r="O8" s="140"/>
      <c r="P8" s="140"/>
      <c r="Q8" s="140"/>
      <c r="R8" s="140"/>
      <c r="S8" s="140"/>
    </row>
    <row r="9" spans="1:40">
      <c r="A9" s="139" t="s">
        <v>9</v>
      </c>
      <c r="B9" s="144">
        <v>6.1051999999999995E-2</v>
      </c>
      <c r="C9" s="144">
        <v>1.4355999999999999E-2</v>
      </c>
      <c r="D9" s="144">
        <v>1.8537999999999999E-2</v>
      </c>
      <c r="E9" s="144">
        <v>1.1452E-2</v>
      </c>
      <c r="G9" s="139" t="s">
        <v>9</v>
      </c>
      <c r="H9" s="325">
        <v>6.1051999999999995E-2</v>
      </c>
      <c r="I9" s="325">
        <v>1.4355999999999999E-2</v>
      </c>
      <c r="J9" s="325">
        <v>1.8537999999999999E-2</v>
      </c>
      <c r="K9" s="325">
        <v>1.45688E-2</v>
      </c>
      <c r="L9" s="140"/>
      <c r="M9" s="140"/>
      <c r="N9" s="140"/>
      <c r="O9" s="140"/>
      <c r="P9" s="140"/>
      <c r="Q9" s="140"/>
      <c r="R9" s="140"/>
      <c r="S9" s="140"/>
    </row>
    <row r="10" spans="1:40">
      <c r="A10" s="139" t="s">
        <v>178</v>
      </c>
      <c r="B10" s="144">
        <v>1.1479999999999999E-3</v>
      </c>
      <c r="C10" s="144">
        <v>6.4400000000000004E-4</v>
      </c>
      <c r="D10" s="144">
        <v>4.6200000000000001E-4</v>
      </c>
      <c r="E10" s="144">
        <v>4.4799999999999999E-4</v>
      </c>
      <c r="G10" s="139" t="s">
        <v>178</v>
      </c>
      <c r="H10" s="325">
        <v>1.1479999999999999E-3</v>
      </c>
      <c r="I10" s="325">
        <v>6.4400000000000004E-4</v>
      </c>
      <c r="J10" s="325">
        <v>4.6200000000000001E-4</v>
      </c>
      <c r="K10" s="325">
        <v>4.3119999999999996E-4</v>
      </c>
      <c r="L10" s="140"/>
      <c r="M10" s="140"/>
      <c r="N10" s="140"/>
      <c r="O10" s="140"/>
      <c r="P10" s="140"/>
      <c r="Q10" s="140"/>
      <c r="R10" s="140"/>
      <c r="S10" s="140"/>
    </row>
    <row r="11" spans="1:40">
      <c r="A11" s="139" t="s">
        <v>10</v>
      </c>
      <c r="B11" s="144">
        <v>1.0935000000000001E-3</v>
      </c>
      <c r="C11" s="144">
        <v>1.6200000000000001E-3</v>
      </c>
      <c r="D11" s="144">
        <v>7.6950000000000005E-3</v>
      </c>
      <c r="E11" s="144">
        <v>2.7944999999999998E-2</v>
      </c>
      <c r="G11" s="139" t="s">
        <v>10</v>
      </c>
      <c r="H11" s="325">
        <v>5.8319999999999997E-4</v>
      </c>
      <c r="I11" s="325">
        <v>8.6399999999999986E-4</v>
      </c>
      <c r="J11" s="325">
        <v>4.104E-3</v>
      </c>
      <c r="K11" s="325">
        <v>1.855008E-2</v>
      </c>
      <c r="L11" s="140"/>
      <c r="M11" s="140"/>
      <c r="N11" s="140"/>
      <c r="O11" s="140"/>
      <c r="P11" s="140"/>
      <c r="Q11" s="140"/>
      <c r="R11" s="140"/>
      <c r="S11" s="140"/>
      <c r="V11" s="138" t="s">
        <v>118</v>
      </c>
      <c r="Y11" s="138" t="s">
        <v>237</v>
      </c>
      <c r="AB11" s="138" t="s">
        <v>238</v>
      </c>
      <c r="AG11" s="138" t="s">
        <v>118</v>
      </c>
      <c r="AJ11" s="138" t="s">
        <v>237</v>
      </c>
      <c r="AM11" s="138" t="s">
        <v>238</v>
      </c>
    </row>
    <row r="12" spans="1:40">
      <c r="A12" s="139" t="s">
        <v>179</v>
      </c>
      <c r="B12" s="144">
        <v>0.06</v>
      </c>
      <c r="C12" s="144">
        <v>0.22</v>
      </c>
      <c r="D12" s="144">
        <v>0.28899999999999998</v>
      </c>
      <c r="E12" s="144">
        <v>0.15920000000000001</v>
      </c>
      <c r="G12" s="139" t="s">
        <v>179</v>
      </c>
      <c r="H12" s="325">
        <v>0.06</v>
      </c>
      <c r="I12" s="325">
        <v>0.22</v>
      </c>
      <c r="J12" s="325">
        <v>0.28899999999999998</v>
      </c>
      <c r="K12" s="325">
        <v>0.17399999999999999</v>
      </c>
      <c r="L12" s="140"/>
      <c r="M12" s="140"/>
      <c r="N12" s="140"/>
      <c r="O12" s="140"/>
      <c r="P12" s="140"/>
      <c r="Q12" s="140"/>
      <c r="R12" s="140"/>
      <c r="S12" s="140"/>
      <c r="V12" s="138" t="s">
        <v>239</v>
      </c>
      <c r="W12" s="138" t="s">
        <v>231</v>
      </c>
      <c r="Y12" s="138" t="s">
        <v>240</v>
      </c>
      <c r="Z12" s="138" t="s">
        <v>231</v>
      </c>
      <c r="AB12" s="138" t="s">
        <v>230</v>
      </c>
      <c r="AC12" s="138" t="s">
        <v>231</v>
      </c>
      <c r="AG12" s="138" t="s">
        <v>239</v>
      </c>
      <c r="AH12" s="138" t="s">
        <v>232</v>
      </c>
      <c r="AJ12" s="138" t="s">
        <v>240</v>
      </c>
      <c r="AK12" s="138" t="s">
        <v>232</v>
      </c>
      <c r="AM12" s="138" t="s">
        <v>230</v>
      </c>
      <c r="AN12" s="138" t="s">
        <v>232</v>
      </c>
    </row>
    <row r="13" spans="1:40">
      <c r="A13" s="139" t="s">
        <v>181</v>
      </c>
      <c r="B13" s="144">
        <v>2.4404000000000092E-2</v>
      </c>
      <c r="C13" s="144">
        <v>2.8515000000000068E-2</v>
      </c>
      <c r="D13" s="144">
        <v>-7.4034999999999851E-2</v>
      </c>
      <c r="E13" s="144">
        <v>2.1116000000000024E-2</v>
      </c>
      <c r="G13" s="139" t="s">
        <v>181</v>
      </c>
      <c r="H13" s="325">
        <v>2.6476799999999967E-2</v>
      </c>
      <c r="I13" s="325">
        <v>3.133600000000003E-2</v>
      </c>
      <c r="J13" s="325">
        <v>-5.7904000000000178E-2</v>
      </c>
      <c r="K13" s="325">
        <v>-3.1086080000000127E-2</v>
      </c>
      <c r="L13" s="140"/>
      <c r="M13" s="140"/>
      <c r="N13" s="140"/>
      <c r="O13" s="140"/>
      <c r="P13" s="140"/>
      <c r="Q13" s="140"/>
      <c r="R13" s="140"/>
      <c r="S13" s="140"/>
      <c r="W13" s="138" t="e">
        <v>#REF!</v>
      </c>
      <c r="Z13" s="138" t="e">
        <v>#REF!</v>
      </c>
      <c r="AC13" s="138" t="e">
        <v>#REF!</v>
      </c>
      <c r="AH13" s="138" t="e">
        <v>#REF!</v>
      </c>
      <c r="AK13" s="138" t="e">
        <v>#REF!</v>
      </c>
      <c r="AN13" s="138" t="e">
        <v>#REF!</v>
      </c>
    </row>
    <row r="14" spans="1:40">
      <c r="C14" s="74"/>
      <c r="V14" s="138">
        <v>375</v>
      </c>
      <c r="W14" s="138">
        <v>311.54880975387823</v>
      </c>
      <c r="Y14" s="138">
        <v>375</v>
      </c>
      <c r="Z14" s="138">
        <v>425.09194846986247</v>
      </c>
      <c r="AB14" s="138">
        <v>250</v>
      </c>
      <c r="AC14" s="138">
        <v>963.70424108863199</v>
      </c>
      <c r="AG14" s="138">
        <v>375</v>
      </c>
      <c r="AH14" s="138">
        <v>5269.9162601278131</v>
      </c>
      <c r="AJ14" s="138">
        <v>375</v>
      </c>
      <c r="AK14" s="138">
        <v>4092.7243988437981</v>
      </c>
      <c r="AM14" s="138">
        <v>250</v>
      </c>
      <c r="AN14" s="138">
        <v>4024.9390384182329</v>
      </c>
    </row>
    <row r="15" spans="1:40">
      <c r="A15" s="139" t="s">
        <v>165</v>
      </c>
      <c r="B15" s="362">
        <v>0.98795180722891562</v>
      </c>
      <c r="C15" s="362">
        <v>0.65714285714285725</v>
      </c>
      <c r="D15" s="362">
        <v>0.57894736842105254</v>
      </c>
      <c r="E15" s="362">
        <v>0.62378167641325533</v>
      </c>
      <c r="H15" s="364">
        <f>(H3/(H$3+H$4))</f>
        <v>0.98795180722891562</v>
      </c>
      <c r="I15" s="364">
        <f>(I3/(I$3+I$4))</f>
        <v>0.65714285714285725</v>
      </c>
      <c r="J15" s="364">
        <f>(J3/(J$3+J$4))</f>
        <v>0.57894736842105254</v>
      </c>
      <c r="K15" s="364">
        <f>(K3/(K$3+K$4))</f>
        <v>0.57894736842105254</v>
      </c>
      <c r="V15" s="138">
        <v>400</v>
      </c>
      <c r="W15" s="138">
        <v>232.9113097538775</v>
      </c>
      <c r="Y15" s="138">
        <v>400</v>
      </c>
      <c r="Z15" s="138">
        <v>348.96694846986247</v>
      </c>
      <c r="AB15" s="138">
        <v>275</v>
      </c>
      <c r="AC15" s="138">
        <v>817.00424108863126</v>
      </c>
      <c r="AG15" s="138">
        <v>400</v>
      </c>
      <c r="AH15" s="138">
        <v>4889.2162601278142</v>
      </c>
      <c r="AJ15" s="138">
        <v>400</v>
      </c>
      <c r="AK15" s="138">
        <v>3962.0368988437981</v>
      </c>
      <c r="AM15" s="138">
        <v>275</v>
      </c>
      <c r="AN15" s="138">
        <v>3947.6144078763605</v>
      </c>
    </row>
    <row r="16" spans="1:40">
      <c r="A16" s="139" t="s">
        <v>2</v>
      </c>
      <c r="B16" s="363">
        <v>1.2048192771084376E-2</v>
      </c>
      <c r="C16" s="363">
        <v>0.34285714285714275</v>
      </c>
      <c r="D16" s="363">
        <v>0.42105263157894746</v>
      </c>
      <c r="E16" s="363">
        <v>0.37621832358674467</v>
      </c>
      <c r="H16" s="365">
        <f>1-H15</f>
        <v>1.2048192771084376E-2</v>
      </c>
      <c r="I16" s="365">
        <f>1-I15</f>
        <v>0.34285714285714275</v>
      </c>
      <c r="J16" s="365">
        <f>1-J15</f>
        <v>0.42105263157894746</v>
      </c>
      <c r="K16" s="365">
        <f>1-K15</f>
        <v>0.42105263157894746</v>
      </c>
      <c r="V16" s="138">
        <v>425</v>
      </c>
      <c r="W16" s="138">
        <v>154.27380975387678</v>
      </c>
      <c r="Y16" s="138">
        <v>425</v>
      </c>
      <c r="Z16" s="138">
        <v>272.84194846986247</v>
      </c>
      <c r="AB16" s="138">
        <v>300</v>
      </c>
      <c r="AC16" s="138">
        <v>670.30424108863235</v>
      </c>
      <c r="AG16" s="138">
        <v>425</v>
      </c>
      <c r="AH16" s="138">
        <v>4508.5162601278134</v>
      </c>
      <c r="AJ16" s="138">
        <v>425</v>
      </c>
      <c r="AK16" s="138">
        <v>3831.3493988437981</v>
      </c>
      <c r="AM16" s="138">
        <v>300</v>
      </c>
      <c r="AN16" s="138">
        <v>3870.289777334488</v>
      </c>
    </row>
    <row r="17" spans="1:40">
      <c r="V17" s="138">
        <v>450</v>
      </c>
      <c r="W17" s="138">
        <v>75.636309753876503</v>
      </c>
      <c r="Y17" s="138">
        <v>450</v>
      </c>
      <c r="Z17" s="138">
        <v>196.71694846986247</v>
      </c>
      <c r="AB17" s="138">
        <v>325</v>
      </c>
      <c r="AC17" s="138">
        <v>523.60424108863117</v>
      </c>
      <c r="AG17" s="138">
        <v>450</v>
      </c>
      <c r="AH17" s="138">
        <v>4127.8162601278127</v>
      </c>
      <c r="AJ17" s="138">
        <v>450</v>
      </c>
      <c r="AK17" s="138">
        <v>3700.6618988437981</v>
      </c>
      <c r="AM17" s="138">
        <v>325</v>
      </c>
      <c r="AN17" s="138">
        <v>3792.9651467926174</v>
      </c>
    </row>
    <row r="18" spans="1:40">
      <c r="A18" s="142" t="s">
        <v>241</v>
      </c>
      <c r="V18" s="138">
        <v>475</v>
      </c>
      <c r="W18" s="138">
        <v>-3.0011902461224054</v>
      </c>
      <c r="Y18" s="138">
        <v>459</v>
      </c>
      <c r="Z18" s="138">
        <v>169.31194846986364</v>
      </c>
      <c r="AB18" s="138">
        <v>350</v>
      </c>
      <c r="AC18" s="138">
        <v>376.90424108863044</v>
      </c>
      <c r="AG18" s="138">
        <v>475</v>
      </c>
      <c r="AH18" s="138">
        <v>3747.1162601278138</v>
      </c>
      <c r="AJ18" s="138">
        <v>459</v>
      </c>
      <c r="AK18" s="138">
        <v>3653.6143988437993</v>
      </c>
      <c r="AM18" s="138">
        <v>350</v>
      </c>
      <c r="AN18" s="138">
        <v>3715.6405162507431</v>
      </c>
    </row>
    <row r="19" spans="1:40">
      <c r="A19" s="145" t="s">
        <v>242</v>
      </c>
      <c r="B19" s="145" t="s">
        <v>243</v>
      </c>
      <c r="V19" s="138">
        <v>497</v>
      </c>
      <c r="W19" s="138">
        <v>-72.202190246121518</v>
      </c>
      <c r="Y19" s="138">
        <v>475</v>
      </c>
      <c r="Z19" s="138">
        <v>120.59194846986247</v>
      </c>
      <c r="AB19" s="138">
        <v>375</v>
      </c>
      <c r="AC19" s="138">
        <v>230.20424108863153</v>
      </c>
      <c r="AG19" s="138">
        <v>497</v>
      </c>
      <c r="AH19" s="138">
        <v>3412.1002601278142</v>
      </c>
      <c r="AJ19" s="138">
        <v>475</v>
      </c>
      <c r="AK19" s="138">
        <v>3569.9743988437981</v>
      </c>
      <c r="AM19" s="138">
        <v>375</v>
      </c>
      <c r="AN19" s="138">
        <v>3638.3158857088724</v>
      </c>
    </row>
    <row r="20" spans="1:40">
      <c r="A20" s="139" t="s">
        <v>165</v>
      </c>
      <c r="B20" s="1">
        <v>636</v>
      </c>
      <c r="V20" s="138">
        <v>500</v>
      </c>
      <c r="W20" s="138">
        <v>-81.638690246123133</v>
      </c>
      <c r="Y20" s="138">
        <v>500</v>
      </c>
      <c r="Z20" s="138">
        <v>44.466948469862473</v>
      </c>
      <c r="AB20" s="138">
        <v>384</v>
      </c>
      <c r="AC20" s="138">
        <v>177.39224108863164</v>
      </c>
      <c r="AG20" s="138">
        <v>500</v>
      </c>
      <c r="AH20" s="138">
        <v>3366.4162601278131</v>
      </c>
      <c r="AJ20" s="138">
        <v>500</v>
      </c>
      <c r="AK20" s="138">
        <v>3439.2868988437981</v>
      </c>
      <c r="AM20" s="138">
        <v>384</v>
      </c>
      <c r="AN20" s="138">
        <v>3610.4790187137983</v>
      </c>
    </row>
    <row r="21" spans="1:40">
      <c r="A21" s="139" t="s">
        <v>2</v>
      </c>
      <c r="B21" s="1">
        <v>695</v>
      </c>
      <c r="V21" s="138">
        <v>525</v>
      </c>
      <c r="W21" s="138">
        <v>-160.27619024612204</v>
      </c>
      <c r="Y21" s="138">
        <v>525</v>
      </c>
      <c r="Z21" s="138">
        <v>-31.658051530137527</v>
      </c>
      <c r="AB21" s="138">
        <v>400</v>
      </c>
      <c r="AC21" s="138">
        <v>83.504241088630806</v>
      </c>
      <c r="AG21" s="138">
        <v>525</v>
      </c>
      <c r="AH21" s="138">
        <v>2985.7162601278142</v>
      </c>
      <c r="AJ21" s="138">
        <v>525</v>
      </c>
      <c r="AK21" s="138">
        <v>3308.5993988437981</v>
      </c>
      <c r="AM21" s="138">
        <v>400</v>
      </c>
      <c r="AN21" s="138">
        <v>3560.991255167</v>
      </c>
    </row>
    <row r="22" spans="1:40">
      <c r="A22" s="139" t="s">
        <v>244</v>
      </c>
      <c r="B22" s="1">
        <v>328</v>
      </c>
      <c r="V22" s="138">
        <v>550</v>
      </c>
      <c r="W22" s="138">
        <v>-238.91369024612277</v>
      </c>
      <c r="Y22" s="138">
        <v>550</v>
      </c>
      <c r="Z22" s="138">
        <v>-107.78305153013753</v>
      </c>
      <c r="AB22" s="138">
        <v>425</v>
      </c>
      <c r="AC22" s="138">
        <v>-63.195758911368102</v>
      </c>
      <c r="AG22" s="138">
        <v>550</v>
      </c>
      <c r="AH22" s="138">
        <v>2605.0162601278134</v>
      </c>
      <c r="AJ22" s="138">
        <v>550</v>
      </c>
      <c r="AK22" s="138">
        <v>3177.9118988437981</v>
      </c>
      <c r="AM22" s="138">
        <v>425</v>
      </c>
      <c r="AN22" s="138">
        <v>3483.6666246251275</v>
      </c>
    </row>
    <row r="23" spans="1:40">
      <c r="A23" s="139" t="s">
        <v>245</v>
      </c>
      <c r="B23" s="1">
        <v>270</v>
      </c>
      <c r="V23" s="138">
        <v>575</v>
      </c>
      <c r="W23" s="138">
        <v>-317.5511902461235</v>
      </c>
      <c r="Y23" s="138">
        <v>575</v>
      </c>
      <c r="Z23" s="138">
        <v>-183.90805153013753</v>
      </c>
      <c r="AB23" s="138">
        <v>450</v>
      </c>
      <c r="AC23" s="138">
        <v>-209.89575891136883</v>
      </c>
      <c r="AG23" s="138">
        <v>575</v>
      </c>
      <c r="AH23" s="138">
        <v>2224.3162601278127</v>
      </c>
      <c r="AJ23" s="138">
        <v>575</v>
      </c>
      <c r="AK23" s="138">
        <v>3047.2243988437981</v>
      </c>
      <c r="AM23" s="138">
        <v>450</v>
      </c>
      <c r="AN23" s="138">
        <v>3406.3419940832568</v>
      </c>
    </row>
    <row r="24" spans="1:40">
      <c r="A24" s="139" t="s">
        <v>246</v>
      </c>
      <c r="B24" s="1">
        <v>377</v>
      </c>
      <c r="V24" s="138">
        <v>600</v>
      </c>
      <c r="W24" s="138">
        <v>-396.18869024612241</v>
      </c>
      <c r="Y24" s="138">
        <v>600</v>
      </c>
      <c r="Z24" s="138">
        <v>-260.03305153013753</v>
      </c>
      <c r="AB24" s="138">
        <v>475</v>
      </c>
      <c r="AC24" s="138">
        <v>-356.59575891136956</v>
      </c>
      <c r="AG24" s="138">
        <v>600</v>
      </c>
      <c r="AH24" s="138">
        <v>1843.6162601278138</v>
      </c>
      <c r="AJ24" s="138">
        <v>600</v>
      </c>
      <c r="AK24" s="138">
        <v>2916.5368988437981</v>
      </c>
      <c r="AM24" s="138">
        <v>475</v>
      </c>
      <c r="AN24" s="138">
        <v>3329.0173635413844</v>
      </c>
    </row>
    <row r="25" spans="1:40">
      <c r="A25" s="139" t="s">
        <v>3</v>
      </c>
      <c r="B25" s="1">
        <v>735</v>
      </c>
      <c r="V25" s="138">
        <v>625</v>
      </c>
      <c r="W25" s="138">
        <v>-474.82619024612313</v>
      </c>
      <c r="Y25" s="138">
        <v>625</v>
      </c>
      <c r="Z25" s="138">
        <v>-336.15805153013753</v>
      </c>
      <c r="AB25" s="138">
        <v>500</v>
      </c>
      <c r="AC25" s="138">
        <v>-503.29575891136847</v>
      </c>
      <c r="AG25" s="138">
        <v>625</v>
      </c>
      <c r="AH25" s="138">
        <v>1462.9162601278131</v>
      </c>
      <c r="AJ25" s="138">
        <v>625</v>
      </c>
      <c r="AK25" s="138">
        <v>2785.8493988437981</v>
      </c>
      <c r="AM25" s="138">
        <v>500</v>
      </c>
      <c r="AN25" s="138">
        <v>3251.6927329995119</v>
      </c>
    </row>
    <row r="26" spans="1:40">
      <c r="A26" s="139" t="s">
        <v>176</v>
      </c>
      <c r="B26" s="1">
        <v>805</v>
      </c>
      <c r="V26" s="138">
        <v>650</v>
      </c>
      <c r="W26" s="138">
        <v>-553.46369024612386</v>
      </c>
      <c r="Y26" s="138">
        <v>650</v>
      </c>
      <c r="Z26" s="138">
        <v>-412.28305153013753</v>
      </c>
      <c r="AB26" s="138">
        <v>525</v>
      </c>
      <c r="AC26" s="138">
        <v>-649.99575891136919</v>
      </c>
      <c r="AG26" s="138">
        <v>650</v>
      </c>
      <c r="AH26" s="138">
        <v>1082.2162601278123</v>
      </c>
      <c r="AJ26" s="138">
        <v>650</v>
      </c>
      <c r="AK26" s="138">
        <v>2655.1618988437981</v>
      </c>
      <c r="AM26" s="138">
        <v>525</v>
      </c>
      <c r="AN26" s="138">
        <v>3174.3681024576413</v>
      </c>
    </row>
    <row r="27" spans="1:40">
      <c r="A27" s="139" t="s">
        <v>247</v>
      </c>
      <c r="B27" s="1">
        <v>260</v>
      </c>
      <c r="V27" s="138">
        <v>675</v>
      </c>
      <c r="W27" s="138">
        <v>-632.10119024612095</v>
      </c>
      <c r="Y27" s="138">
        <v>675</v>
      </c>
      <c r="Z27" s="138">
        <v>-488.40805153013753</v>
      </c>
      <c r="AB27" s="138">
        <v>550</v>
      </c>
      <c r="AC27" s="138">
        <v>-796.6957589113681</v>
      </c>
      <c r="AG27" s="138">
        <v>675</v>
      </c>
      <c r="AH27" s="138">
        <v>701.51626012781344</v>
      </c>
      <c r="AJ27" s="138">
        <v>675</v>
      </c>
      <c r="AK27" s="138">
        <v>2524.4743988437981</v>
      </c>
      <c r="AM27" s="138">
        <v>550</v>
      </c>
      <c r="AN27" s="138">
        <v>3097.0434719157688</v>
      </c>
    </row>
    <row r="28" spans="1:40">
      <c r="A28" s="139" t="s">
        <v>248</v>
      </c>
      <c r="B28" s="1">
        <v>300</v>
      </c>
      <c r="V28" s="138">
        <v>700</v>
      </c>
      <c r="W28" s="138">
        <v>-710.7386902461235</v>
      </c>
      <c r="Y28" s="138">
        <v>700</v>
      </c>
      <c r="Z28" s="138">
        <v>-564.53305153013753</v>
      </c>
      <c r="AB28" s="138">
        <v>575</v>
      </c>
      <c r="AC28" s="138">
        <v>-943.39575891136883</v>
      </c>
      <c r="AG28" s="138">
        <v>700</v>
      </c>
      <c r="AH28" s="138">
        <v>320.81626012781089</v>
      </c>
      <c r="AJ28" s="138">
        <v>700</v>
      </c>
      <c r="AK28" s="138">
        <v>2393.7868988437981</v>
      </c>
      <c r="AM28" s="138">
        <v>575</v>
      </c>
      <c r="AN28" s="138">
        <v>3019.7188413738963</v>
      </c>
    </row>
    <row r="29" spans="1:40">
      <c r="V29" s="138">
        <v>725</v>
      </c>
      <c r="W29" s="138">
        <v>-789.37619024612241</v>
      </c>
      <c r="Y29" s="138">
        <v>725</v>
      </c>
      <c r="Z29" s="138">
        <v>-640.65805153013753</v>
      </c>
      <c r="AB29" s="138">
        <v>600</v>
      </c>
      <c r="AC29" s="138">
        <v>-1090.0957589113696</v>
      </c>
      <c r="AG29" s="138">
        <v>725</v>
      </c>
      <c r="AH29" s="138">
        <v>-59.883739872188016</v>
      </c>
      <c r="AJ29" s="138">
        <v>725</v>
      </c>
      <c r="AK29" s="138">
        <v>2263.0993988437981</v>
      </c>
      <c r="AM29" s="138">
        <v>600</v>
      </c>
      <c r="AN29" s="138">
        <v>2942.3942108320257</v>
      </c>
    </row>
    <row r="30" spans="1:40">
      <c r="V30" s="138">
        <v>750</v>
      </c>
      <c r="W30" s="138">
        <v>-868.01369024612313</v>
      </c>
      <c r="Y30" s="138">
        <v>750</v>
      </c>
      <c r="Z30" s="138">
        <v>-716.78305153013753</v>
      </c>
      <c r="AB30" s="138">
        <v>625</v>
      </c>
      <c r="AC30" s="138">
        <v>-1236.7957589113685</v>
      </c>
      <c r="AG30" s="138">
        <v>750</v>
      </c>
      <c r="AH30" s="138">
        <v>-440.58373987218874</v>
      </c>
      <c r="AJ30" s="138">
        <v>750</v>
      </c>
      <c r="AK30" s="138">
        <v>2132.4118988437981</v>
      </c>
      <c r="AM30" s="138">
        <v>625</v>
      </c>
      <c r="AN30" s="138">
        <v>2865.0695802901532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8"/>
  <dimension ref="A1:FW76"/>
  <sheetViews>
    <sheetView showGridLines="0" topLeftCell="CE1" zoomScale="101" zoomScaleNormal="85" workbookViewId="0">
      <selection activeCell="G2" sqref="G2:CL5"/>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66.140625" style="324" customWidth="1"/>
    <col min="7" max="7" width="14.7109375" style="324" customWidth="1"/>
    <col min="8" max="8" width="18.7109375" style="324" customWidth="1"/>
    <col min="9" max="9" width="19.28515625" style="324" customWidth="1"/>
    <col min="10" max="10" width="16.140625" style="324" customWidth="1"/>
    <col min="11" max="11" width="15.85546875" style="324" customWidth="1"/>
    <col min="12" max="12" width="15.5703125" style="324" customWidth="1"/>
    <col min="13" max="14" width="14" style="324" customWidth="1"/>
    <col min="15" max="15" width="16.5703125" style="324" customWidth="1"/>
    <col min="16" max="16" width="13.85546875" style="324" bestFit="1" customWidth="1"/>
    <col min="17" max="17" width="14.5703125" style="324" customWidth="1"/>
    <col min="18" max="18" width="13.7109375" style="324" customWidth="1"/>
    <col min="19" max="19" width="16.7109375" style="324" customWidth="1"/>
    <col min="20" max="20" width="16.28515625" style="324" customWidth="1"/>
    <col min="21" max="21" width="16.5703125" style="324" customWidth="1"/>
    <col min="22" max="22" width="17.85546875" style="324" customWidth="1"/>
    <col min="23" max="42" width="16.28515625" style="324" customWidth="1"/>
    <col min="43" max="43" width="15.42578125" style="324" customWidth="1"/>
    <col min="44" max="45" width="16.28515625" style="324" customWidth="1"/>
    <col min="46" max="46" width="18.7109375" style="351" bestFit="1" customWidth="1"/>
    <col min="47" max="90" width="15.85546875" style="350" bestFit="1" customWidth="1"/>
    <col min="91" max="91" width="25.85546875" style="347"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ht="21" customHeight="1">
      <c r="A1" s="367" t="s">
        <v>420</v>
      </c>
      <c r="B1" s="367" t="s">
        <v>401</v>
      </c>
      <c r="C1" s="368" t="s">
        <v>166</v>
      </c>
      <c r="D1" s="368" t="s">
        <v>196</v>
      </c>
      <c r="E1" s="367" t="s">
        <v>396</v>
      </c>
      <c r="F1" s="369" t="s">
        <v>4</v>
      </c>
      <c r="G1" s="370">
        <v>41913</v>
      </c>
      <c r="H1" s="370">
        <v>41944</v>
      </c>
      <c r="I1" s="370">
        <v>41974</v>
      </c>
      <c r="J1" s="370">
        <v>42005</v>
      </c>
      <c r="K1" s="370">
        <v>42036</v>
      </c>
      <c r="L1" s="370">
        <v>42064</v>
      </c>
      <c r="M1" s="370">
        <v>42095</v>
      </c>
      <c r="N1" s="370">
        <v>42125</v>
      </c>
      <c r="O1" s="370">
        <v>42156</v>
      </c>
      <c r="P1" s="370">
        <v>42186</v>
      </c>
      <c r="Q1" s="370">
        <v>42217</v>
      </c>
      <c r="R1" s="370">
        <v>42248</v>
      </c>
      <c r="S1" s="370">
        <v>42278</v>
      </c>
      <c r="T1" s="370">
        <v>42309</v>
      </c>
      <c r="U1" s="370">
        <v>42339</v>
      </c>
      <c r="V1" s="370">
        <v>42370</v>
      </c>
      <c r="W1" s="370">
        <v>42401</v>
      </c>
      <c r="X1" s="370">
        <v>42430</v>
      </c>
      <c r="Y1" s="370">
        <v>42461</v>
      </c>
      <c r="Z1" s="370">
        <v>42491</v>
      </c>
      <c r="AA1" s="370">
        <v>42522</v>
      </c>
      <c r="AB1" s="370">
        <v>42552</v>
      </c>
      <c r="AC1" s="370">
        <v>42583</v>
      </c>
      <c r="AD1" s="370">
        <v>42614</v>
      </c>
      <c r="AE1" s="370">
        <v>42644</v>
      </c>
      <c r="AF1" s="370">
        <v>42675</v>
      </c>
      <c r="AG1" s="370">
        <v>42705</v>
      </c>
      <c r="AH1" s="370">
        <v>42736</v>
      </c>
      <c r="AI1" s="370">
        <v>42767</v>
      </c>
      <c r="AJ1" s="370">
        <v>42795</v>
      </c>
      <c r="AK1" s="370">
        <v>42826</v>
      </c>
      <c r="AL1" s="370">
        <v>42856</v>
      </c>
      <c r="AM1" s="370">
        <v>42887</v>
      </c>
      <c r="AN1" s="370">
        <v>42917</v>
      </c>
      <c r="AO1" s="370">
        <v>42948</v>
      </c>
      <c r="AP1" s="370">
        <v>42979</v>
      </c>
      <c r="AQ1" s="370">
        <v>43009</v>
      </c>
      <c r="AR1" s="370">
        <v>43040</v>
      </c>
      <c r="AS1" s="370">
        <v>43070</v>
      </c>
      <c r="AT1" s="370">
        <v>43101</v>
      </c>
      <c r="AU1" s="370">
        <v>43132</v>
      </c>
      <c r="AV1" s="370">
        <v>43160</v>
      </c>
      <c r="AW1" s="370">
        <v>43191</v>
      </c>
      <c r="AX1" s="370">
        <v>43221</v>
      </c>
      <c r="AY1" s="370">
        <v>43252</v>
      </c>
      <c r="AZ1" s="370">
        <v>43282</v>
      </c>
      <c r="BA1" s="370">
        <v>43313</v>
      </c>
      <c r="BB1" s="370">
        <v>43344</v>
      </c>
      <c r="BC1" s="370">
        <v>43374</v>
      </c>
      <c r="BD1" s="370">
        <v>43405</v>
      </c>
      <c r="BE1" s="370">
        <v>43435</v>
      </c>
      <c r="BF1" s="370">
        <v>43466</v>
      </c>
      <c r="BG1" s="370">
        <v>43497</v>
      </c>
      <c r="BH1" s="370">
        <v>43525</v>
      </c>
      <c r="BI1" s="370">
        <v>43556</v>
      </c>
      <c r="BJ1" s="370">
        <v>43586</v>
      </c>
      <c r="BK1" s="370">
        <v>43617</v>
      </c>
      <c r="BL1" s="370">
        <v>43647</v>
      </c>
      <c r="BM1" s="370">
        <v>43678</v>
      </c>
      <c r="BN1" s="370">
        <v>43709</v>
      </c>
      <c r="BO1" s="370">
        <v>43739</v>
      </c>
      <c r="BP1" s="370">
        <v>43770</v>
      </c>
      <c r="BQ1" s="370">
        <v>43800</v>
      </c>
      <c r="BR1" s="370">
        <v>43831</v>
      </c>
      <c r="BS1" s="370">
        <v>43862</v>
      </c>
      <c r="BT1" s="370">
        <v>43891</v>
      </c>
      <c r="BU1" s="370">
        <v>43922</v>
      </c>
      <c r="BV1" s="370">
        <v>43952</v>
      </c>
      <c r="BW1" s="370">
        <v>43983</v>
      </c>
      <c r="BX1" s="370">
        <v>44013</v>
      </c>
      <c r="BY1" s="370">
        <v>44044</v>
      </c>
      <c r="BZ1" s="370">
        <v>44075</v>
      </c>
      <c r="CA1" s="370">
        <v>44105</v>
      </c>
      <c r="CB1" s="370">
        <v>44136</v>
      </c>
      <c r="CC1" s="370">
        <v>44166</v>
      </c>
      <c r="CD1" s="370">
        <v>44197</v>
      </c>
      <c r="CE1" s="370">
        <v>44228</v>
      </c>
      <c r="CF1" s="370">
        <v>44256</v>
      </c>
      <c r="CG1" s="370">
        <v>44287</v>
      </c>
      <c r="CH1" s="370">
        <v>44317</v>
      </c>
      <c r="CI1" s="370">
        <v>44348</v>
      </c>
      <c r="CJ1" s="370">
        <v>44378</v>
      </c>
      <c r="CK1" s="370">
        <v>44409</v>
      </c>
      <c r="CL1" s="370">
        <v>44440</v>
      </c>
      <c r="CM1" s="371" t="s">
        <v>514</v>
      </c>
      <c r="CN1" s="435"/>
      <c r="CO1" s="435"/>
      <c r="CP1" s="435"/>
      <c r="CQ1" s="435"/>
      <c r="CR1" s="435"/>
      <c r="CS1" s="435"/>
      <c r="CT1" s="435"/>
      <c r="CU1" s="435"/>
      <c r="CV1" s="435"/>
      <c r="CW1" s="435"/>
      <c r="CX1" s="435"/>
      <c r="CY1" s="435"/>
      <c r="CZ1" s="435"/>
      <c r="DA1" s="435"/>
      <c r="DB1" s="435"/>
      <c r="DC1" s="435"/>
      <c r="DD1" s="435"/>
      <c r="DE1" s="435"/>
      <c r="DF1" s="435"/>
      <c r="DG1" s="435"/>
      <c r="DH1" s="435"/>
      <c r="DI1" s="435"/>
      <c r="DJ1" s="435"/>
      <c r="DK1" s="435"/>
      <c r="DL1" s="435"/>
      <c r="DM1" s="435"/>
      <c r="DN1" s="435"/>
      <c r="DO1" s="435"/>
      <c r="DP1" s="435"/>
      <c r="DQ1" s="435"/>
      <c r="DR1" s="435"/>
      <c r="DS1" s="435"/>
      <c r="DT1" s="435"/>
      <c r="DU1" s="435"/>
      <c r="DV1" s="435"/>
      <c r="DW1" s="435"/>
      <c r="DX1" s="435"/>
      <c r="DY1" s="435"/>
      <c r="DZ1" s="435"/>
      <c r="EA1" s="435"/>
      <c r="EB1" s="435"/>
      <c r="EC1" s="435"/>
      <c r="ED1" s="435"/>
      <c r="EE1" s="435"/>
      <c r="EF1" s="435"/>
      <c r="EG1" s="435"/>
      <c r="EH1" s="435"/>
      <c r="EI1" s="435"/>
      <c r="EJ1" s="435"/>
      <c r="EK1" s="435"/>
      <c r="EL1" s="435"/>
      <c r="EM1" s="435"/>
      <c r="EN1" s="435"/>
      <c r="EO1" s="435"/>
      <c r="EP1" s="435"/>
      <c r="EQ1" s="435"/>
      <c r="ER1" s="435"/>
      <c r="ES1" s="435"/>
      <c r="ET1" s="435"/>
      <c r="EU1" s="435"/>
      <c r="EV1" s="435"/>
      <c r="EW1" s="435"/>
      <c r="EX1" s="435"/>
      <c r="EY1" s="435"/>
      <c r="EZ1" s="435"/>
      <c r="FA1" s="435"/>
      <c r="FB1" s="435"/>
      <c r="FC1" s="435"/>
      <c r="FD1" s="435"/>
      <c r="FE1" s="435"/>
      <c r="FF1" s="435"/>
      <c r="FG1" s="435"/>
      <c r="FH1" s="435"/>
      <c r="FI1" s="435"/>
      <c r="FJ1" s="435"/>
      <c r="FK1" s="435"/>
      <c r="FL1" s="435"/>
      <c r="FM1" s="435"/>
      <c r="FN1" s="435"/>
      <c r="FO1" s="435"/>
      <c r="FP1" s="435"/>
      <c r="FQ1" s="435"/>
      <c r="FR1" s="435"/>
      <c r="FS1" s="435"/>
      <c r="FT1" s="435"/>
      <c r="FU1" s="435"/>
      <c r="FV1" s="435"/>
    </row>
    <row r="2" spans="1:178">
      <c r="A2" s="1370" t="s">
        <v>445</v>
      </c>
      <c r="B2" s="372" t="s">
        <v>400</v>
      </c>
      <c r="C2" s="373" t="s">
        <v>151</v>
      </c>
      <c r="D2" s="373"/>
      <c r="E2" s="374" t="s">
        <v>464</v>
      </c>
      <c r="F2" s="436" t="s">
        <v>168</v>
      </c>
      <c r="G2" s="436">
        <v>24840.979509560882</v>
      </c>
      <c r="H2" s="436">
        <v>27601.017012299759</v>
      </c>
      <c r="I2" s="436">
        <v>27872.673549717059</v>
      </c>
      <c r="J2" s="436">
        <v>27711.2808766833</v>
      </c>
      <c r="K2" s="436">
        <v>27693.66376423134</v>
      </c>
      <c r="L2" s="436">
        <v>27809.557786379155</v>
      </c>
      <c r="M2" s="436">
        <v>27872.235855872641</v>
      </c>
      <c r="N2" s="436">
        <v>28140.242871436196</v>
      </c>
      <c r="O2" s="436">
        <v>26877.737654853237</v>
      </c>
      <c r="P2" s="436">
        <v>26833.652476261464</v>
      </c>
      <c r="Q2" s="436">
        <v>27179.662397707976</v>
      </c>
      <c r="R2" s="436">
        <v>27444.927209212419</v>
      </c>
      <c r="S2" s="375">
        <v>27172.757259730271</v>
      </c>
      <c r="T2" s="375">
        <v>27435.402155329346</v>
      </c>
      <c r="U2" s="375">
        <v>24656.197597598231</v>
      </c>
      <c r="V2" s="375">
        <v>24857.002097505603</v>
      </c>
      <c r="W2" s="375">
        <v>24957.504418524</v>
      </c>
      <c r="X2" s="375">
        <v>24671.356060602</v>
      </c>
      <c r="Y2" s="375">
        <v>22065.031348464003</v>
      </c>
      <c r="Z2" s="375">
        <v>22128.595366396799</v>
      </c>
      <c r="AA2" s="375">
        <v>22175.145645834004</v>
      </c>
      <c r="AB2" s="375">
        <v>22129.757356843198</v>
      </c>
      <c r="AC2" s="375">
        <v>22130.982157584003</v>
      </c>
      <c r="AD2" s="375">
        <v>22101.814627121999</v>
      </c>
      <c r="AE2" s="375">
        <v>20176.261138200003</v>
      </c>
      <c r="AF2" s="375">
        <v>20344.666108500001</v>
      </c>
      <c r="AG2" s="375">
        <v>20306.532203250001</v>
      </c>
      <c r="AH2" s="375">
        <v>20326.102690200001</v>
      </c>
      <c r="AI2" s="375">
        <v>20186.004687749999</v>
      </c>
      <c r="AJ2" s="375">
        <v>20024.232258749998</v>
      </c>
      <c r="AK2" s="375">
        <v>19807.044369888001</v>
      </c>
      <c r="AL2" s="375">
        <v>19811.148591575999</v>
      </c>
      <c r="AM2" s="375">
        <v>19814.393790120001</v>
      </c>
      <c r="AN2" s="375">
        <v>19787.165938022405</v>
      </c>
      <c r="AO2" s="375">
        <v>19764.443185079999</v>
      </c>
      <c r="AP2" s="375">
        <v>19819.643376</v>
      </c>
      <c r="AQ2" s="375">
        <v>21243.123751632003</v>
      </c>
      <c r="AR2" s="375">
        <v>21228.775525005003</v>
      </c>
      <c r="AS2" s="375">
        <v>21095.414875967999</v>
      </c>
      <c r="AT2" s="504">
        <v>28994.924777010401</v>
      </c>
      <c r="AU2" s="375">
        <v>29083.53795837006</v>
      </c>
      <c r="AV2" s="375">
        <v>34366.504780699324</v>
      </c>
      <c r="AW2" s="375">
        <v>33560.84076592559</v>
      </c>
      <c r="AX2" s="375">
        <v>26218.900621677058</v>
      </c>
      <c r="AY2" s="375">
        <v>35995.3751249493</v>
      </c>
      <c r="AZ2" s="375">
        <v>40427.168047868036</v>
      </c>
      <c r="BA2" s="375">
        <v>41802.471042837584</v>
      </c>
      <c r="BB2" s="375">
        <v>42113.614300327099</v>
      </c>
      <c r="BC2" s="375">
        <v>25996.232831627069</v>
      </c>
      <c r="BD2" s="375">
        <v>23233.174449043679</v>
      </c>
      <c r="BE2" s="375">
        <v>23262.637969758925</v>
      </c>
      <c r="BF2" s="375">
        <v>23907.7292329458</v>
      </c>
      <c r="BG2" s="375">
        <v>23317.963262738322</v>
      </c>
      <c r="BH2" s="375">
        <v>23383.118785073329</v>
      </c>
      <c r="BI2" s="375">
        <v>24651.246231346595</v>
      </c>
      <c r="BJ2" s="375">
        <v>24557.925586871806</v>
      </c>
      <c r="BK2" s="375">
        <v>24829.484559121953</v>
      </c>
      <c r="BL2" s="375">
        <v>25055.43026719796</v>
      </c>
      <c r="BM2" s="375">
        <v>25788.630012426867</v>
      </c>
      <c r="BN2" s="375">
        <v>24643.230588247261</v>
      </c>
      <c r="BO2" s="375">
        <v>22952.67731483098</v>
      </c>
      <c r="BP2" s="375">
        <v>22947.88884116093</v>
      </c>
      <c r="BQ2" s="375">
        <v>23317.24351414209</v>
      </c>
      <c r="BR2" s="375">
        <v>23890.571956586806</v>
      </c>
      <c r="BS2" s="375">
        <v>24228.610372014118</v>
      </c>
      <c r="BT2" s="375">
        <v>23541.978231953181</v>
      </c>
      <c r="BU2" s="375">
        <v>20644.541889138898</v>
      </c>
      <c r="BV2" s="375">
        <v>20890.304335565754</v>
      </c>
      <c r="BW2" s="375">
        <v>21374.533561952143</v>
      </c>
      <c r="BX2" s="375">
        <v>20823.815492546022</v>
      </c>
      <c r="BY2" s="375">
        <v>21262.530692823591</v>
      </c>
      <c r="BZ2" s="375">
        <v>21999.186981115297</v>
      </c>
      <c r="CA2" s="375">
        <v>19071.183854484243</v>
      </c>
      <c r="CB2" s="375">
        <v>18416.612908296738</v>
      </c>
      <c r="CC2" s="375">
        <v>19631.38584711331</v>
      </c>
      <c r="CD2" s="375">
        <v>18862.12739731725</v>
      </c>
      <c r="CE2" s="375">
        <v>19417.545218868301</v>
      </c>
      <c r="CF2" s="375">
        <v>19573.277993613043</v>
      </c>
      <c r="CG2" s="375">
        <v>19181.382115766464</v>
      </c>
      <c r="CH2" s="375">
        <v>19438.661485292767</v>
      </c>
      <c r="CI2" s="375">
        <v>19349.709140187424</v>
      </c>
      <c r="CJ2" s="375">
        <v>19586.01839165475</v>
      </c>
      <c r="CK2" s="375">
        <v>18872.315054019989</v>
      </c>
      <c r="CL2" s="436">
        <v>18949.614134508891</v>
      </c>
      <c r="CM2" s="375">
        <f t="shared" ref="CM2:CM33" si="0">AVERAGE(G2:CL2)</f>
        <v>24065.571279365566</v>
      </c>
      <c r="CN2" s="376" t="s">
        <v>197</v>
      </c>
      <c r="CO2" s="376"/>
      <c r="CP2" s="376"/>
      <c r="CQ2" s="376"/>
      <c r="CR2" s="376"/>
      <c r="CS2" s="376"/>
      <c r="CT2" s="376"/>
      <c r="CU2" s="376"/>
      <c r="CV2" s="376"/>
      <c r="CW2" s="376"/>
      <c r="CX2" s="376"/>
      <c r="CY2" s="376"/>
      <c r="CZ2" s="376"/>
      <c r="DA2" s="376"/>
      <c r="DB2" s="376"/>
      <c r="DC2" s="376"/>
      <c r="DD2" s="376"/>
      <c r="DE2" s="376"/>
      <c r="DF2" s="376"/>
      <c r="DG2" s="376"/>
      <c r="DH2" s="376"/>
      <c r="DI2" s="376"/>
      <c r="DJ2" s="376"/>
      <c r="DK2" s="376"/>
      <c r="DL2" s="376"/>
      <c r="DM2" s="376"/>
      <c r="DN2" s="376"/>
      <c r="DO2" s="376"/>
      <c r="DP2" s="376"/>
      <c r="DQ2" s="376"/>
      <c r="DR2" s="376"/>
      <c r="DS2" s="376"/>
      <c r="DT2" s="376"/>
      <c r="DU2" s="376"/>
      <c r="DV2" s="376"/>
      <c r="DW2" s="376"/>
      <c r="DX2" s="376"/>
      <c r="DY2" s="376"/>
      <c r="DZ2" s="376"/>
      <c r="EA2" s="376"/>
      <c r="EB2" s="376"/>
      <c r="EC2" s="435"/>
      <c r="ED2" s="435"/>
      <c r="EE2" s="435"/>
      <c r="EF2" s="435"/>
      <c r="EG2" s="435"/>
      <c r="EH2" s="435"/>
      <c r="EI2" s="435"/>
      <c r="EJ2" s="435"/>
      <c r="EK2" s="435"/>
      <c r="EL2" s="435"/>
      <c r="EM2" s="435"/>
      <c r="EN2" s="435"/>
      <c r="EO2" s="435"/>
      <c r="EP2" s="435"/>
      <c r="EQ2" s="435"/>
      <c r="ER2" s="435"/>
      <c r="ES2" s="435"/>
      <c r="ET2" s="435"/>
      <c r="EU2" s="435"/>
      <c r="EV2" s="435"/>
      <c r="EW2" s="435"/>
      <c r="EX2" s="435"/>
      <c r="EY2" s="435"/>
      <c r="EZ2" s="435"/>
      <c r="FA2" s="435"/>
      <c r="FB2" s="435"/>
      <c r="FC2" s="435"/>
      <c r="FD2" s="435"/>
      <c r="FE2" s="435"/>
      <c r="FF2" s="435"/>
      <c r="FG2" s="435"/>
      <c r="FH2" s="435"/>
      <c r="FI2" s="435"/>
      <c r="FJ2" s="435"/>
      <c r="FK2" s="435"/>
      <c r="FL2" s="435"/>
      <c r="FM2" s="435"/>
      <c r="FN2" s="435"/>
      <c r="FO2" s="435"/>
      <c r="FP2" s="435"/>
      <c r="FQ2" s="435"/>
      <c r="FR2" s="435"/>
      <c r="FS2" s="435"/>
      <c r="FT2" s="435"/>
      <c r="FU2" s="435"/>
      <c r="FV2" s="435"/>
    </row>
    <row r="3" spans="1:178">
      <c r="A3" s="1371"/>
      <c r="B3" s="377" t="s">
        <v>400</v>
      </c>
      <c r="C3" s="378" t="s">
        <v>151</v>
      </c>
      <c r="D3" s="378"/>
      <c r="E3" s="379" t="s">
        <v>464</v>
      </c>
      <c r="F3" s="438" t="s">
        <v>0</v>
      </c>
      <c r="G3" s="438">
        <v>47327.845206284997</v>
      </c>
      <c r="H3" s="438">
        <v>39482.80760588</v>
      </c>
      <c r="I3" s="438">
        <v>36204.060790149997</v>
      </c>
      <c r="J3" s="438">
        <v>27698.208912624999</v>
      </c>
      <c r="K3" s="438">
        <v>29295.424416149999</v>
      </c>
      <c r="L3" s="438">
        <v>32785.037939000002</v>
      </c>
      <c r="M3" s="438">
        <v>30278.944923519997</v>
      </c>
      <c r="N3" s="438">
        <v>31112.532112649998</v>
      </c>
      <c r="O3" s="438">
        <v>27122.875893674995</v>
      </c>
      <c r="P3" s="438">
        <v>26376.786423944999</v>
      </c>
      <c r="Q3" s="438">
        <v>24927.501257080003</v>
      </c>
      <c r="R3" s="438">
        <v>21879.322637759997</v>
      </c>
      <c r="S3" s="380">
        <v>24575.123904479995</v>
      </c>
      <c r="T3" s="380">
        <v>27419.471417719997</v>
      </c>
      <c r="U3" s="380">
        <v>32111.792529339997</v>
      </c>
      <c r="V3" s="380">
        <v>24361.102800000001</v>
      </c>
      <c r="W3" s="380">
        <v>20343.800900000002</v>
      </c>
      <c r="X3" s="380">
        <v>20225.6142</v>
      </c>
      <c r="Y3" s="380">
        <v>22277.670000000002</v>
      </c>
      <c r="Z3" s="380">
        <v>22772.380700000002</v>
      </c>
      <c r="AA3" s="380">
        <v>23208.521000000001</v>
      </c>
      <c r="AB3" s="380">
        <v>20679.534800000001</v>
      </c>
      <c r="AC3" s="380">
        <v>19966.231</v>
      </c>
      <c r="AD3" s="380">
        <v>20608.4136</v>
      </c>
      <c r="AE3" s="380">
        <v>23739.838200000002</v>
      </c>
      <c r="AF3" s="380">
        <v>27675.5599</v>
      </c>
      <c r="AG3" s="380">
        <v>26944.4758</v>
      </c>
      <c r="AH3" s="380">
        <v>30970.144900000003</v>
      </c>
      <c r="AI3" s="380">
        <v>35685.062100000003</v>
      </c>
      <c r="AJ3" s="380">
        <v>33001.282700000003</v>
      </c>
      <c r="AK3" s="380">
        <v>28971.43</v>
      </c>
      <c r="AL3" s="380">
        <v>25940.411800000002</v>
      </c>
      <c r="AM3" s="380">
        <v>25950.870800000001</v>
      </c>
      <c r="AN3" s="380">
        <v>23221.071800000002</v>
      </c>
      <c r="AO3" s="380">
        <v>28110.654300000002</v>
      </c>
      <c r="AP3" s="380">
        <v>32381.064000000002</v>
      </c>
      <c r="AQ3" s="380">
        <v>39089.4666</v>
      </c>
      <c r="AR3" s="380">
        <v>38985.922500000001</v>
      </c>
      <c r="AS3" s="380">
        <v>39578.947800000002</v>
      </c>
      <c r="AT3" s="561">
        <v>39267.739761524499</v>
      </c>
      <c r="AU3" s="380">
        <v>35320.99284552411</v>
      </c>
      <c r="AV3" s="380">
        <v>32642.643561859699</v>
      </c>
      <c r="AW3" s="380">
        <v>32591.713857151481</v>
      </c>
      <c r="AX3" s="380">
        <v>35322.25032773053</v>
      </c>
      <c r="AY3" s="380">
        <v>39703.969071957552</v>
      </c>
      <c r="AZ3" s="380">
        <v>39873.279388030664</v>
      </c>
      <c r="BA3" s="380">
        <v>42186.838343884381</v>
      </c>
      <c r="BB3" s="380">
        <v>45353.692547267237</v>
      </c>
      <c r="BC3" s="380">
        <v>50421.563709397698</v>
      </c>
      <c r="BD3" s="380">
        <v>40583.378652357023</v>
      </c>
      <c r="BE3" s="380">
        <v>32948.17063043618</v>
      </c>
      <c r="BF3" s="380">
        <v>31831.243798285665</v>
      </c>
      <c r="BG3" s="380">
        <v>32775.625890130817</v>
      </c>
      <c r="BH3" s="380">
        <v>35603.026406517805</v>
      </c>
      <c r="BI3" s="380">
        <v>37413.346401247443</v>
      </c>
      <c r="BJ3" s="380">
        <v>38313.43145419551</v>
      </c>
      <c r="BK3" s="380">
        <v>31229.255203616198</v>
      </c>
      <c r="BL3" s="380">
        <v>26987.793742556612</v>
      </c>
      <c r="BM3" s="380">
        <v>27502.94958707604</v>
      </c>
      <c r="BN3" s="380">
        <v>26129.656129075174</v>
      </c>
      <c r="BO3" s="380">
        <v>31204.144072500429</v>
      </c>
      <c r="BP3" s="380">
        <v>32130.775456387943</v>
      </c>
      <c r="BQ3" s="380">
        <v>32763.935287141259</v>
      </c>
      <c r="BR3" s="380">
        <v>42146.917092812088</v>
      </c>
      <c r="BS3" s="380">
        <v>37776.741118253449</v>
      </c>
      <c r="BT3" s="380">
        <v>33392.157412302018</v>
      </c>
      <c r="BU3" s="380">
        <v>18333.270191784217</v>
      </c>
      <c r="BV3" s="380">
        <v>26907.499996889728</v>
      </c>
      <c r="BW3" s="380">
        <v>27733.582571128205</v>
      </c>
      <c r="BX3" s="380">
        <v>28238.348704213</v>
      </c>
      <c r="BY3" s="380">
        <v>28510.385603307008</v>
      </c>
      <c r="BZ3" s="380">
        <v>28060.277302456198</v>
      </c>
      <c r="CA3" s="380">
        <v>28820.536895295158</v>
      </c>
      <c r="CB3" s="380">
        <v>33404.388819080297</v>
      </c>
      <c r="CC3" s="380">
        <v>34644.168688458158</v>
      </c>
      <c r="CD3" s="380">
        <v>42078.873462612726</v>
      </c>
      <c r="CE3" s="380">
        <v>46073.542822435593</v>
      </c>
      <c r="CF3" s="380">
        <v>47621.606524213996</v>
      </c>
      <c r="CG3" s="380">
        <v>43640.112363280605</v>
      </c>
      <c r="CH3" s="380">
        <v>37985.33224426135</v>
      </c>
      <c r="CI3" s="380">
        <v>40810.0621081149</v>
      </c>
      <c r="CJ3" s="380">
        <v>48277.341437526047</v>
      </c>
      <c r="CK3" s="380">
        <v>51157.210854820602</v>
      </c>
      <c r="CL3" s="438">
        <v>51107.125769928265</v>
      </c>
      <c r="CM3" s="380">
        <f t="shared" si="0"/>
        <v>32620.334598562924</v>
      </c>
      <c r="CN3" s="435"/>
      <c r="CO3" s="376" t="s">
        <v>198</v>
      </c>
      <c r="CP3" s="376" t="s">
        <v>199</v>
      </c>
      <c r="CQ3" s="376" t="s">
        <v>200</v>
      </c>
      <c r="CR3" s="376" t="s">
        <v>1</v>
      </c>
      <c r="CS3" s="435"/>
      <c r="CT3" s="435"/>
      <c r="CU3" s="435"/>
      <c r="CV3" s="435"/>
      <c r="CW3" s="435"/>
      <c r="DB3" s="381"/>
      <c r="DC3" s="381"/>
      <c r="DD3" s="381"/>
      <c r="DE3" s="381"/>
      <c r="DF3" s="381"/>
      <c r="DG3" s="381"/>
      <c r="DH3" s="381"/>
      <c r="DI3" s="381"/>
      <c r="DJ3" s="381"/>
      <c r="DK3" s="381"/>
      <c r="DL3" s="381"/>
      <c r="DM3" s="381"/>
      <c r="DN3" s="381"/>
      <c r="DO3" s="381"/>
      <c r="DP3" s="381"/>
      <c r="DQ3" s="381"/>
      <c r="DR3" s="381"/>
      <c r="DS3" s="381"/>
      <c r="DT3" s="381"/>
      <c r="DU3" s="381"/>
      <c r="DV3" s="381"/>
      <c r="DW3" s="381"/>
      <c r="DX3" s="381"/>
      <c r="DY3" s="381"/>
      <c r="DZ3" s="381"/>
      <c r="EA3" s="381"/>
      <c r="EB3" s="381"/>
      <c r="EC3" s="435"/>
      <c r="ED3" s="435"/>
      <c r="EE3" s="435"/>
      <c r="EF3" s="435"/>
      <c r="EG3" s="435"/>
      <c r="EH3" s="435"/>
      <c r="EI3" s="435"/>
      <c r="EJ3" s="435"/>
      <c r="EK3" s="435"/>
      <c r="EL3" s="435"/>
      <c r="EM3" s="435"/>
      <c r="EN3" s="435"/>
      <c r="EO3" s="435"/>
      <c r="EP3" s="435"/>
      <c r="EQ3" s="435"/>
      <c r="ER3" s="435"/>
      <c r="ES3" s="435"/>
      <c r="ET3" s="435"/>
      <c r="EU3" s="435"/>
      <c r="EV3" s="435"/>
      <c r="EW3" s="435"/>
      <c r="EX3" s="435"/>
      <c r="EY3" s="435"/>
      <c r="EZ3" s="435"/>
      <c r="FA3" s="435"/>
      <c r="FB3" s="435"/>
      <c r="FC3" s="435"/>
      <c r="FD3" s="435"/>
      <c r="FE3" s="435"/>
      <c r="FF3" s="435"/>
      <c r="FG3" s="435"/>
      <c r="FH3" s="435"/>
      <c r="FI3" s="435"/>
      <c r="FJ3" s="435"/>
      <c r="FK3" s="435"/>
      <c r="FL3" s="435"/>
      <c r="FM3" s="435"/>
      <c r="FN3" s="435"/>
      <c r="FO3" s="435"/>
      <c r="FP3" s="435"/>
      <c r="FQ3" s="435"/>
      <c r="FR3" s="435"/>
      <c r="FS3" s="435"/>
      <c r="FT3" s="435"/>
      <c r="FU3" s="435"/>
      <c r="FV3" s="435"/>
    </row>
    <row r="4" spans="1:178">
      <c r="A4" s="1371"/>
      <c r="B4" s="377" t="s">
        <v>400</v>
      </c>
      <c r="C4" s="378" t="s">
        <v>151</v>
      </c>
      <c r="D4" s="378"/>
      <c r="E4" s="379" t="s">
        <v>464</v>
      </c>
      <c r="F4" s="438" t="s">
        <v>398</v>
      </c>
      <c r="G4" s="438">
        <v>49114.0222634565</v>
      </c>
      <c r="H4" s="438">
        <v>38720.781829679996</v>
      </c>
      <c r="I4" s="438">
        <v>37409.691468650999</v>
      </c>
      <c r="J4" s="438">
        <v>30540.439970405001</v>
      </c>
      <c r="K4" s="438">
        <v>31156.107426096001</v>
      </c>
      <c r="L4" s="438">
        <v>30073.099605308002</v>
      </c>
      <c r="M4" s="438">
        <v>30845.757435424002</v>
      </c>
      <c r="N4" s="438">
        <v>31687.697930225004</v>
      </c>
      <c r="O4" s="438">
        <v>29379.747895740002</v>
      </c>
      <c r="P4" s="438">
        <v>28296.217956442502</v>
      </c>
      <c r="Q4" s="438">
        <v>27237.080130880004</v>
      </c>
      <c r="R4" s="438">
        <v>23892.252103007999</v>
      </c>
      <c r="S4" s="380">
        <v>24842.812105361998</v>
      </c>
      <c r="T4" s="380">
        <v>30106.891295556001</v>
      </c>
      <c r="U4" s="380">
        <v>33060.925121352499</v>
      </c>
      <c r="V4" s="380">
        <v>27538</v>
      </c>
      <c r="W4" s="380">
        <v>22486</v>
      </c>
      <c r="X4" s="380">
        <v>22318</v>
      </c>
      <c r="Y4" s="380">
        <v>24367</v>
      </c>
      <c r="Z4" s="380">
        <v>26626</v>
      </c>
      <c r="AA4" s="380">
        <v>25670</v>
      </c>
      <c r="AB4" s="380">
        <v>21731</v>
      </c>
      <c r="AC4" s="380">
        <v>20316</v>
      </c>
      <c r="AD4" s="380">
        <v>22355</v>
      </c>
      <c r="AE4" s="380">
        <v>25834</v>
      </c>
      <c r="AF4" s="380">
        <v>31223</v>
      </c>
      <c r="AG4" s="380">
        <v>29781</v>
      </c>
      <c r="AH4" s="380">
        <v>35242</v>
      </c>
      <c r="AI4" s="380">
        <v>41983</v>
      </c>
      <c r="AJ4" s="380">
        <v>41252</v>
      </c>
      <c r="AK4" s="380">
        <v>33014</v>
      </c>
      <c r="AL4" s="380">
        <v>26278</v>
      </c>
      <c r="AM4" s="380">
        <v>26288</v>
      </c>
      <c r="AN4" s="380">
        <v>24567</v>
      </c>
      <c r="AO4" s="380">
        <v>30788</v>
      </c>
      <c r="AP4" s="380">
        <v>33730</v>
      </c>
      <c r="AQ4" s="380">
        <v>39430</v>
      </c>
      <c r="AR4" s="380">
        <v>39325</v>
      </c>
      <c r="AS4" s="380">
        <v>38237</v>
      </c>
      <c r="AT4" s="561">
        <v>37934.865946679616</v>
      </c>
      <c r="AU4" s="380">
        <v>33977.640442957862</v>
      </c>
      <c r="AV4" s="380">
        <v>31621.932879798373</v>
      </c>
      <c r="AW4" s="380">
        <v>32245.619069523007</v>
      </c>
      <c r="AX4" s="380">
        <v>35684.70245863789</v>
      </c>
      <c r="AY4" s="380">
        <v>39729.847125147098</v>
      </c>
      <c r="AZ4" s="380">
        <v>40952.16644234657</v>
      </c>
      <c r="BA4" s="380">
        <v>43265.008516764698</v>
      </c>
      <c r="BB4" s="380">
        <v>47988.175639430039</v>
      </c>
      <c r="BC4" s="380">
        <v>50433.177687914897</v>
      </c>
      <c r="BD4" s="380">
        <v>39526.941750297483</v>
      </c>
      <c r="BE4" s="380">
        <v>30706.727022092222</v>
      </c>
      <c r="BF4" s="380">
        <v>31116.496307792124</v>
      </c>
      <c r="BG4" s="380">
        <v>35009.966798561858</v>
      </c>
      <c r="BH4" s="380">
        <v>37788.034281404027</v>
      </c>
      <c r="BI4" s="380">
        <v>38867.056236388496</v>
      </c>
      <c r="BJ4" s="380">
        <v>38678.266268318395</v>
      </c>
      <c r="BK4" s="380">
        <v>30138.909034848981</v>
      </c>
      <c r="BL4" s="380">
        <v>25548.609383721534</v>
      </c>
      <c r="BM4" s="380">
        <v>26760.845915432019</v>
      </c>
      <c r="BN4" s="380">
        <v>26872.996097798805</v>
      </c>
      <c r="BO4" s="380">
        <v>32318.693176917925</v>
      </c>
      <c r="BP4" s="380">
        <v>33253.389942674119</v>
      </c>
      <c r="BQ4" s="380">
        <v>33880.879188109247</v>
      </c>
      <c r="BR4" s="380">
        <v>44015.264630194491</v>
      </c>
      <c r="BS4" s="380">
        <v>40776.774414982094</v>
      </c>
      <c r="BT4" s="380">
        <v>37265.269327664537</v>
      </c>
      <c r="BU4" s="380">
        <v>19125.668604651164</v>
      </c>
      <c r="BV4" s="380">
        <v>26903.941500000001</v>
      </c>
      <c r="BW4" s="380">
        <v>26159.661614028053</v>
      </c>
      <c r="BX4" s="380">
        <v>26674.737698603414</v>
      </c>
      <c r="BY4" s="380">
        <v>26951.072804257299</v>
      </c>
      <c r="BZ4" s="380">
        <v>27292.749632570878</v>
      </c>
      <c r="CA4" s="380">
        <v>29207.059319259082</v>
      </c>
      <c r="CB4" s="380">
        <v>34185.03825123742</v>
      </c>
      <c r="CC4" s="380">
        <v>35409.408776058146</v>
      </c>
      <c r="CD4" s="380">
        <v>40548.590675430503</v>
      </c>
      <c r="CE4" s="380">
        <v>44551.491526971819</v>
      </c>
      <c r="CF4" s="380">
        <v>45328.551547510528</v>
      </c>
      <c r="CG4" s="380">
        <v>41304.84915769448</v>
      </c>
      <c r="CH4" s="380">
        <v>36449.953636561011</v>
      </c>
      <c r="CI4" s="380">
        <v>40423.343654069329</v>
      </c>
      <c r="CJ4" s="380">
        <v>48277.23010084885</v>
      </c>
      <c r="CK4" s="380">
        <v>50779.51102849115</v>
      </c>
      <c r="CL4" s="438">
        <v>51112.515377978409</v>
      </c>
      <c r="CM4" s="380">
        <f t="shared" si="0"/>
        <v>33497.454231311982</v>
      </c>
      <c r="CN4" s="381" t="s">
        <v>201</v>
      </c>
      <c r="CO4" s="382">
        <f>'Cracker Yields'!H15</f>
        <v>0.98795180722891562</v>
      </c>
      <c r="CP4" s="382">
        <f>'Cracker Yields'!I15</f>
        <v>0.65714285714285725</v>
      </c>
      <c r="CQ4" s="382">
        <f>'Cracker Yields'!J15</f>
        <v>0.57894736842105254</v>
      </c>
      <c r="CR4" s="382">
        <f>'Cracker Yields'!K15</f>
        <v>0.57894736842105254</v>
      </c>
      <c r="CS4" s="381"/>
      <c r="CT4" s="381"/>
      <c r="CU4" s="381"/>
      <c r="CV4" s="381"/>
      <c r="CW4" s="381"/>
      <c r="DB4" s="381"/>
      <c r="DC4" s="381"/>
      <c r="DD4" s="381"/>
      <c r="DE4" s="381"/>
      <c r="DF4" s="381"/>
      <c r="DG4" s="381"/>
      <c r="DH4" s="381"/>
      <c r="DI4" s="381"/>
      <c r="DJ4" s="381"/>
      <c r="DK4" s="381"/>
      <c r="DL4" s="381"/>
      <c r="DM4" s="381"/>
      <c r="DN4" s="381"/>
      <c r="DO4" s="381"/>
      <c r="DP4" s="381"/>
      <c r="DQ4" s="381"/>
      <c r="DR4" s="381"/>
      <c r="DS4" s="381"/>
      <c r="DT4" s="381"/>
      <c r="DU4" s="381"/>
      <c r="DV4" s="381"/>
      <c r="DW4" s="381"/>
      <c r="DX4" s="381"/>
      <c r="DY4" s="381"/>
      <c r="DZ4" s="381"/>
      <c r="EA4" s="381"/>
      <c r="EB4" s="381"/>
      <c r="EC4" s="435"/>
      <c r="ED4" s="435"/>
      <c r="EE4" s="435"/>
      <c r="EF4" s="435"/>
      <c r="EG4" s="435"/>
      <c r="EH4" s="435"/>
      <c r="EI4" s="435"/>
      <c r="EJ4" s="435"/>
      <c r="EK4" s="435"/>
      <c r="EL4" s="435"/>
      <c r="EM4" s="435"/>
      <c r="EN4" s="435"/>
      <c r="EO4" s="435"/>
      <c r="EP4" s="435"/>
      <c r="EQ4" s="435"/>
      <c r="ER4" s="435"/>
      <c r="ES4" s="435"/>
      <c r="ET4" s="435"/>
      <c r="EU4" s="435"/>
      <c r="EV4" s="435"/>
      <c r="EW4" s="435"/>
      <c r="EX4" s="435"/>
      <c r="EY4" s="435"/>
      <c r="EZ4" s="435"/>
      <c r="FA4" s="435"/>
      <c r="FB4" s="435"/>
      <c r="FC4" s="435"/>
      <c r="FD4" s="435"/>
      <c r="FE4" s="435"/>
      <c r="FF4" s="435"/>
      <c r="FG4" s="435"/>
      <c r="FH4" s="435"/>
      <c r="FI4" s="435"/>
      <c r="FJ4" s="435"/>
      <c r="FK4" s="435"/>
      <c r="FL4" s="435"/>
      <c r="FM4" s="435"/>
      <c r="FN4" s="435"/>
      <c r="FO4" s="435"/>
      <c r="FP4" s="435"/>
      <c r="FQ4" s="435"/>
      <c r="FR4" s="435"/>
      <c r="FS4" s="435"/>
      <c r="FT4" s="435"/>
      <c r="FU4" s="435"/>
      <c r="FV4" s="435"/>
    </row>
    <row r="5" spans="1:178">
      <c r="A5" s="1371"/>
      <c r="B5" s="377" t="s">
        <v>400</v>
      </c>
      <c r="C5" s="378" t="s">
        <v>151</v>
      </c>
      <c r="D5" s="378"/>
      <c r="E5" s="379" t="s">
        <v>464</v>
      </c>
      <c r="F5" s="438" t="s">
        <v>1</v>
      </c>
      <c r="G5" s="438">
        <v>67392.609457049111</v>
      </c>
      <c r="H5" s="438">
        <v>60605.079353133209</v>
      </c>
      <c r="I5" s="438">
        <v>48172.078488951513</v>
      </c>
      <c r="J5" s="438">
        <v>37864.497597380359</v>
      </c>
      <c r="K5" s="438">
        <v>47879.351819021838</v>
      </c>
      <c r="L5" s="438">
        <v>47653.203449015826</v>
      </c>
      <c r="M5" s="438">
        <v>50245.90983408309</v>
      </c>
      <c r="N5" s="438">
        <v>53682.476058591848</v>
      </c>
      <c r="O5" s="438">
        <v>52101.108070066402</v>
      </c>
      <c r="P5" s="438">
        <v>44833.642535967861</v>
      </c>
      <c r="Q5" s="438">
        <v>39799.319113601872</v>
      </c>
      <c r="R5" s="438">
        <v>42427.967582583653</v>
      </c>
      <c r="S5" s="380">
        <v>43936.187561656916</v>
      </c>
      <c r="T5" s="380">
        <v>44286.265804363771</v>
      </c>
      <c r="U5" s="380">
        <v>40835.877834148712</v>
      </c>
      <c r="V5" s="380">
        <v>33128.389556039998</v>
      </c>
      <c r="W5" s="380">
        <v>31571.465730678945</v>
      </c>
      <c r="X5" s="380">
        <v>35742.866320322726</v>
      </c>
      <c r="Y5" s="380">
        <v>38723.340516723809</v>
      </c>
      <c r="Z5" s="380">
        <v>40818.726320639995</v>
      </c>
      <c r="AA5" s="380">
        <v>42322.736095131819</v>
      </c>
      <c r="AB5" s="380">
        <v>38558.96795636</v>
      </c>
      <c r="AC5" s="380">
        <v>37038.594996836364</v>
      </c>
      <c r="AD5" s="380">
        <v>39477.72624435</v>
      </c>
      <c r="AE5" s="380">
        <v>44184.909717449525</v>
      </c>
      <c r="AF5" s="380">
        <v>43790.926158518181</v>
      </c>
      <c r="AG5" s="380">
        <v>48363.720047673807</v>
      </c>
      <c r="AH5" s="380">
        <v>52020.136714039996</v>
      </c>
      <c r="AI5" s="380">
        <v>51754.411170050007</v>
      </c>
      <c r="AJ5" s="380">
        <v>45823.307070771734</v>
      </c>
      <c r="AK5" s="380">
        <v>46193.531558326315</v>
      </c>
      <c r="AL5" s="380">
        <v>43002.461390778575</v>
      </c>
      <c r="AM5" s="380">
        <v>39761.120563964279</v>
      </c>
      <c r="AN5" s="380">
        <v>40814.031903535237</v>
      </c>
      <c r="AO5" s="380">
        <v>44455.573294022724</v>
      </c>
      <c r="AP5" s="380">
        <v>48989.345300000001</v>
      </c>
      <c r="AQ5" s="380">
        <v>51532.233811542857</v>
      </c>
      <c r="AR5" s="380">
        <v>57244.271480659088</v>
      </c>
      <c r="AS5" s="380">
        <v>56975.474865600001</v>
      </c>
      <c r="AT5" s="561">
        <v>37468.917824886834</v>
      </c>
      <c r="AU5" s="380">
        <v>34979.7952647251</v>
      </c>
      <c r="AV5" s="380">
        <v>36995.226789598193</v>
      </c>
      <c r="AW5" s="380">
        <v>38411.434700802383</v>
      </c>
      <c r="AX5" s="380">
        <v>43077.696672195132</v>
      </c>
      <c r="AY5" s="380">
        <v>42339.113972658684</v>
      </c>
      <c r="AZ5" s="380">
        <v>44176.800315880733</v>
      </c>
      <c r="BA5" s="380">
        <v>45449.873001355765</v>
      </c>
      <c r="BB5" s="380">
        <v>48374.835244225556</v>
      </c>
      <c r="BC5" s="380">
        <v>49736.488507928807</v>
      </c>
      <c r="BD5" s="380">
        <v>36558.702058330193</v>
      </c>
      <c r="BE5" s="380">
        <v>31387.522192377604</v>
      </c>
      <c r="BF5" s="380">
        <v>31954.700264411553</v>
      </c>
      <c r="BG5" s="380">
        <v>35488.590056570771</v>
      </c>
      <c r="BH5" s="380">
        <v>37151.720463657031</v>
      </c>
      <c r="BI5" s="380">
        <v>40224.487971509581</v>
      </c>
      <c r="BJ5" s="380">
        <v>39776.808056372938</v>
      </c>
      <c r="BK5" s="380">
        <v>32806.091323106572</v>
      </c>
      <c r="BL5" s="380">
        <v>34852.034397102398</v>
      </c>
      <c r="BM5" s="380">
        <v>32743.412011815777</v>
      </c>
      <c r="BN5" s="380">
        <v>33941.49447086802</v>
      </c>
      <c r="BO5" s="380">
        <v>36161.070807658274</v>
      </c>
      <c r="BP5" s="380">
        <v>36208.29768815585</v>
      </c>
      <c r="BQ5" s="380">
        <v>39212.402929615775</v>
      </c>
      <c r="BR5" s="380">
        <v>38005.50999905145</v>
      </c>
      <c r="BS5" s="380">
        <v>33948.919195272174</v>
      </c>
      <c r="BT5" s="380">
        <v>21830.230520384102</v>
      </c>
      <c r="BU5" s="380">
        <v>41618.000025444984</v>
      </c>
      <c r="BV5" s="380">
        <v>36293.110003071568</v>
      </c>
      <c r="BW5" s="380">
        <v>40230.560009202418</v>
      </c>
      <c r="BX5" s="380">
        <v>28984.506728422391</v>
      </c>
      <c r="BY5" s="380">
        <v>29296.224637839514</v>
      </c>
      <c r="BZ5" s="380">
        <v>28071.268352741423</v>
      </c>
      <c r="CA5" s="380">
        <v>23219.340304109319</v>
      </c>
      <c r="CB5" s="380">
        <v>27680.138169883663</v>
      </c>
      <c r="CC5" s="380">
        <v>31896.526510107997</v>
      </c>
      <c r="CD5" s="380">
        <v>36352.617012931434</v>
      </c>
      <c r="CE5" s="380">
        <v>40134.773482798308</v>
      </c>
      <c r="CF5" s="380">
        <v>42943.647213612938</v>
      </c>
      <c r="CG5" s="380">
        <v>41061.486307385807</v>
      </c>
      <c r="CH5" s="380">
        <v>43266.069260132143</v>
      </c>
      <c r="CI5" s="380">
        <v>46764.427300723</v>
      </c>
      <c r="CJ5" s="380">
        <v>49848.163616800543</v>
      </c>
      <c r="CK5" s="380">
        <v>47958.871071535585</v>
      </c>
      <c r="CL5" s="438">
        <v>49198.016422217115</v>
      </c>
      <c r="CM5" s="380">
        <f t="shared" si="0"/>
        <v>41334.330553251282</v>
      </c>
      <c r="CN5" s="381" t="s">
        <v>202</v>
      </c>
      <c r="CO5" s="382">
        <f>'Cracker Yields'!H16</f>
        <v>1.2048192771084376E-2</v>
      </c>
      <c r="CP5" s="382">
        <f>'Cracker Yields'!I16</f>
        <v>0.34285714285714275</v>
      </c>
      <c r="CQ5" s="382">
        <f>'Cracker Yields'!J16</f>
        <v>0.42105263157894746</v>
      </c>
      <c r="CR5" s="382">
        <f>'Cracker Yields'!K16</f>
        <v>0.42105263157894746</v>
      </c>
      <c r="CS5" s="381"/>
      <c r="CT5" s="381"/>
      <c r="CU5" s="381"/>
      <c r="CV5" s="381"/>
      <c r="CW5" s="381"/>
      <c r="DB5" s="381"/>
      <c r="DC5" s="381"/>
      <c r="DD5" s="381"/>
      <c r="DE5" s="381"/>
      <c r="DF5" s="381"/>
      <c r="DG5" s="381"/>
      <c r="DH5" s="381"/>
      <c r="DI5" s="381"/>
      <c r="DJ5" s="381"/>
      <c r="DK5" s="381"/>
      <c r="DL5" s="381"/>
      <c r="DM5" s="381"/>
      <c r="DN5" s="381"/>
      <c r="DO5" s="381"/>
      <c r="DP5" s="381"/>
      <c r="DQ5" s="381"/>
      <c r="DR5" s="381"/>
      <c r="DS5" s="381"/>
      <c r="DT5" s="381"/>
      <c r="DU5" s="381"/>
      <c r="DV5" s="381"/>
      <c r="DW5" s="381"/>
      <c r="DX5" s="381"/>
      <c r="DY5" s="381"/>
      <c r="DZ5" s="381"/>
      <c r="EA5" s="381"/>
      <c r="EB5" s="381"/>
      <c r="EC5" s="383">
        <v>52.32</v>
      </c>
      <c r="ED5" s="381"/>
      <c r="EE5" s="381"/>
      <c r="EF5" s="381"/>
      <c r="EG5" s="435"/>
      <c r="EH5" s="435"/>
      <c r="EI5" s="435"/>
      <c r="EJ5" s="435"/>
      <c r="EK5" s="435"/>
      <c r="EL5" s="435"/>
      <c r="EM5" s="435"/>
      <c r="EN5" s="435"/>
      <c r="EO5" s="435"/>
      <c r="EP5" s="435"/>
      <c r="EQ5" s="435"/>
      <c r="ER5" s="435"/>
      <c r="ES5" s="435"/>
      <c r="ET5" s="435"/>
      <c r="EU5" s="435"/>
      <c r="EV5" s="435"/>
      <c r="EW5" s="435"/>
      <c r="EX5" s="435"/>
      <c r="EY5" s="435"/>
      <c r="EZ5" s="435"/>
      <c r="FA5" s="435"/>
      <c r="FB5" s="435"/>
      <c r="FC5" s="435"/>
      <c r="FD5" s="435"/>
      <c r="FE5" s="435"/>
      <c r="FF5" s="435"/>
      <c r="FG5" s="435"/>
      <c r="FH5" s="435"/>
      <c r="FI5" s="435"/>
      <c r="FJ5" s="435"/>
      <c r="FK5" s="435"/>
      <c r="FL5" s="435"/>
      <c r="FM5" s="435"/>
      <c r="FN5" s="435"/>
      <c r="FO5" s="435"/>
      <c r="FP5" s="435"/>
      <c r="FQ5" s="435"/>
      <c r="FR5" s="435"/>
      <c r="FS5" s="435"/>
      <c r="FT5" s="435"/>
      <c r="FU5" s="435"/>
      <c r="FV5" s="435"/>
    </row>
    <row r="6" spans="1:178">
      <c r="A6" s="1372"/>
      <c r="B6" s="384" t="s">
        <v>399</v>
      </c>
      <c r="C6" s="385" t="s">
        <v>397</v>
      </c>
      <c r="D6" s="385"/>
      <c r="E6" s="386" t="s">
        <v>464</v>
      </c>
      <c r="F6" s="440" t="s">
        <v>443</v>
      </c>
      <c r="G6" s="440">
        <v>690</v>
      </c>
      <c r="H6" s="440">
        <v>680</v>
      </c>
      <c r="I6" s="440">
        <v>640</v>
      </c>
      <c r="J6" s="440">
        <v>620</v>
      </c>
      <c r="K6" s="440">
        <v>595</v>
      </c>
      <c r="L6" s="440">
        <v>614</v>
      </c>
      <c r="M6" s="440">
        <v>602</v>
      </c>
      <c r="N6" s="440">
        <v>591</v>
      </c>
      <c r="O6" s="440">
        <v>582</v>
      </c>
      <c r="P6" s="440">
        <v>564</v>
      </c>
      <c r="Q6" s="440">
        <v>577</v>
      </c>
      <c r="R6" s="440">
        <v>544</v>
      </c>
      <c r="S6" s="380">
        <v>549</v>
      </c>
      <c r="T6" s="387">
        <v>562</v>
      </c>
      <c r="U6" s="387">
        <v>575</v>
      </c>
      <c r="V6" s="380">
        <v>588</v>
      </c>
      <c r="W6" s="387">
        <v>600</v>
      </c>
      <c r="X6" s="387">
        <v>614</v>
      </c>
      <c r="Y6" s="387">
        <v>628</v>
      </c>
      <c r="Z6" s="387">
        <v>638</v>
      </c>
      <c r="AA6" s="387">
        <v>651</v>
      </c>
      <c r="AB6" s="387">
        <v>664</v>
      </c>
      <c r="AC6" s="387">
        <v>677</v>
      </c>
      <c r="AD6" s="380">
        <v>689</v>
      </c>
      <c r="AE6" s="387">
        <v>602</v>
      </c>
      <c r="AF6" s="387">
        <v>615</v>
      </c>
      <c r="AG6" s="387">
        <v>628</v>
      </c>
      <c r="AH6" s="380">
        <v>640</v>
      </c>
      <c r="AI6" s="387">
        <v>654</v>
      </c>
      <c r="AJ6" s="387">
        <v>644</v>
      </c>
      <c r="AK6" s="387">
        <v>679</v>
      </c>
      <c r="AL6" s="387">
        <v>691</v>
      </c>
      <c r="AM6" s="387">
        <v>704</v>
      </c>
      <c r="AN6" s="387">
        <v>717</v>
      </c>
      <c r="AO6" s="387">
        <v>629.54360858123698</v>
      </c>
      <c r="AP6" s="387">
        <v>642.28255936563301</v>
      </c>
      <c r="AQ6" s="387">
        <v>655.02151015003005</v>
      </c>
      <c r="AR6" s="387">
        <v>667.76046093442596</v>
      </c>
      <c r="AS6" s="387">
        <v>680.49941171882301</v>
      </c>
      <c r="AT6" s="387">
        <v>693.23836250321904</v>
      </c>
      <c r="AU6" s="387">
        <v>725</v>
      </c>
      <c r="AV6" s="387">
        <v>731</v>
      </c>
      <c r="AW6" s="387">
        <v>683.35192411641094</v>
      </c>
      <c r="AX6" s="387">
        <v>727.45879248730159</v>
      </c>
      <c r="AY6" s="387">
        <v>790.46535767833188</v>
      </c>
      <c r="AZ6" s="387">
        <v>835.82228336641663</v>
      </c>
      <c r="BA6" s="387">
        <v>855.64779771974872</v>
      </c>
      <c r="BB6" s="387">
        <v>831.01152604586082</v>
      </c>
      <c r="BC6" s="387">
        <v>894.32305357357711</v>
      </c>
      <c r="BD6" s="387">
        <v>848.00352710543211</v>
      </c>
      <c r="BE6" s="387">
        <v>762.53950609685091</v>
      </c>
      <c r="BF6" s="387">
        <v>747.97322905859232</v>
      </c>
      <c r="BG6" s="387">
        <v>816.24945468112071</v>
      </c>
      <c r="BH6" s="387">
        <v>713.84568622483982</v>
      </c>
      <c r="BI6" s="387">
        <v>547.77</v>
      </c>
      <c r="BJ6" s="387">
        <v>505.25</v>
      </c>
      <c r="BK6" s="387">
        <v>522.21</v>
      </c>
      <c r="BL6" s="387">
        <v>559.08000000000004</v>
      </c>
      <c r="BM6" s="387">
        <v>496.47</v>
      </c>
      <c r="BN6" s="387">
        <v>463.19</v>
      </c>
      <c r="BO6" s="387">
        <v>620.35</v>
      </c>
      <c r="BP6" s="387">
        <v>540.62</v>
      </c>
      <c r="BQ6" s="387">
        <v>605.28</v>
      </c>
      <c r="BR6" s="387">
        <v>485.79</v>
      </c>
      <c r="BS6" s="387">
        <v>478.65</v>
      </c>
      <c r="BT6" s="387">
        <v>313.06</v>
      </c>
      <c r="BU6" s="387">
        <v>546.95000000000005</v>
      </c>
      <c r="BV6" s="387">
        <v>498.46</v>
      </c>
      <c r="BW6" s="387">
        <v>285.66000000000003</v>
      </c>
      <c r="BX6" s="387">
        <v>264.85000000000002</v>
      </c>
      <c r="BY6" s="387">
        <v>334.58</v>
      </c>
      <c r="BZ6" s="387">
        <v>410.09</v>
      </c>
      <c r="CA6" s="387">
        <v>471.71</v>
      </c>
      <c r="CB6" s="387">
        <v>532.29999999999995</v>
      </c>
      <c r="CC6" s="387">
        <v>588.39</v>
      </c>
      <c r="CD6" s="387">
        <v>675.69</v>
      </c>
      <c r="CE6" s="387">
        <v>872.05</v>
      </c>
      <c r="CF6" s="387">
        <v>766.06</v>
      </c>
      <c r="CG6" s="387">
        <v>565.04999999999995</v>
      </c>
      <c r="CH6" s="387">
        <v>567.25</v>
      </c>
      <c r="CI6" s="387">
        <v>619.33000000000004</v>
      </c>
      <c r="CJ6" s="387">
        <v>708.17</v>
      </c>
      <c r="CK6" s="387">
        <v>868.98</v>
      </c>
      <c r="CL6" s="510">
        <v>938.53</v>
      </c>
      <c r="CM6" s="380">
        <f t="shared" si="0"/>
        <v>629.65307204056967</v>
      </c>
      <c r="CN6" s="435"/>
      <c r="CO6" s="435"/>
      <c r="CP6" s="435"/>
      <c r="CQ6" s="435"/>
      <c r="CR6" s="435"/>
      <c r="CS6" s="435"/>
      <c r="CT6" s="435"/>
      <c r="CU6" s="435"/>
      <c r="CV6" s="435"/>
      <c r="CW6" s="435"/>
      <c r="CX6" s="435"/>
      <c r="CY6" s="435"/>
      <c r="CZ6" s="435"/>
      <c r="DA6" s="435"/>
      <c r="DB6" s="435"/>
      <c r="DC6" s="435"/>
      <c r="DD6" s="435"/>
      <c r="DE6" s="435"/>
      <c r="DF6" s="435"/>
      <c r="DG6" s="435"/>
      <c r="DH6" s="435"/>
      <c r="DI6" s="435"/>
      <c r="DJ6" s="435"/>
      <c r="DK6" s="435"/>
      <c r="DL6" s="435"/>
      <c r="DM6" s="435"/>
      <c r="DN6" s="435"/>
      <c r="DO6" s="435"/>
      <c r="DP6" s="435"/>
      <c r="DQ6" s="435"/>
      <c r="DR6" s="435"/>
      <c r="DS6" s="435"/>
      <c r="DT6" s="435"/>
      <c r="DU6" s="435"/>
      <c r="DV6" s="435"/>
      <c r="DW6" s="435"/>
      <c r="DX6" s="435"/>
      <c r="DY6" s="435"/>
      <c r="DZ6" s="435"/>
      <c r="EA6" s="435"/>
      <c r="EB6" s="435"/>
      <c r="EC6" s="435"/>
      <c r="ED6" s="435"/>
      <c r="EE6" s="435"/>
      <c r="EF6" s="435"/>
      <c r="EG6" s="435"/>
      <c r="EH6" s="435"/>
      <c r="EI6" s="435"/>
      <c r="EJ6" s="435"/>
      <c r="EK6" s="435"/>
      <c r="EL6" s="435"/>
      <c r="EM6" s="435"/>
      <c r="EN6" s="435"/>
      <c r="EO6" s="435"/>
      <c r="EP6" s="435"/>
      <c r="EQ6" s="435"/>
      <c r="ER6" s="435"/>
      <c r="ES6" s="435"/>
      <c r="ET6" s="435"/>
      <c r="EU6" s="435"/>
      <c r="EV6" s="435"/>
      <c r="EW6" s="435"/>
      <c r="EX6" s="435"/>
      <c r="EY6" s="435"/>
      <c r="EZ6" s="435"/>
      <c r="FA6" s="435"/>
      <c r="FB6" s="435"/>
      <c r="FC6" s="435"/>
      <c r="FD6" s="435"/>
      <c r="FE6" s="435"/>
      <c r="FF6" s="435"/>
      <c r="FG6" s="435"/>
      <c r="FH6" s="435"/>
      <c r="FI6" s="435"/>
      <c r="FJ6" s="435"/>
      <c r="FK6" s="435"/>
      <c r="FL6" s="435"/>
      <c r="FM6" s="435"/>
      <c r="FN6" s="435"/>
      <c r="FO6" s="435"/>
      <c r="FP6" s="435"/>
      <c r="FQ6" s="435"/>
      <c r="FR6" s="435"/>
      <c r="FS6" s="435"/>
      <c r="FT6" s="435"/>
      <c r="FU6" s="435"/>
      <c r="FV6" s="435"/>
    </row>
    <row r="7" spans="1:178">
      <c r="A7" s="1373" t="s">
        <v>446</v>
      </c>
      <c r="B7" s="372" t="s">
        <v>399</v>
      </c>
      <c r="C7" s="373" t="s">
        <v>151</v>
      </c>
      <c r="D7" s="373"/>
      <c r="E7" s="388" t="s">
        <v>464</v>
      </c>
      <c r="F7" s="441" t="s">
        <v>142</v>
      </c>
      <c r="G7" s="442">
        <v>56500</v>
      </c>
      <c r="H7" s="442">
        <v>56300</v>
      </c>
      <c r="I7" s="442">
        <v>56100</v>
      </c>
      <c r="J7" s="442">
        <v>55900</v>
      </c>
      <c r="K7" s="442">
        <v>55800</v>
      </c>
      <c r="L7" s="442">
        <v>55600</v>
      </c>
      <c r="M7" s="442">
        <v>55200</v>
      </c>
      <c r="N7" s="442">
        <v>57300</v>
      </c>
      <c r="O7" s="442">
        <v>54100</v>
      </c>
      <c r="P7" s="441">
        <v>55200</v>
      </c>
      <c r="Q7" s="441">
        <v>52300</v>
      </c>
      <c r="R7" s="558">
        <v>45600</v>
      </c>
      <c r="S7" s="442">
        <v>47020</v>
      </c>
      <c r="T7" s="558">
        <v>45750</v>
      </c>
      <c r="U7" s="468">
        <v>46150</v>
      </c>
      <c r="V7" s="442">
        <v>45650</v>
      </c>
      <c r="W7" s="558">
        <v>36940</v>
      </c>
      <c r="X7" s="442">
        <v>36950</v>
      </c>
      <c r="Y7" s="447">
        <v>37390</v>
      </c>
      <c r="Z7" s="442">
        <v>37950</v>
      </c>
      <c r="AA7" s="442">
        <v>38680</v>
      </c>
      <c r="AB7" s="447">
        <v>39250</v>
      </c>
      <c r="AC7" s="468">
        <v>39610</v>
      </c>
      <c r="AD7" s="442">
        <v>39920</v>
      </c>
      <c r="AE7" s="447">
        <v>39990</v>
      </c>
      <c r="AF7" s="442">
        <v>40250</v>
      </c>
      <c r="AG7" s="468">
        <v>41270</v>
      </c>
      <c r="AH7" s="442">
        <v>42350</v>
      </c>
      <c r="AI7" s="558">
        <v>57680</v>
      </c>
      <c r="AJ7" s="442">
        <v>60070</v>
      </c>
      <c r="AK7" s="442">
        <v>58600</v>
      </c>
      <c r="AL7" s="442">
        <v>56250</v>
      </c>
      <c r="AM7" s="442">
        <v>54760</v>
      </c>
      <c r="AN7" s="442">
        <v>53400</v>
      </c>
      <c r="AO7" s="442">
        <v>52470</v>
      </c>
      <c r="AP7" s="442">
        <v>51630</v>
      </c>
      <c r="AQ7" s="442">
        <v>52140</v>
      </c>
      <c r="AR7" s="442">
        <v>52030</v>
      </c>
      <c r="AS7" s="442">
        <v>51990</v>
      </c>
      <c r="AT7" s="562">
        <v>57152</v>
      </c>
      <c r="AU7" s="442">
        <v>58526</v>
      </c>
      <c r="AV7" s="442">
        <v>58277</v>
      </c>
      <c r="AW7" s="442">
        <v>55909</v>
      </c>
      <c r="AX7" s="442">
        <v>55303</v>
      </c>
      <c r="AY7" s="442">
        <v>58424</v>
      </c>
      <c r="AZ7" s="442">
        <v>56706</v>
      </c>
      <c r="BA7" s="442">
        <v>57565</v>
      </c>
      <c r="BB7" s="442">
        <v>61481</v>
      </c>
      <c r="BC7" s="442">
        <v>61877</v>
      </c>
      <c r="BD7" s="442">
        <v>61367</v>
      </c>
      <c r="BE7" s="442">
        <v>49658</v>
      </c>
      <c r="BF7" s="442">
        <v>41296</v>
      </c>
      <c r="BG7" s="442">
        <v>39412</v>
      </c>
      <c r="BH7" s="442">
        <v>42670</v>
      </c>
      <c r="BI7" s="442">
        <v>42621</v>
      </c>
      <c r="BJ7" s="442">
        <v>43930</v>
      </c>
      <c r="BK7" s="442">
        <v>44300</v>
      </c>
      <c r="BL7" s="442">
        <v>44000</v>
      </c>
      <c r="BM7" s="442">
        <v>46900</v>
      </c>
      <c r="BN7" s="442">
        <v>48100</v>
      </c>
      <c r="BO7" s="442">
        <v>52100</v>
      </c>
      <c r="BP7" s="442">
        <v>48600</v>
      </c>
      <c r="BQ7" s="442">
        <v>47000</v>
      </c>
      <c r="BR7" s="442">
        <v>52400</v>
      </c>
      <c r="BS7" s="442">
        <v>52900</v>
      </c>
      <c r="BT7" s="442">
        <v>48400</v>
      </c>
      <c r="BU7" s="444">
        <v>37400</v>
      </c>
      <c r="BV7" s="444">
        <v>24900</v>
      </c>
      <c r="BW7" s="444">
        <v>30300</v>
      </c>
      <c r="BX7" s="444">
        <v>33900</v>
      </c>
      <c r="BY7" s="444">
        <v>33100</v>
      </c>
      <c r="BZ7" s="444">
        <v>34400</v>
      </c>
      <c r="CA7" s="444">
        <v>32600</v>
      </c>
      <c r="CB7" s="444">
        <v>32500</v>
      </c>
      <c r="CC7" s="444">
        <v>40800</v>
      </c>
      <c r="CD7" s="444">
        <v>47900</v>
      </c>
      <c r="CE7" s="444">
        <v>48900</v>
      </c>
      <c r="CF7" s="444">
        <v>57200</v>
      </c>
      <c r="CG7" s="444">
        <v>62200</v>
      </c>
      <c r="CH7" s="444">
        <v>70100</v>
      </c>
      <c r="CI7" s="444">
        <v>75100</v>
      </c>
      <c r="CJ7" s="444">
        <v>71430</v>
      </c>
      <c r="CK7" s="444">
        <v>78990</v>
      </c>
      <c r="CL7" s="614">
        <v>72940</v>
      </c>
      <c r="CM7" s="375">
        <f t="shared" si="0"/>
        <v>49804.452380952382</v>
      </c>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row>
    <row r="8" spans="1:178">
      <c r="A8" s="1374"/>
      <c r="B8" s="377" t="s">
        <v>399</v>
      </c>
      <c r="C8" s="378" t="s">
        <v>151</v>
      </c>
      <c r="D8" s="378"/>
      <c r="E8" s="389" t="s">
        <v>464</v>
      </c>
      <c r="F8" s="445" t="s">
        <v>499</v>
      </c>
      <c r="G8" s="447">
        <v>78900</v>
      </c>
      <c r="H8" s="447">
        <v>75500</v>
      </c>
      <c r="I8" s="447">
        <v>76300</v>
      </c>
      <c r="J8" s="447">
        <v>77300</v>
      </c>
      <c r="K8" s="447">
        <v>74500</v>
      </c>
      <c r="L8" s="447">
        <v>78800</v>
      </c>
      <c r="M8" s="447">
        <v>75500</v>
      </c>
      <c r="N8" s="447">
        <v>77200</v>
      </c>
      <c r="O8" s="447">
        <v>71900</v>
      </c>
      <c r="P8" s="445">
        <v>74600</v>
      </c>
      <c r="Q8" s="445">
        <v>72500</v>
      </c>
      <c r="R8" s="559">
        <v>70300</v>
      </c>
      <c r="S8" s="447">
        <v>69049</v>
      </c>
      <c r="T8" s="559">
        <v>68803</v>
      </c>
      <c r="U8" s="471">
        <v>60570</v>
      </c>
      <c r="V8" s="447">
        <v>69050</v>
      </c>
      <c r="W8" s="559">
        <v>64550</v>
      </c>
      <c r="X8" s="447">
        <v>64300</v>
      </c>
      <c r="Y8" s="447">
        <v>69051</v>
      </c>
      <c r="Z8" s="447">
        <v>64800</v>
      </c>
      <c r="AA8" s="447">
        <v>67700</v>
      </c>
      <c r="AB8" s="447">
        <v>69052</v>
      </c>
      <c r="AC8" s="471">
        <v>69405</v>
      </c>
      <c r="AD8" s="447">
        <v>63700</v>
      </c>
      <c r="AE8" s="447">
        <v>69053</v>
      </c>
      <c r="AF8" s="447">
        <v>62939</v>
      </c>
      <c r="AG8" s="471">
        <v>65350</v>
      </c>
      <c r="AH8" s="447">
        <v>69054</v>
      </c>
      <c r="AI8" s="559">
        <v>63700</v>
      </c>
      <c r="AJ8" s="447">
        <v>61750</v>
      </c>
      <c r="AK8" s="563">
        <v>69055</v>
      </c>
      <c r="AL8" s="447">
        <v>68800</v>
      </c>
      <c r="AM8" s="447">
        <v>63500</v>
      </c>
      <c r="AN8" s="563">
        <v>69056</v>
      </c>
      <c r="AO8" s="447">
        <v>64500</v>
      </c>
      <c r="AP8" s="447">
        <v>64580</v>
      </c>
      <c r="AQ8" s="563">
        <v>69057</v>
      </c>
      <c r="AR8" s="447">
        <v>62925</v>
      </c>
      <c r="AS8" s="447">
        <v>71158</v>
      </c>
      <c r="AT8" s="563">
        <v>69058</v>
      </c>
      <c r="AU8" s="447">
        <v>79391</v>
      </c>
      <c r="AV8" s="447">
        <v>87624</v>
      </c>
      <c r="AW8" s="447">
        <v>91678</v>
      </c>
      <c r="AX8" s="447">
        <v>90255</v>
      </c>
      <c r="AY8" s="447">
        <v>110428</v>
      </c>
      <c r="AZ8" s="447">
        <v>113142</v>
      </c>
      <c r="BA8" s="447">
        <v>109389</v>
      </c>
      <c r="BB8" s="447">
        <v>117818</v>
      </c>
      <c r="BC8" s="447">
        <v>104990</v>
      </c>
      <c r="BD8" s="447">
        <v>79612</v>
      </c>
      <c r="BE8" s="447">
        <v>76089</v>
      </c>
      <c r="BF8" s="447">
        <v>79660</v>
      </c>
      <c r="BG8" s="447">
        <v>80367</v>
      </c>
      <c r="BH8" s="447">
        <v>75404</v>
      </c>
      <c r="BI8" s="447">
        <v>71634</v>
      </c>
      <c r="BJ8" s="447">
        <v>63615</v>
      </c>
      <c r="BK8" s="447">
        <v>66900</v>
      </c>
      <c r="BL8" s="447">
        <v>74300</v>
      </c>
      <c r="BM8" s="447">
        <v>76800</v>
      </c>
      <c r="BN8" s="447">
        <v>85000</v>
      </c>
      <c r="BO8" s="447">
        <v>87600</v>
      </c>
      <c r="BP8" s="447">
        <v>81700</v>
      </c>
      <c r="BQ8" s="447">
        <v>62200</v>
      </c>
      <c r="BR8" s="447">
        <v>63400</v>
      </c>
      <c r="BS8" s="447">
        <v>65100</v>
      </c>
      <c r="BT8" s="447">
        <v>56000</v>
      </c>
      <c r="BU8" s="448">
        <v>50100</v>
      </c>
      <c r="BV8" s="448">
        <v>28400</v>
      </c>
      <c r="BW8" s="448">
        <v>21600</v>
      </c>
      <c r="BX8" s="448">
        <v>22700</v>
      </c>
      <c r="BY8" s="448">
        <v>28600</v>
      </c>
      <c r="BZ8" s="448">
        <v>40200</v>
      </c>
      <c r="CA8" s="448">
        <v>50700</v>
      </c>
      <c r="CB8" s="448">
        <v>66900</v>
      </c>
      <c r="CC8" s="448">
        <v>94800</v>
      </c>
      <c r="CD8" s="448">
        <v>86100</v>
      </c>
      <c r="CE8" s="448">
        <v>58900</v>
      </c>
      <c r="CF8" s="448">
        <v>57400</v>
      </c>
      <c r="CG8" s="448">
        <v>80900</v>
      </c>
      <c r="CH8" s="448">
        <v>72100</v>
      </c>
      <c r="CI8" s="448">
        <v>73600</v>
      </c>
      <c r="CJ8" s="448">
        <v>88040</v>
      </c>
      <c r="CK8" s="448">
        <v>107190</v>
      </c>
      <c r="CL8" s="615">
        <v>116560</v>
      </c>
      <c r="CM8" s="380">
        <f t="shared" si="0"/>
        <v>72163.702380952382</v>
      </c>
      <c r="CN8" s="435"/>
      <c r="CO8" s="435"/>
      <c r="CP8" s="435"/>
      <c r="CQ8" s="435"/>
      <c r="CR8" s="435"/>
      <c r="CS8" s="435"/>
      <c r="CT8" s="435"/>
      <c r="CU8" s="435"/>
      <c r="CV8" s="435"/>
      <c r="CW8" s="435"/>
      <c r="CX8" s="435"/>
      <c r="CY8" s="435"/>
      <c r="CZ8" s="435"/>
      <c r="DA8" s="435"/>
      <c r="DB8" s="435"/>
      <c r="DC8" s="435"/>
      <c r="DD8" s="435"/>
      <c r="DE8" s="435"/>
      <c r="DF8" s="435"/>
      <c r="DG8" s="435"/>
      <c r="DH8" s="435"/>
      <c r="DI8" s="435"/>
      <c r="DJ8" s="435"/>
      <c r="DK8" s="435"/>
      <c r="DL8" s="435"/>
      <c r="DM8" s="435"/>
      <c r="DN8" s="435"/>
      <c r="DO8" s="435"/>
      <c r="DP8" s="435"/>
      <c r="DQ8" s="435"/>
      <c r="DR8" s="435"/>
      <c r="DS8" s="435"/>
      <c r="DT8" s="435"/>
      <c r="DU8" s="435"/>
      <c r="DV8" s="435"/>
      <c r="DW8" s="435"/>
      <c r="DX8" s="435"/>
      <c r="DY8" s="435"/>
      <c r="DZ8" s="435"/>
      <c r="EA8" s="435"/>
      <c r="EB8" s="435"/>
      <c r="EC8" s="435"/>
      <c r="ED8" s="435"/>
      <c r="EE8" s="435"/>
      <c r="EF8" s="435"/>
      <c r="EG8" s="435"/>
      <c r="EH8" s="435"/>
      <c r="EI8" s="435"/>
      <c r="EJ8" s="435"/>
      <c r="EK8" s="435"/>
      <c r="EL8" s="435"/>
      <c r="EM8" s="435"/>
      <c r="EN8" s="435"/>
      <c r="EO8" s="435"/>
      <c r="EP8" s="435"/>
      <c r="EQ8" s="435"/>
      <c r="ER8" s="435"/>
      <c r="ES8" s="435"/>
      <c r="ET8" s="435"/>
      <c r="EU8" s="435"/>
      <c r="EV8" s="435"/>
      <c r="EW8" s="435"/>
      <c r="EX8" s="435"/>
      <c r="EY8" s="435"/>
      <c r="EZ8" s="435"/>
      <c r="FA8" s="435"/>
      <c r="FB8" s="435"/>
      <c r="FC8" s="435"/>
      <c r="FD8" s="435"/>
      <c r="FE8" s="435"/>
      <c r="FF8" s="435"/>
      <c r="FG8" s="435"/>
      <c r="FH8" s="435"/>
      <c r="FI8" s="435"/>
      <c r="FJ8" s="435"/>
      <c r="FK8" s="435"/>
      <c r="FL8" s="435"/>
      <c r="FM8" s="435"/>
      <c r="FN8" s="435"/>
      <c r="FO8" s="435"/>
      <c r="FP8" s="435"/>
      <c r="FQ8" s="435"/>
      <c r="FR8" s="435"/>
      <c r="FS8" s="435"/>
      <c r="FT8" s="435"/>
      <c r="FU8" s="435"/>
      <c r="FV8" s="435"/>
    </row>
    <row r="9" spans="1:178">
      <c r="A9" s="1374"/>
      <c r="B9" s="377" t="s">
        <v>399</v>
      </c>
      <c r="C9" s="378" t="s">
        <v>151</v>
      </c>
      <c r="D9" s="378"/>
      <c r="E9" s="389" t="s">
        <v>464</v>
      </c>
      <c r="F9" s="445" t="s">
        <v>141</v>
      </c>
      <c r="G9" s="447">
        <v>24398.880000000001</v>
      </c>
      <c r="H9" s="447">
        <v>25035.784242424201</v>
      </c>
      <c r="I9" s="447">
        <v>25672.688484848499</v>
      </c>
      <c r="J9" s="447">
        <v>26309.592727272699</v>
      </c>
      <c r="K9" s="447">
        <v>26946.496969697</v>
      </c>
      <c r="L9" s="447">
        <v>27583.4012121212</v>
      </c>
      <c r="M9" s="447">
        <v>28220.305454545502</v>
      </c>
      <c r="N9" s="447">
        <v>28857.209696969701</v>
      </c>
      <c r="O9" s="447">
        <v>29494.113939393901</v>
      </c>
      <c r="P9" s="559">
        <v>30131.018181818199</v>
      </c>
      <c r="Q9" s="447">
        <v>30767.922424242399</v>
      </c>
      <c r="R9" s="447">
        <v>31404.8266666667</v>
      </c>
      <c r="S9" s="447">
        <v>31722.6</v>
      </c>
      <c r="T9" s="559">
        <v>32547.5</v>
      </c>
      <c r="U9" s="471">
        <v>34500</v>
      </c>
      <c r="V9" s="447">
        <v>33372.400000000001</v>
      </c>
      <c r="W9" s="559">
        <v>34197.300000000003</v>
      </c>
      <c r="X9" s="447">
        <v>35022.199999999997</v>
      </c>
      <c r="Y9" s="447">
        <v>35847.1</v>
      </c>
      <c r="Z9" s="447">
        <v>37700</v>
      </c>
      <c r="AA9" s="447">
        <v>36672</v>
      </c>
      <c r="AB9" s="447">
        <v>37496.9</v>
      </c>
      <c r="AC9" s="471">
        <v>38321.800000000003</v>
      </c>
      <c r="AD9" s="447">
        <v>39146.699999999997</v>
      </c>
      <c r="AE9" s="447">
        <v>35300</v>
      </c>
      <c r="AF9" s="447">
        <v>39971.599999999999</v>
      </c>
      <c r="AG9" s="471">
        <v>40796.5</v>
      </c>
      <c r="AH9" s="447">
        <v>41621.4</v>
      </c>
      <c r="AI9" s="559">
        <v>42446.3</v>
      </c>
      <c r="AJ9" s="563">
        <v>38276</v>
      </c>
      <c r="AK9" s="447">
        <v>40271.199999999997</v>
      </c>
      <c r="AL9" s="447">
        <v>40096.1</v>
      </c>
      <c r="AM9" s="447">
        <v>41921</v>
      </c>
      <c r="AN9" s="447">
        <v>40745.9</v>
      </c>
      <c r="AO9" s="563">
        <v>40250</v>
      </c>
      <c r="AP9" s="447">
        <v>41570.800000000003</v>
      </c>
      <c r="AQ9" s="447">
        <v>39395.699999999997</v>
      </c>
      <c r="AR9" s="447">
        <v>38220.6</v>
      </c>
      <c r="AS9" s="447">
        <v>39045.5</v>
      </c>
      <c r="AT9" s="563">
        <v>40278</v>
      </c>
      <c r="AU9" s="447">
        <v>40825</v>
      </c>
      <c r="AV9" s="447">
        <v>39651</v>
      </c>
      <c r="AW9" s="447">
        <v>40745</v>
      </c>
      <c r="AX9" s="447">
        <v>43210</v>
      </c>
      <c r="AY9" s="447">
        <v>49220</v>
      </c>
      <c r="AZ9" s="447">
        <v>47166</v>
      </c>
      <c r="BA9" s="447">
        <v>48765</v>
      </c>
      <c r="BB9" s="447">
        <v>49461</v>
      </c>
      <c r="BC9" s="447">
        <v>53775</v>
      </c>
      <c r="BD9" s="447">
        <v>54370</v>
      </c>
      <c r="BE9" s="447">
        <v>41640</v>
      </c>
      <c r="BF9" s="447">
        <v>37117</v>
      </c>
      <c r="BG9" s="447">
        <v>37203</v>
      </c>
      <c r="BH9" s="447">
        <v>40633</v>
      </c>
      <c r="BI9" s="447">
        <v>41946</v>
      </c>
      <c r="BJ9" s="447">
        <v>44260</v>
      </c>
      <c r="BK9" s="447">
        <v>46500</v>
      </c>
      <c r="BL9" s="447">
        <v>40900</v>
      </c>
      <c r="BM9" s="447">
        <v>43100</v>
      </c>
      <c r="BN9" s="447">
        <v>41200</v>
      </c>
      <c r="BO9" s="447">
        <v>43200</v>
      </c>
      <c r="BP9" s="447">
        <v>43200</v>
      </c>
      <c r="BQ9" s="447">
        <v>45400</v>
      </c>
      <c r="BR9" s="447">
        <v>48300</v>
      </c>
      <c r="BS9" s="447">
        <v>47500</v>
      </c>
      <c r="BT9" s="447">
        <v>43200</v>
      </c>
      <c r="BU9" s="448">
        <v>30300</v>
      </c>
      <c r="BV9" s="448">
        <v>20000</v>
      </c>
      <c r="BW9" s="448">
        <v>25600</v>
      </c>
      <c r="BX9" s="448">
        <v>36800</v>
      </c>
      <c r="BY9" s="448">
        <v>39400</v>
      </c>
      <c r="BZ9" s="448">
        <v>39300</v>
      </c>
      <c r="CA9" s="448">
        <v>38800</v>
      </c>
      <c r="CB9" s="448">
        <v>38500</v>
      </c>
      <c r="CC9" s="448">
        <v>34300</v>
      </c>
      <c r="CD9" s="448">
        <v>37200</v>
      </c>
      <c r="CE9" s="448">
        <v>42600</v>
      </c>
      <c r="CF9" s="448">
        <v>46400</v>
      </c>
      <c r="CG9" s="448">
        <v>47800</v>
      </c>
      <c r="CH9" s="448">
        <v>47000</v>
      </c>
      <c r="CI9" s="448">
        <v>49100</v>
      </c>
      <c r="CJ9" s="448">
        <v>52210</v>
      </c>
      <c r="CK9" s="448">
        <v>56230</v>
      </c>
      <c r="CL9" s="615">
        <v>53120</v>
      </c>
      <c r="CM9" s="380">
        <f t="shared" si="0"/>
        <v>39151.45642857143</v>
      </c>
      <c r="CN9" s="435"/>
      <c r="CO9" s="435"/>
      <c r="CP9" s="435"/>
      <c r="CQ9" s="435"/>
      <c r="CR9" s="435"/>
      <c r="CS9" s="435"/>
      <c r="CT9" s="435"/>
      <c r="CU9" s="435"/>
      <c r="CV9" s="435"/>
      <c r="CW9" s="435"/>
      <c r="CX9" s="435"/>
      <c r="CY9" s="435"/>
      <c r="CZ9" s="435"/>
      <c r="DA9" s="435"/>
      <c r="DB9" s="435"/>
      <c r="DC9" s="435"/>
      <c r="DD9" s="435"/>
      <c r="DE9" s="435"/>
      <c r="DF9" s="435"/>
      <c r="DG9" s="435"/>
      <c r="DH9" s="435"/>
      <c r="DI9" s="435"/>
      <c r="DJ9" s="435"/>
      <c r="DK9" s="435"/>
      <c r="DL9" s="435"/>
      <c r="DM9" s="435"/>
      <c r="DN9" s="435"/>
      <c r="DO9" s="435"/>
      <c r="DP9" s="435"/>
      <c r="DQ9" s="435"/>
      <c r="DR9" s="435"/>
      <c r="DS9" s="435"/>
      <c r="DT9" s="435"/>
      <c r="DU9" s="435"/>
      <c r="DV9" s="435"/>
      <c r="DW9" s="435"/>
      <c r="DX9" s="435"/>
      <c r="DY9" s="435"/>
      <c r="DZ9" s="435"/>
      <c r="EA9" s="435"/>
      <c r="EB9" s="435"/>
      <c r="EC9" s="435"/>
      <c r="ED9" s="435"/>
      <c r="EE9" s="435"/>
      <c r="EF9" s="435"/>
      <c r="EG9" s="435"/>
      <c r="EH9" s="435"/>
      <c r="EI9" s="435"/>
      <c r="EJ9" s="435"/>
      <c r="EK9" s="435"/>
      <c r="EL9" s="435"/>
      <c r="EM9" s="435"/>
      <c r="EN9" s="435"/>
      <c r="EO9" s="435"/>
      <c r="EP9" s="435"/>
      <c r="EQ9" s="435"/>
      <c r="ER9" s="435"/>
      <c r="ES9" s="435"/>
      <c r="ET9" s="435"/>
      <c r="EU9" s="435"/>
      <c r="EV9" s="435"/>
      <c r="EW9" s="435"/>
      <c r="EX9" s="435"/>
      <c r="EY9" s="435"/>
      <c r="EZ9" s="435"/>
      <c r="FA9" s="435"/>
      <c r="FB9" s="435"/>
      <c r="FC9" s="435"/>
      <c r="FD9" s="435"/>
      <c r="FE9" s="435"/>
      <c r="FF9" s="435"/>
      <c r="FG9" s="435"/>
      <c r="FH9" s="435"/>
      <c r="FI9" s="435"/>
      <c r="FJ9" s="435"/>
      <c r="FK9" s="435"/>
      <c r="FL9" s="435"/>
      <c r="FM9" s="435"/>
      <c r="FN9" s="435"/>
      <c r="FO9" s="435"/>
      <c r="FP9" s="435"/>
      <c r="FQ9" s="435"/>
      <c r="FR9" s="435"/>
      <c r="FS9" s="435"/>
      <c r="FT9" s="435"/>
      <c r="FU9" s="435"/>
      <c r="FV9" s="435"/>
    </row>
    <row r="10" spans="1:178">
      <c r="A10" s="1374"/>
      <c r="B10" s="377" t="s">
        <v>399</v>
      </c>
      <c r="C10" s="378" t="s">
        <v>151</v>
      </c>
      <c r="D10" s="378"/>
      <c r="E10" s="389" t="s">
        <v>464</v>
      </c>
      <c r="F10" s="445" t="s">
        <v>140</v>
      </c>
      <c r="G10" s="447">
        <v>37759.000000000102</v>
      </c>
      <c r="H10" s="447">
        <v>36931.1292929294</v>
      </c>
      <c r="I10" s="447">
        <v>36103.258585858697</v>
      </c>
      <c r="J10" s="447">
        <v>35275.3878787879</v>
      </c>
      <c r="K10" s="447">
        <v>34447.517171717198</v>
      </c>
      <c r="L10" s="447">
        <v>33619.646464646503</v>
      </c>
      <c r="M10" s="447">
        <v>32791.775757575801</v>
      </c>
      <c r="N10" s="447">
        <v>31963.905050505098</v>
      </c>
      <c r="O10" s="447">
        <v>31136.034343434399</v>
      </c>
      <c r="P10" s="559">
        <v>30308.163636363701</v>
      </c>
      <c r="Q10" s="447">
        <v>29480.292929292998</v>
      </c>
      <c r="R10" s="447">
        <v>28652.422222222202</v>
      </c>
      <c r="S10" s="447">
        <v>31782.666666666701</v>
      </c>
      <c r="T10" s="559">
        <v>31356.666666666701</v>
      </c>
      <c r="U10" s="471">
        <v>22930</v>
      </c>
      <c r="V10" s="447">
        <v>22278</v>
      </c>
      <c r="W10" s="559">
        <v>20505</v>
      </c>
      <c r="X10" s="447">
        <v>21079</v>
      </c>
      <c r="Y10" s="447">
        <v>22653</v>
      </c>
      <c r="Z10" s="447">
        <v>22279</v>
      </c>
      <c r="AA10" s="447">
        <v>22327</v>
      </c>
      <c r="AB10" s="447">
        <v>23801</v>
      </c>
      <c r="AC10" s="471">
        <v>22740</v>
      </c>
      <c r="AD10" s="447">
        <v>22280</v>
      </c>
      <c r="AE10" s="447">
        <v>21799</v>
      </c>
      <c r="AF10" s="447">
        <v>21523</v>
      </c>
      <c r="AG10" s="471">
        <v>23055</v>
      </c>
      <c r="AH10" s="447">
        <v>22281</v>
      </c>
      <c r="AI10" s="559">
        <v>21450</v>
      </c>
      <c r="AJ10" s="447">
        <v>22640</v>
      </c>
      <c r="AK10" s="447">
        <v>25818.666666666701</v>
      </c>
      <c r="AL10" s="563">
        <v>22282</v>
      </c>
      <c r="AM10" s="447">
        <v>25392.666666666701</v>
      </c>
      <c r="AN10" s="447">
        <v>24966.666666666701</v>
      </c>
      <c r="AO10" s="447">
        <v>24540.666666666701</v>
      </c>
      <c r="AP10" s="563">
        <v>22283</v>
      </c>
      <c r="AQ10" s="447">
        <v>24114.666666666701</v>
      </c>
      <c r="AR10" s="447">
        <v>23688.666666666701</v>
      </c>
      <c r="AS10" s="447">
        <v>23262.666666666701</v>
      </c>
      <c r="AT10" s="563">
        <v>22284</v>
      </c>
      <c r="AU10" s="447">
        <v>23133</v>
      </c>
      <c r="AV10" s="447">
        <v>21818</v>
      </c>
      <c r="AW10" s="447">
        <v>22281</v>
      </c>
      <c r="AX10" s="447">
        <v>24177</v>
      </c>
      <c r="AY10" s="447">
        <v>28071</v>
      </c>
      <c r="AZ10" s="447">
        <v>28045</v>
      </c>
      <c r="BA10" s="447">
        <v>29524</v>
      </c>
      <c r="BB10" s="447">
        <v>28439</v>
      </c>
      <c r="BC10" s="447">
        <v>30668</v>
      </c>
      <c r="BD10" s="447">
        <v>33226</v>
      </c>
      <c r="BE10" s="447">
        <v>28437</v>
      </c>
      <c r="BF10" s="447">
        <v>23915</v>
      </c>
      <c r="BG10" s="447">
        <v>25268</v>
      </c>
      <c r="BH10" s="447">
        <v>28957</v>
      </c>
      <c r="BI10" s="447">
        <v>29150</v>
      </c>
      <c r="BJ10" s="447">
        <v>30044</v>
      </c>
      <c r="BK10" s="447">
        <v>28400</v>
      </c>
      <c r="BL10" s="447">
        <v>25400</v>
      </c>
      <c r="BM10" s="447">
        <v>26700</v>
      </c>
      <c r="BN10" s="447">
        <v>22400</v>
      </c>
      <c r="BO10" s="447">
        <v>24500</v>
      </c>
      <c r="BP10" s="447">
        <v>21200</v>
      </c>
      <c r="BQ10" s="447">
        <v>18600</v>
      </c>
      <c r="BR10" s="447">
        <v>21400</v>
      </c>
      <c r="BS10" s="447">
        <v>22400</v>
      </c>
      <c r="BT10" s="447">
        <v>23100</v>
      </c>
      <c r="BU10" s="448">
        <v>14400</v>
      </c>
      <c r="BV10" s="448">
        <v>10800</v>
      </c>
      <c r="BW10" s="448">
        <v>14100</v>
      </c>
      <c r="BX10" s="448">
        <v>18300</v>
      </c>
      <c r="BY10" s="448">
        <v>20100</v>
      </c>
      <c r="BZ10" s="448">
        <v>21300</v>
      </c>
      <c r="CA10" s="448">
        <v>20000</v>
      </c>
      <c r="CB10" s="448">
        <v>20600</v>
      </c>
      <c r="CC10" s="448">
        <v>21500</v>
      </c>
      <c r="CD10" s="448">
        <v>23400</v>
      </c>
      <c r="CE10" s="448">
        <v>24700</v>
      </c>
      <c r="CF10" s="448">
        <v>27200</v>
      </c>
      <c r="CG10" s="448">
        <v>28300</v>
      </c>
      <c r="CH10" s="448">
        <v>29000</v>
      </c>
      <c r="CI10" s="448">
        <v>29700</v>
      </c>
      <c r="CJ10" s="448">
        <v>31350</v>
      </c>
      <c r="CK10" s="448">
        <v>30470</v>
      </c>
      <c r="CL10" s="615">
        <v>31250</v>
      </c>
      <c r="CM10" s="380">
        <f t="shared" si="0"/>
        <v>25495.053968253982</v>
      </c>
      <c r="CN10" s="435"/>
      <c r="CO10" s="435"/>
      <c r="CP10" s="435"/>
      <c r="CQ10" s="435"/>
      <c r="CR10" s="435"/>
      <c r="CS10" s="435"/>
      <c r="CT10" s="435"/>
      <c r="CU10" s="435"/>
      <c r="CV10" s="435"/>
      <c r="CW10" s="435"/>
      <c r="CX10" s="435"/>
      <c r="CY10" s="435"/>
      <c r="CZ10" s="435"/>
      <c r="DA10" s="435"/>
      <c r="DB10" s="435"/>
      <c r="DC10" s="435"/>
      <c r="DD10" s="435"/>
      <c r="DE10" s="435"/>
      <c r="DF10" s="435"/>
      <c r="DG10" s="435"/>
      <c r="DH10" s="435"/>
      <c r="DI10" s="435"/>
      <c r="DJ10" s="435"/>
      <c r="DK10" s="435"/>
      <c r="DL10" s="435"/>
      <c r="DM10" s="435"/>
      <c r="DN10" s="435"/>
      <c r="DO10" s="435"/>
      <c r="DP10" s="435"/>
      <c r="DQ10" s="435"/>
      <c r="DR10" s="435"/>
      <c r="DS10" s="435"/>
      <c r="DT10" s="435"/>
      <c r="DU10" s="435"/>
      <c r="DV10" s="435"/>
      <c r="DW10" s="435"/>
      <c r="DX10" s="435"/>
      <c r="DY10" s="435"/>
      <c r="DZ10" s="435"/>
      <c r="EA10" s="435"/>
      <c r="EB10" s="435"/>
      <c r="EC10" s="435"/>
      <c r="ED10" s="435"/>
      <c r="EE10" s="435"/>
      <c r="EF10" s="435"/>
      <c r="EG10" s="435"/>
      <c r="EH10" s="435"/>
      <c r="EI10" s="435"/>
      <c r="EJ10" s="435"/>
      <c r="EK10" s="435"/>
      <c r="EL10" s="435"/>
      <c r="EM10" s="435"/>
      <c r="EN10" s="435"/>
      <c r="EO10" s="435"/>
      <c r="EP10" s="435"/>
      <c r="EQ10" s="435"/>
      <c r="ER10" s="435"/>
      <c r="ES10" s="435"/>
      <c r="ET10" s="435"/>
      <c r="EU10" s="435"/>
      <c r="EV10" s="435"/>
      <c r="EW10" s="435"/>
      <c r="EX10" s="435"/>
      <c r="EY10" s="435"/>
      <c r="EZ10" s="435"/>
      <c r="FA10" s="435"/>
      <c r="FB10" s="435"/>
      <c r="FC10" s="435"/>
      <c r="FD10" s="435"/>
      <c r="FE10" s="435"/>
      <c r="FF10" s="435"/>
      <c r="FG10" s="435"/>
      <c r="FH10" s="435"/>
      <c r="FI10" s="435"/>
      <c r="FJ10" s="435"/>
      <c r="FK10" s="435"/>
      <c r="FL10" s="435"/>
      <c r="FM10" s="435"/>
      <c r="FN10" s="435"/>
      <c r="FO10" s="435"/>
      <c r="FP10" s="435"/>
      <c r="FQ10" s="435"/>
      <c r="FR10" s="435"/>
      <c r="FS10" s="435"/>
      <c r="FT10" s="435"/>
      <c r="FU10" s="435"/>
      <c r="FV10" s="435"/>
    </row>
    <row r="11" spans="1:178">
      <c r="A11" s="1375"/>
      <c r="B11" s="384" t="s">
        <v>399</v>
      </c>
      <c r="C11" s="385" t="s">
        <v>151</v>
      </c>
      <c r="D11" s="385"/>
      <c r="E11" s="390" t="s">
        <v>464</v>
      </c>
      <c r="F11" s="449" t="s">
        <v>139</v>
      </c>
      <c r="G11" s="450">
        <v>32175.4666666667</v>
      </c>
      <c r="H11" s="450">
        <v>32270.216161616201</v>
      </c>
      <c r="I11" s="450">
        <v>32364.965656565699</v>
      </c>
      <c r="J11" s="450">
        <v>32459.7151515152</v>
      </c>
      <c r="K11" s="450">
        <v>32554.464646464701</v>
      </c>
      <c r="L11" s="450">
        <v>32649.214141414199</v>
      </c>
      <c r="M11" s="450">
        <v>32743.9636363637</v>
      </c>
      <c r="N11" s="450">
        <v>32838.713131313198</v>
      </c>
      <c r="O11" s="450">
        <v>32933.462626262699</v>
      </c>
      <c r="P11" s="559">
        <v>33028.212121212098</v>
      </c>
      <c r="Q11" s="450">
        <v>33122.9616161616</v>
      </c>
      <c r="R11" s="450">
        <v>33217.711111111101</v>
      </c>
      <c r="S11" s="450">
        <v>33015.666666666701</v>
      </c>
      <c r="T11" s="560">
        <v>33126.166666666701</v>
      </c>
      <c r="U11" s="501">
        <v>33236.666666666701</v>
      </c>
      <c r="V11" s="450">
        <v>35084</v>
      </c>
      <c r="W11" s="560">
        <v>33347.166666666701</v>
      </c>
      <c r="X11" s="450">
        <v>33457.666666666701</v>
      </c>
      <c r="Y11" s="450">
        <v>33568.166666666701</v>
      </c>
      <c r="Z11" s="447">
        <v>35085</v>
      </c>
      <c r="AA11" s="450">
        <v>33678.666666666701</v>
      </c>
      <c r="AB11" s="450">
        <v>33789.166666666701</v>
      </c>
      <c r="AC11" s="501">
        <v>33899.666666666701</v>
      </c>
      <c r="AD11" s="450">
        <v>35086</v>
      </c>
      <c r="AE11" s="447">
        <v>34010.166666666701</v>
      </c>
      <c r="AF11" s="450">
        <v>34120.666666666701</v>
      </c>
      <c r="AG11" s="501">
        <v>34231.166666666701</v>
      </c>
      <c r="AH11" s="450">
        <v>35087</v>
      </c>
      <c r="AI11" s="560">
        <v>34341.666666666701</v>
      </c>
      <c r="AJ11" s="450">
        <v>34452.166666666701</v>
      </c>
      <c r="AK11" s="450">
        <v>34562.666666666701</v>
      </c>
      <c r="AL11" s="564">
        <v>35088</v>
      </c>
      <c r="AM11" s="450">
        <v>34673.166666666701</v>
      </c>
      <c r="AN11" s="450">
        <v>34783.666666666701</v>
      </c>
      <c r="AO11" s="450">
        <v>34894.166666666701</v>
      </c>
      <c r="AP11" s="564">
        <v>35089</v>
      </c>
      <c r="AQ11" s="450">
        <v>35004.666666666701</v>
      </c>
      <c r="AR11" s="450">
        <v>35115.166666666701</v>
      </c>
      <c r="AS11" s="450">
        <v>35225.666666666701</v>
      </c>
      <c r="AT11" s="564">
        <v>35090</v>
      </c>
      <c r="AU11" s="450">
        <v>35648</v>
      </c>
      <c r="AV11" s="450">
        <v>34823</v>
      </c>
      <c r="AW11" s="450">
        <v>35869</v>
      </c>
      <c r="AX11" s="450">
        <v>38900</v>
      </c>
      <c r="AY11" s="450">
        <v>48637</v>
      </c>
      <c r="AZ11" s="450">
        <v>46484</v>
      </c>
      <c r="BA11" s="450">
        <v>48182</v>
      </c>
      <c r="BB11" s="450">
        <v>48880</v>
      </c>
      <c r="BC11" s="450">
        <v>53437</v>
      </c>
      <c r="BD11" s="450">
        <v>53976</v>
      </c>
      <c r="BE11" s="450">
        <v>40000</v>
      </c>
      <c r="BF11" s="450">
        <v>35076</v>
      </c>
      <c r="BG11" s="450">
        <v>35172</v>
      </c>
      <c r="BH11" s="450">
        <v>38937</v>
      </c>
      <c r="BI11" s="450">
        <v>40545</v>
      </c>
      <c r="BJ11" s="450">
        <v>43117</v>
      </c>
      <c r="BK11" s="450">
        <v>41200</v>
      </c>
      <c r="BL11" s="450">
        <v>35000</v>
      </c>
      <c r="BM11" s="450">
        <v>37500</v>
      </c>
      <c r="BN11" s="450">
        <v>35100</v>
      </c>
      <c r="BO11" s="450">
        <v>37300</v>
      </c>
      <c r="BP11" s="450">
        <v>37300</v>
      </c>
      <c r="BQ11" s="450">
        <v>39700</v>
      </c>
      <c r="BR11" s="450">
        <v>41700</v>
      </c>
      <c r="BS11" s="450">
        <v>40900</v>
      </c>
      <c r="BT11" s="450">
        <v>38000</v>
      </c>
      <c r="BU11" s="452">
        <v>25000</v>
      </c>
      <c r="BV11" s="452">
        <v>19100</v>
      </c>
      <c r="BW11" s="452">
        <v>25000</v>
      </c>
      <c r="BX11" s="452">
        <v>31800</v>
      </c>
      <c r="BY11" s="452">
        <v>33800</v>
      </c>
      <c r="BZ11" s="452">
        <v>35100</v>
      </c>
      <c r="CA11" s="452">
        <v>36000</v>
      </c>
      <c r="CB11" s="452">
        <v>35700</v>
      </c>
      <c r="CC11" s="452">
        <v>35700</v>
      </c>
      <c r="CD11" s="452">
        <v>39300</v>
      </c>
      <c r="CE11" s="452">
        <v>42500</v>
      </c>
      <c r="CF11" s="452">
        <v>46600</v>
      </c>
      <c r="CG11" s="452">
        <v>48300</v>
      </c>
      <c r="CH11" s="452">
        <v>44700</v>
      </c>
      <c r="CI11" s="452">
        <v>47100</v>
      </c>
      <c r="CJ11" s="452">
        <v>50610</v>
      </c>
      <c r="CK11" s="452">
        <v>50620</v>
      </c>
      <c r="CL11" s="616">
        <v>44350</v>
      </c>
      <c r="CM11" s="387">
        <f t="shared" si="0"/>
        <v>36990.060317460338</v>
      </c>
      <c r="CN11" s="435"/>
      <c r="CO11" s="435"/>
      <c r="CP11" s="435"/>
      <c r="CQ11" s="435"/>
      <c r="CR11" s="435"/>
      <c r="CS11" s="435"/>
      <c r="CT11" s="435"/>
      <c r="CU11" s="435"/>
      <c r="CV11" s="435"/>
      <c r="CW11" s="435"/>
      <c r="CX11" s="435"/>
      <c r="CY11" s="435"/>
      <c r="CZ11" s="435"/>
      <c r="DA11" s="435"/>
      <c r="DB11" s="435"/>
      <c r="DC11" s="435"/>
      <c r="DD11" s="435"/>
      <c r="DE11" s="435"/>
      <c r="DF11" s="435"/>
      <c r="DG11" s="435"/>
      <c r="DH11" s="435"/>
      <c r="DI11" s="435"/>
      <c r="DJ11" s="435"/>
      <c r="DK11" s="435"/>
      <c r="DL11" s="435"/>
      <c r="DM11" s="435"/>
      <c r="DN11" s="435"/>
      <c r="DO11" s="435"/>
      <c r="DP11" s="435"/>
      <c r="DQ11" s="435"/>
      <c r="DR11" s="435"/>
      <c r="DS11" s="435"/>
      <c r="DT11" s="435"/>
      <c r="DU11" s="435"/>
      <c r="DV11" s="435"/>
      <c r="DW11" s="435"/>
      <c r="DX11" s="435"/>
      <c r="DY11" s="435"/>
      <c r="DZ11" s="435"/>
      <c r="EA11" s="435"/>
      <c r="EB11" s="435"/>
      <c r="EC11" s="435"/>
      <c r="ED11" s="435"/>
      <c r="EE11" s="435"/>
      <c r="EF11" s="435"/>
      <c r="EG11" s="435"/>
      <c r="EH11" s="435"/>
      <c r="EI11" s="435"/>
      <c r="EJ11" s="435"/>
      <c r="EK11" s="435"/>
      <c r="EL11" s="435"/>
      <c r="EM11" s="435"/>
      <c r="EN11" s="435"/>
      <c r="EO11" s="435"/>
      <c r="EP11" s="435"/>
      <c r="EQ11" s="435"/>
      <c r="ER11" s="435"/>
      <c r="ES11" s="435"/>
      <c r="ET11" s="435"/>
      <c r="EU11" s="435"/>
      <c r="EV11" s="435"/>
      <c r="EW11" s="435"/>
      <c r="EX11" s="435"/>
      <c r="EY11" s="435"/>
      <c r="EZ11" s="435"/>
      <c r="FA11" s="435"/>
      <c r="FB11" s="435"/>
      <c r="FC11" s="435"/>
      <c r="FD11" s="435"/>
      <c r="FE11" s="435"/>
      <c r="FF11" s="435"/>
      <c r="FG11" s="435"/>
      <c r="FH11" s="435"/>
      <c r="FI11" s="435"/>
      <c r="FJ11" s="435"/>
      <c r="FK11" s="435"/>
      <c r="FL11" s="435"/>
      <c r="FM11" s="435"/>
      <c r="FN11" s="435"/>
      <c r="FO11" s="435"/>
      <c r="FP11" s="435"/>
      <c r="FQ11" s="435"/>
      <c r="FR11" s="435"/>
      <c r="FS11" s="435"/>
      <c r="FT11" s="435"/>
      <c r="FU11" s="435"/>
      <c r="FV11" s="435"/>
    </row>
    <row r="12" spans="1:178" ht="12.75" customHeight="1">
      <c r="A12" s="1376" t="s">
        <v>650</v>
      </c>
      <c r="B12" s="391" t="s">
        <v>403</v>
      </c>
      <c r="C12" s="392" t="s">
        <v>402</v>
      </c>
      <c r="D12" s="392"/>
      <c r="E12" s="1382" t="s">
        <v>447</v>
      </c>
      <c r="F12" s="453" t="s">
        <v>168</v>
      </c>
      <c r="G12" s="456">
        <f>Feed!$F$4*1000/12</f>
        <v>47416.666666666664</v>
      </c>
      <c r="H12" s="456">
        <f>Feed!$F$4*1000/12</f>
        <v>47416.666666666664</v>
      </c>
      <c r="I12" s="456">
        <f>Feed!$F$4*1000/12</f>
        <v>47416.666666666664</v>
      </c>
      <c r="J12" s="456">
        <f>Feed!$F$4*1000/12</f>
        <v>47416.666666666664</v>
      </c>
      <c r="K12" s="456">
        <f>Feed!$F$4*1000/12</f>
        <v>47416.666666666664</v>
      </c>
      <c r="L12" s="456">
        <f>Feed!$F$4*1000/12</f>
        <v>47416.666666666664</v>
      </c>
      <c r="M12" s="456">
        <f>Feed!$F$4*1000/12</f>
        <v>47416.666666666664</v>
      </c>
      <c r="N12" s="456">
        <f>Feed!$F$4*1000/12</f>
        <v>47416.666666666664</v>
      </c>
      <c r="O12" s="456">
        <f>Feed!$F$4*1000/12</f>
        <v>47416.666666666664</v>
      </c>
      <c r="P12" s="456">
        <f>Feed!$F$4*1000/12</f>
        <v>47416.666666666664</v>
      </c>
      <c r="Q12" s="456">
        <f>Feed!$F$4*1000/12</f>
        <v>47416.666666666664</v>
      </c>
      <c r="R12" s="456">
        <f>Feed!$F$4*1000/12</f>
        <v>47416.666666666664</v>
      </c>
      <c r="S12" s="456">
        <f>Feed!$F$4*1000/12</f>
        <v>47416.666666666664</v>
      </c>
      <c r="T12" s="568">
        <f>Feed!$F$4*1000/12</f>
        <v>47416.666666666664</v>
      </c>
      <c r="U12" s="454">
        <f>Feed!$F$4*1000/12</f>
        <v>47416.666666666664</v>
      </c>
      <c r="V12" s="569">
        <f>Feed!$F$4*1000/12</f>
        <v>47416.666666666664</v>
      </c>
      <c r="W12" s="454">
        <f>Feed!$F$4*1000/12</f>
        <v>47416.666666666664</v>
      </c>
      <c r="X12" s="568">
        <f>Feed!$F$4*1000/12</f>
        <v>47416.666666666664</v>
      </c>
      <c r="Y12" s="454">
        <f>Feed!$F$4*1000/12</f>
        <v>47416.666666666664</v>
      </c>
      <c r="Z12" s="568">
        <f>Feed!$F$4*1000/12</f>
        <v>47416.666666666664</v>
      </c>
      <c r="AA12" s="454">
        <f>Feed!$F$4*1000/12</f>
        <v>47416.666666666664</v>
      </c>
      <c r="AB12" s="568">
        <f>Feed!$F$4*1000/12</f>
        <v>47416.666666666664</v>
      </c>
      <c r="AC12" s="454">
        <f>Feed!$F$4*1000/12</f>
        <v>47416.666666666664</v>
      </c>
      <c r="AD12" s="569">
        <f>Feed!$F$4*1000/12</f>
        <v>47416.666666666664</v>
      </c>
      <c r="AE12" s="454">
        <f>Feed!$F$4*1000/12</f>
        <v>47416.666666666664</v>
      </c>
      <c r="AF12" s="568">
        <f>Feed!$F$4*1000/12</f>
        <v>47416.666666666664</v>
      </c>
      <c r="AG12" s="454">
        <f>Feed!$F$4*1000/12</f>
        <v>47416.666666666664</v>
      </c>
      <c r="AH12" s="569">
        <f>Feed!$F$4*1000/12</f>
        <v>47416.666666666664</v>
      </c>
      <c r="AI12" s="454">
        <f>Feed!$F$4*1000/12</f>
        <v>47416.666666666664</v>
      </c>
      <c r="AJ12" s="568">
        <f>Feed!$F$4*1000/12</f>
        <v>47416.666666666664</v>
      </c>
      <c r="AK12" s="454">
        <f>Feed!$F$4*1000/12</f>
        <v>47416.666666666664</v>
      </c>
      <c r="AL12" s="568">
        <f>Feed!$F$4*1000/12</f>
        <v>47416.666666666664</v>
      </c>
      <c r="AM12" s="454">
        <f>Feed!$F$4*1000/12</f>
        <v>47416.666666666664</v>
      </c>
      <c r="AN12" s="568">
        <f>Feed!$F$4*1000/12</f>
        <v>47416.666666666664</v>
      </c>
      <c r="AO12" s="454">
        <f>Feed!$F$4*1000/12</f>
        <v>47416.666666666664</v>
      </c>
      <c r="AP12" s="568">
        <f>Feed!$F$4*1000/12</f>
        <v>47416.666666666664</v>
      </c>
      <c r="AQ12" s="454">
        <f>Feed!$F$4*1000/12</f>
        <v>47416.666666666664</v>
      </c>
      <c r="AR12" s="568">
        <f>Feed!$F$4*1000/12</f>
        <v>47416.666666666664</v>
      </c>
      <c r="AS12" s="454">
        <f>Feed!$F$4*1000/12</f>
        <v>47416.666666666664</v>
      </c>
      <c r="AT12" s="568">
        <f>Feed!$F$4*1000/12</f>
        <v>47416.666666666664</v>
      </c>
      <c r="AU12" s="454">
        <f>Feed!$F$4*1000/12</f>
        <v>47416.666666666664</v>
      </c>
      <c r="AV12" s="454">
        <f>Feed!$F$4*1000/12</f>
        <v>47416.666666666664</v>
      </c>
      <c r="AW12" s="454">
        <f>Feed!$F$4*1000/12</f>
        <v>47416.666666666664</v>
      </c>
      <c r="AX12" s="454">
        <f>Feed!$F$4*1000/12</f>
        <v>47416.666666666664</v>
      </c>
      <c r="AY12" s="454">
        <f>Feed!$F$4*1000/12</f>
        <v>47416.666666666664</v>
      </c>
      <c r="AZ12" s="454">
        <f>Feed!$F$4*1000/12</f>
        <v>47416.666666666664</v>
      </c>
      <c r="BA12" s="454">
        <f>Feed!$F$4*1000/12</f>
        <v>47416.666666666664</v>
      </c>
      <c r="BB12" s="454">
        <f>Feed!$F$4*1000/12</f>
        <v>47416.666666666664</v>
      </c>
      <c r="BC12" s="454">
        <f>Feed!$F$4*1000/12</f>
        <v>47416.666666666664</v>
      </c>
      <c r="BD12" s="454">
        <f>Feed!$F$4*1000/12</f>
        <v>47416.666666666664</v>
      </c>
      <c r="BE12" s="454">
        <f>Feed!$F$4*1000/12</f>
        <v>47416.666666666664</v>
      </c>
      <c r="BF12" s="454">
        <f>Feed!$F$4*1000/12</f>
        <v>47416.666666666664</v>
      </c>
      <c r="BG12" s="454">
        <f>Feed!$F$4*1000/12</f>
        <v>47416.666666666664</v>
      </c>
      <c r="BH12" s="454">
        <f>Feed!$F$4*1000/12</f>
        <v>47416.666666666664</v>
      </c>
      <c r="BI12" s="454">
        <f>Feed!$F$4*1000/12</f>
        <v>47416.666666666664</v>
      </c>
      <c r="BJ12" s="454">
        <f>Feed!$F$4*1000/12</f>
        <v>47416.666666666664</v>
      </c>
      <c r="BK12" s="454">
        <f>Feed!$F$4*1000/12</f>
        <v>47416.666666666664</v>
      </c>
      <c r="BL12" s="454">
        <f>Feed!$F$4*1000/12</f>
        <v>47416.666666666664</v>
      </c>
      <c r="BM12" s="454">
        <f>Feed!$F$4*1000/12</f>
        <v>47416.666666666664</v>
      </c>
      <c r="BN12" s="454">
        <f>Feed!$F$4*1000/12</f>
        <v>47416.666666666664</v>
      </c>
      <c r="BO12" s="454">
        <f>Feed!$F$4*1000/12</f>
        <v>47416.666666666664</v>
      </c>
      <c r="BP12" s="454">
        <f>Feed!$F$4*1000/12</f>
        <v>47416.666666666664</v>
      </c>
      <c r="BQ12" s="454">
        <f>Feed!$F$4*1000/12</f>
        <v>47416.666666666664</v>
      </c>
      <c r="BR12" s="454">
        <f>Feed!$F$4*1000/12</f>
        <v>47416.666666666664</v>
      </c>
      <c r="BS12" s="454">
        <f>Feed!$F$4*1000/12</f>
        <v>47416.666666666664</v>
      </c>
      <c r="BT12" s="454">
        <f>Feed!$F$4*1000/12</f>
        <v>47416.666666666664</v>
      </c>
      <c r="BU12" s="454">
        <f>Feed!$F$4*1000/12</f>
        <v>47416.666666666664</v>
      </c>
      <c r="BV12" s="454">
        <f>Feed!$F$4*1000/12</f>
        <v>47416.666666666664</v>
      </c>
      <c r="BW12" s="454">
        <f>Feed!$F$4*1000/12</f>
        <v>47416.666666666664</v>
      </c>
      <c r="BX12" s="454">
        <f>Feed!$F$4*1000/12</f>
        <v>47416.666666666664</v>
      </c>
      <c r="BY12" s="454">
        <f>Feed!$F$4*1000/12</f>
        <v>47416.666666666664</v>
      </c>
      <c r="BZ12" s="454">
        <f>Feed!$F$4*1000/12</f>
        <v>47416.666666666664</v>
      </c>
      <c r="CA12" s="454">
        <f>Feed!$F$4*1000/12</f>
        <v>47416.666666666664</v>
      </c>
      <c r="CB12" s="454">
        <f>Feed!$F$4*1000/12</f>
        <v>47416.666666666664</v>
      </c>
      <c r="CC12" s="454">
        <f>Feed!$F$4*1000/12</f>
        <v>47416.666666666664</v>
      </c>
      <c r="CD12" s="454">
        <f>Feed!$F$4*1000/12</f>
        <v>47416.666666666664</v>
      </c>
      <c r="CE12" s="454">
        <f>Feed!$F$4*1000/12</f>
        <v>47416.666666666664</v>
      </c>
      <c r="CF12" s="454">
        <f>Feed!$F$4*1000/12</f>
        <v>47416.666666666664</v>
      </c>
      <c r="CG12" s="454">
        <f>Feed!$F$4*1000/12</f>
        <v>47416.666666666664</v>
      </c>
      <c r="CH12" s="454">
        <f>Feed!$F$4*1000/12</f>
        <v>47416.666666666664</v>
      </c>
      <c r="CI12" s="454">
        <f>Feed!$F$4*1000/12</f>
        <v>47416.666666666664</v>
      </c>
      <c r="CJ12" s="454">
        <f>Feed!$F$4*1000/12</f>
        <v>47416.666666666664</v>
      </c>
      <c r="CK12" s="454">
        <f>Feed!$F$4*1000/12</f>
        <v>47416.666666666664</v>
      </c>
      <c r="CL12" s="611">
        <f>Feed!$F$4*1000/12</f>
        <v>47416.666666666664</v>
      </c>
      <c r="CM12" s="406">
        <f t="shared" si="0"/>
        <v>47416.666666666613</v>
      </c>
      <c r="CN12" s="435"/>
      <c r="CO12" s="435"/>
      <c r="CP12" s="435"/>
      <c r="CQ12" s="435"/>
      <c r="CR12" s="435"/>
      <c r="CS12" s="435"/>
      <c r="CT12" s="435"/>
      <c r="CU12" s="435"/>
      <c r="CV12" s="435"/>
      <c r="CW12" s="435"/>
      <c r="CX12" s="435"/>
      <c r="CY12" s="435"/>
      <c r="CZ12" s="435"/>
      <c r="DA12" s="435"/>
      <c r="DB12" s="435"/>
      <c r="DC12" s="435"/>
      <c r="DD12" s="435"/>
      <c r="DE12" s="435"/>
      <c r="DF12" s="435"/>
      <c r="DG12" s="435"/>
      <c r="DH12" s="435"/>
      <c r="DI12" s="435"/>
      <c r="DJ12" s="435"/>
      <c r="DK12" s="435"/>
      <c r="DL12" s="435"/>
      <c r="DM12" s="435"/>
      <c r="DN12" s="435"/>
      <c r="DO12" s="435"/>
      <c r="DP12" s="435"/>
      <c r="DQ12" s="435"/>
      <c r="DR12" s="435"/>
      <c r="DS12" s="435"/>
      <c r="DT12" s="435"/>
      <c r="DU12" s="435"/>
      <c r="DV12" s="435"/>
      <c r="DW12" s="435"/>
      <c r="DX12" s="435"/>
      <c r="DY12" s="435"/>
      <c r="DZ12" s="435"/>
      <c r="EA12" s="435"/>
      <c r="EB12" s="435"/>
      <c r="EC12" s="435"/>
      <c r="ED12" s="435"/>
      <c r="EE12" s="435"/>
      <c r="EF12" s="435"/>
      <c r="EG12" s="435"/>
      <c r="EH12" s="435"/>
      <c r="EI12" s="435"/>
      <c r="EJ12" s="435"/>
      <c r="EK12" s="435"/>
      <c r="EL12" s="435"/>
      <c r="EM12" s="435"/>
      <c r="EN12" s="435"/>
      <c r="EO12" s="435"/>
      <c r="EP12" s="435"/>
      <c r="EQ12" s="435"/>
      <c r="ER12" s="435"/>
      <c r="ES12" s="435"/>
      <c r="ET12" s="435"/>
      <c r="EU12" s="435"/>
      <c r="EV12" s="435"/>
      <c r="EW12" s="435"/>
      <c r="EX12" s="435"/>
      <c r="EY12" s="435"/>
      <c r="EZ12" s="435"/>
      <c r="FA12" s="435"/>
      <c r="FB12" s="435"/>
      <c r="FC12" s="435"/>
      <c r="FD12" s="435"/>
      <c r="FE12" s="435"/>
      <c r="FF12" s="435"/>
      <c r="FG12" s="435"/>
      <c r="FH12" s="435"/>
      <c r="FI12" s="435"/>
      <c r="FJ12" s="435"/>
      <c r="FK12" s="435"/>
      <c r="FL12" s="435"/>
      <c r="FM12" s="435"/>
      <c r="FN12" s="435"/>
      <c r="FO12" s="435"/>
      <c r="FP12" s="435"/>
      <c r="FQ12" s="435"/>
      <c r="FR12" s="435"/>
      <c r="FS12" s="435"/>
      <c r="FT12" s="435"/>
      <c r="FU12" s="435"/>
      <c r="FV12" s="435"/>
    </row>
    <row r="13" spans="1:178">
      <c r="A13" s="1377"/>
      <c r="B13" s="393" t="s">
        <v>403</v>
      </c>
      <c r="C13" s="394" t="s">
        <v>402</v>
      </c>
      <c r="D13" s="394"/>
      <c r="E13" s="1383"/>
      <c r="F13" s="455" t="s">
        <v>0</v>
      </c>
      <c r="G13" s="456">
        <f>Feed!$F$6*1000/12</f>
        <v>58083.333333333336</v>
      </c>
      <c r="H13" s="456">
        <f>Feed!$F$6*1000/12</f>
        <v>58083.333333333336</v>
      </c>
      <c r="I13" s="456">
        <f>Feed!$F$6*1000/12</f>
        <v>58083.333333333336</v>
      </c>
      <c r="J13" s="456">
        <f>Feed!$F$6*1000/12</f>
        <v>58083.333333333336</v>
      </c>
      <c r="K13" s="456">
        <f>Feed!$F$6*1000/12</f>
        <v>58083.333333333336</v>
      </c>
      <c r="L13" s="456">
        <f>Feed!$F$6*1000/12</f>
        <v>58083.333333333336</v>
      </c>
      <c r="M13" s="456">
        <f>Feed!$F$6*1000/12</f>
        <v>58083.333333333336</v>
      </c>
      <c r="N13" s="456">
        <f>Feed!$F$6*1000/12</f>
        <v>58083.333333333336</v>
      </c>
      <c r="O13" s="456">
        <f>Feed!$F$6*1000/12</f>
        <v>58083.333333333336</v>
      </c>
      <c r="P13" s="456">
        <f>Feed!$F$6*1000/12</f>
        <v>58083.333333333336</v>
      </c>
      <c r="Q13" s="456">
        <f>Feed!$F$6*1000/12</f>
        <v>58083.333333333336</v>
      </c>
      <c r="R13" s="456">
        <f>Feed!$F$6*1000/12</f>
        <v>58083.333333333336</v>
      </c>
      <c r="S13" s="456">
        <f>Feed!$F$6*1000/12</f>
        <v>58083.333333333336</v>
      </c>
      <c r="T13" s="569">
        <f>Feed!$F$6*1000/12</f>
        <v>58083.333333333336</v>
      </c>
      <c r="U13" s="456">
        <f>Feed!$F$6*1000/12</f>
        <v>58083.333333333336</v>
      </c>
      <c r="V13" s="569">
        <f>Feed!$F$6*1000/12</f>
        <v>58083.333333333336</v>
      </c>
      <c r="W13" s="456">
        <f>Feed!$F$6*1000/12</f>
        <v>58083.333333333336</v>
      </c>
      <c r="X13" s="569">
        <f>Feed!$F$6*1000/12</f>
        <v>58083.333333333336</v>
      </c>
      <c r="Y13" s="456">
        <f>Feed!$F$6*1000/12</f>
        <v>58083.333333333336</v>
      </c>
      <c r="Z13" s="569">
        <f>Feed!$F$6*1000/12</f>
        <v>58083.333333333336</v>
      </c>
      <c r="AA13" s="456">
        <f>Feed!$F$6*1000/12</f>
        <v>58083.333333333336</v>
      </c>
      <c r="AB13" s="569">
        <f>Feed!$F$6*1000/12</f>
        <v>58083.333333333336</v>
      </c>
      <c r="AC13" s="456">
        <f>Feed!$F$6*1000/12</f>
        <v>58083.333333333336</v>
      </c>
      <c r="AD13" s="569">
        <f>Feed!$F$6*1000/12</f>
        <v>58083.333333333336</v>
      </c>
      <c r="AE13" s="456">
        <f>Feed!$F$6*1000/12</f>
        <v>58083.333333333336</v>
      </c>
      <c r="AF13" s="569">
        <f>Feed!$F$6*1000/12</f>
        <v>58083.333333333336</v>
      </c>
      <c r="AG13" s="456">
        <f>Feed!$F$6*1000/12</f>
        <v>58083.333333333336</v>
      </c>
      <c r="AH13" s="569">
        <f>Feed!$F$6*1000/12</f>
        <v>58083.333333333336</v>
      </c>
      <c r="AI13" s="456">
        <f>Feed!$F$6*1000/12</f>
        <v>58083.333333333336</v>
      </c>
      <c r="AJ13" s="569">
        <f>Feed!$F$6*1000/12</f>
        <v>58083.333333333336</v>
      </c>
      <c r="AK13" s="456">
        <f>Feed!$F$6*1000/12</f>
        <v>58083.333333333336</v>
      </c>
      <c r="AL13" s="569">
        <f>Feed!$F$6*1000/12</f>
        <v>58083.333333333336</v>
      </c>
      <c r="AM13" s="456">
        <f>Feed!$F$6*1000/12</f>
        <v>58083.333333333336</v>
      </c>
      <c r="AN13" s="569">
        <f>Feed!$F$6*1000/12</f>
        <v>58083.333333333336</v>
      </c>
      <c r="AO13" s="456">
        <f>Feed!$F$6*1000/12</f>
        <v>58083.333333333336</v>
      </c>
      <c r="AP13" s="569">
        <f>Feed!$F$6*1000/12</f>
        <v>58083.333333333336</v>
      </c>
      <c r="AQ13" s="456">
        <f>Feed!$F$6*1000/12</f>
        <v>58083.333333333336</v>
      </c>
      <c r="AR13" s="569">
        <f>Feed!$F$6*1000/12</f>
        <v>58083.333333333336</v>
      </c>
      <c r="AS13" s="456">
        <f>Feed!$F$6*1000/12</f>
        <v>58083.333333333336</v>
      </c>
      <c r="AT13" s="569">
        <f>Feed!$F$6*1000/12</f>
        <v>58083.333333333336</v>
      </c>
      <c r="AU13" s="456">
        <f>Feed!$F$6*1000/12</f>
        <v>58083.333333333336</v>
      </c>
      <c r="AV13" s="456">
        <f>Feed!$F$6*1000/12</f>
        <v>58083.333333333336</v>
      </c>
      <c r="AW13" s="456">
        <f>Feed!$F$6*1000/12</f>
        <v>58083.333333333336</v>
      </c>
      <c r="AX13" s="456">
        <f>Feed!$F$6*1000/12</f>
        <v>58083.333333333336</v>
      </c>
      <c r="AY13" s="456">
        <f>Feed!$F$6*1000/12</f>
        <v>58083.333333333336</v>
      </c>
      <c r="AZ13" s="456">
        <f>Feed!$F$6*1000/12</f>
        <v>58083.333333333336</v>
      </c>
      <c r="BA13" s="456">
        <f>Feed!$F$6*1000/12</f>
        <v>58083.333333333336</v>
      </c>
      <c r="BB13" s="456">
        <f>Feed!$F$6*1000/12</f>
        <v>58083.333333333336</v>
      </c>
      <c r="BC13" s="456">
        <f>Feed!$F$6*1000/12</f>
        <v>58083.333333333336</v>
      </c>
      <c r="BD13" s="456">
        <f>Feed!$F$6*1000/12</f>
        <v>58083.333333333336</v>
      </c>
      <c r="BE13" s="456">
        <f>Feed!$F$6*1000/12</f>
        <v>58083.333333333336</v>
      </c>
      <c r="BF13" s="456">
        <f>Feed!$F$6*1000/12</f>
        <v>58083.333333333336</v>
      </c>
      <c r="BG13" s="456">
        <f>Feed!$F$6*1000/12</f>
        <v>58083.333333333336</v>
      </c>
      <c r="BH13" s="456">
        <f>Feed!$F$6*1000/12</f>
        <v>58083.333333333336</v>
      </c>
      <c r="BI13" s="456">
        <f>Feed!$F$6*1000/12</f>
        <v>58083.333333333336</v>
      </c>
      <c r="BJ13" s="456">
        <f>Feed!$F$6*1000/12</f>
        <v>58083.333333333336</v>
      </c>
      <c r="BK13" s="456">
        <f>Feed!$F$6*1000/12</f>
        <v>58083.333333333336</v>
      </c>
      <c r="BL13" s="456">
        <f>Feed!$F$6*1000/12</f>
        <v>58083.333333333336</v>
      </c>
      <c r="BM13" s="456">
        <f>Feed!$F$6*1000/12</f>
        <v>58083.333333333336</v>
      </c>
      <c r="BN13" s="456">
        <f>Feed!$F$6*1000/12</f>
        <v>58083.333333333336</v>
      </c>
      <c r="BO13" s="456">
        <f>Feed!$F$6*1000/12</f>
        <v>58083.333333333336</v>
      </c>
      <c r="BP13" s="456">
        <f>Feed!$F$6*1000/12</f>
        <v>58083.333333333336</v>
      </c>
      <c r="BQ13" s="456">
        <f>Feed!$F$6*1000/12</f>
        <v>58083.333333333336</v>
      </c>
      <c r="BR13" s="456">
        <f>Feed!$F$6*1000/12</f>
        <v>58083.333333333336</v>
      </c>
      <c r="BS13" s="456">
        <f>Feed!$F$6*1000/12</f>
        <v>58083.333333333336</v>
      </c>
      <c r="BT13" s="456">
        <f>Feed!$F$6*1000/12</f>
        <v>58083.333333333336</v>
      </c>
      <c r="BU13" s="456">
        <f>Feed!$F$6*1000/12</f>
        <v>58083.333333333336</v>
      </c>
      <c r="BV13" s="456">
        <f>Feed!$F$6*1000/12</f>
        <v>58083.333333333336</v>
      </c>
      <c r="BW13" s="456">
        <f>Feed!$F$6*1000/12</f>
        <v>58083.333333333336</v>
      </c>
      <c r="BX13" s="456">
        <f>Feed!$F$6*1000/12</f>
        <v>58083.333333333336</v>
      </c>
      <c r="BY13" s="456">
        <f>Feed!$F$6*1000/12</f>
        <v>58083.333333333336</v>
      </c>
      <c r="BZ13" s="456">
        <f>Feed!$F$6*1000/12</f>
        <v>58083.333333333336</v>
      </c>
      <c r="CA13" s="456">
        <f>Feed!$F$6*1000/12</f>
        <v>58083.333333333336</v>
      </c>
      <c r="CB13" s="456">
        <f>Feed!$F$6*1000/12</f>
        <v>58083.333333333336</v>
      </c>
      <c r="CC13" s="456">
        <f>Feed!$F$6*1000/12</f>
        <v>58083.333333333336</v>
      </c>
      <c r="CD13" s="456">
        <f>Feed!$F$6*1000/12</f>
        <v>58083.333333333336</v>
      </c>
      <c r="CE13" s="456">
        <f>Feed!$F$6*1000/12</f>
        <v>58083.333333333336</v>
      </c>
      <c r="CF13" s="456">
        <f>Feed!$F$6*1000/12</f>
        <v>58083.333333333336</v>
      </c>
      <c r="CG13" s="456">
        <f>Feed!$F$6*1000/12</f>
        <v>58083.333333333336</v>
      </c>
      <c r="CH13" s="456">
        <f>Feed!$F$6*1000/12</f>
        <v>58083.333333333336</v>
      </c>
      <c r="CI13" s="456">
        <f>Feed!$F$6*1000/12</f>
        <v>58083.333333333336</v>
      </c>
      <c r="CJ13" s="456">
        <f>Feed!$F$6*1000/12</f>
        <v>58083.333333333336</v>
      </c>
      <c r="CK13" s="456">
        <f>Feed!$F$6*1000/12</f>
        <v>58083.333333333336</v>
      </c>
      <c r="CL13" s="612">
        <f>Feed!$F$6*1000/12</f>
        <v>58083.333333333336</v>
      </c>
      <c r="CM13" s="406">
        <f t="shared" si="0"/>
        <v>58083.333333333343</v>
      </c>
      <c r="CN13" s="435"/>
      <c r="CO13" s="435"/>
      <c r="CP13" s="435"/>
      <c r="CQ13" s="435"/>
      <c r="CR13" s="435"/>
      <c r="CS13" s="435"/>
      <c r="CT13" s="435"/>
      <c r="CU13" s="435"/>
      <c r="CV13" s="435"/>
      <c r="CW13" s="435"/>
      <c r="CX13" s="435"/>
      <c r="CY13" s="435"/>
      <c r="CZ13" s="435"/>
      <c r="DA13" s="435"/>
      <c r="DB13" s="435"/>
      <c r="DC13" s="435"/>
      <c r="DD13" s="435"/>
      <c r="DE13" s="435"/>
      <c r="DF13" s="435"/>
      <c r="DG13" s="435"/>
      <c r="DH13" s="435"/>
      <c r="DI13" s="435"/>
      <c r="DJ13" s="435"/>
      <c r="DK13" s="435"/>
      <c r="DL13" s="435"/>
      <c r="DM13" s="435"/>
      <c r="DN13" s="435"/>
      <c r="DO13" s="435"/>
      <c r="DP13" s="435"/>
      <c r="DQ13" s="435"/>
      <c r="DR13" s="435"/>
      <c r="DS13" s="435"/>
      <c r="DT13" s="435"/>
      <c r="DU13" s="435"/>
      <c r="DV13" s="435"/>
      <c r="DW13" s="435"/>
      <c r="DX13" s="435"/>
      <c r="DY13" s="435"/>
      <c r="DZ13" s="435"/>
      <c r="EA13" s="435"/>
      <c r="EB13" s="435"/>
      <c r="EC13" s="435"/>
      <c r="ED13" s="435"/>
      <c r="EE13" s="435"/>
      <c r="EF13" s="435"/>
      <c r="EG13" s="435"/>
      <c r="EH13" s="435"/>
      <c r="EI13" s="435"/>
      <c r="EJ13" s="435"/>
      <c r="EK13" s="435"/>
      <c r="EL13" s="435"/>
      <c r="EM13" s="435"/>
      <c r="EN13" s="435"/>
      <c r="EO13" s="435"/>
      <c r="EP13" s="435"/>
      <c r="EQ13" s="435"/>
      <c r="ER13" s="435"/>
      <c r="ES13" s="435"/>
      <c r="ET13" s="435"/>
      <c r="EU13" s="435"/>
      <c r="EV13" s="435"/>
      <c r="EW13" s="435"/>
      <c r="EX13" s="435"/>
      <c r="EY13" s="435"/>
      <c r="EZ13" s="435"/>
      <c r="FA13" s="435"/>
      <c r="FB13" s="435"/>
      <c r="FC13" s="435"/>
      <c r="FD13" s="435"/>
      <c r="FE13" s="435"/>
      <c r="FF13" s="435"/>
      <c r="FG13" s="435"/>
      <c r="FH13" s="435"/>
      <c r="FI13" s="435"/>
      <c r="FJ13" s="435"/>
      <c r="FK13" s="435"/>
      <c r="FL13" s="435"/>
      <c r="FM13" s="435"/>
      <c r="FN13" s="435"/>
      <c r="FO13" s="435"/>
      <c r="FP13" s="435"/>
      <c r="FQ13" s="435"/>
      <c r="FR13" s="435"/>
      <c r="FS13" s="435"/>
      <c r="FT13" s="435"/>
      <c r="FU13" s="435"/>
      <c r="FV13" s="435"/>
    </row>
    <row r="14" spans="1:178">
      <c r="A14" s="1377"/>
      <c r="B14" s="393" t="s">
        <v>403</v>
      </c>
      <c r="C14" s="394" t="s">
        <v>402</v>
      </c>
      <c r="D14" s="394"/>
      <c r="E14" s="1383"/>
      <c r="F14" s="455" t="s">
        <v>398</v>
      </c>
      <c r="G14" s="456">
        <f>Feed!$F$7*1000/12</f>
        <v>11333.333333333334</v>
      </c>
      <c r="H14" s="456">
        <f>Feed!$F$7*1000/12</f>
        <v>11333.333333333334</v>
      </c>
      <c r="I14" s="456">
        <f>Feed!$F$7*1000/12</f>
        <v>11333.333333333334</v>
      </c>
      <c r="J14" s="456">
        <f>Feed!$F$7*1000/12</f>
        <v>11333.333333333334</v>
      </c>
      <c r="K14" s="456">
        <f>Feed!$F$7*1000/12</f>
        <v>11333.333333333334</v>
      </c>
      <c r="L14" s="456">
        <f>Feed!$F$7*1000/12</f>
        <v>11333.333333333334</v>
      </c>
      <c r="M14" s="456">
        <f>Feed!$F$7*1000/12</f>
        <v>11333.333333333334</v>
      </c>
      <c r="N14" s="456">
        <f>Feed!$F$7*1000/12</f>
        <v>11333.333333333334</v>
      </c>
      <c r="O14" s="456">
        <f>Feed!$F$7*1000/12</f>
        <v>11333.333333333334</v>
      </c>
      <c r="P14" s="456">
        <f>Feed!$F$7*1000/12</f>
        <v>11333.333333333334</v>
      </c>
      <c r="Q14" s="456">
        <f>Feed!$F$7*1000/12</f>
        <v>11333.333333333334</v>
      </c>
      <c r="R14" s="456">
        <f>Feed!$F$7*1000/12</f>
        <v>11333.333333333334</v>
      </c>
      <c r="S14" s="456">
        <f>Feed!$F$7*1000/12</f>
        <v>11333.333333333334</v>
      </c>
      <c r="T14" s="569">
        <f>Feed!$F$7*1000/12</f>
        <v>11333.333333333334</v>
      </c>
      <c r="U14" s="456">
        <f>Feed!$F$7*1000/12</f>
        <v>11333.333333333334</v>
      </c>
      <c r="V14" s="569">
        <f>Feed!$F$7*1000/12</f>
        <v>11333.333333333334</v>
      </c>
      <c r="W14" s="456">
        <f>Feed!$F$7*1000/12</f>
        <v>11333.333333333334</v>
      </c>
      <c r="X14" s="569">
        <f>Feed!$F$7*1000/12</f>
        <v>11333.333333333334</v>
      </c>
      <c r="Y14" s="456">
        <f>Feed!$F$7*1000/12</f>
        <v>11333.333333333334</v>
      </c>
      <c r="Z14" s="569">
        <f>Feed!$F$7*1000/12</f>
        <v>11333.333333333334</v>
      </c>
      <c r="AA14" s="456">
        <f>Feed!$F$7*1000/12</f>
        <v>11333.333333333334</v>
      </c>
      <c r="AB14" s="569">
        <f>Feed!$F$7*1000/12</f>
        <v>11333.333333333334</v>
      </c>
      <c r="AC14" s="456">
        <f>Feed!$F$7*1000/12</f>
        <v>11333.333333333334</v>
      </c>
      <c r="AD14" s="569">
        <f>Feed!$F$7*1000/12</f>
        <v>11333.333333333334</v>
      </c>
      <c r="AE14" s="456">
        <f>Feed!$F$7*1000/12</f>
        <v>11333.333333333334</v>
      </c>
      <c r="AF14" s="569">
        <f>Feed!$F$7*1000/12</f>
        <v>11333.333333333334</v>
      </c>
      <c r="AG14" s="456">
        <f>Feed!$F$7*1000/12</f>
        <v>11333.333333333334</v>
      </c>
      <c r="AH14" s="569">
        <f>Feed!$F$7*1000/12</f>
        <v>11333.333333333334</v>
      </c>
      <c r="AI14" s="456">
        <f>Feed!$F$7*1000/12</f>
        <v>11333.333333333334</v>
      </c>
      <c r="AJ14" s="569">
        <f>Feed!$F$7*1000/12</f>
        <v>11333.333333333334</v>
      </c>
      <c r="AK14" s="456">
        <f>Feed!$F$7*1000/12</f>
        <v>11333.333333333334</v>
      </c>
      <c r="AL14" s="569">
        <f>Feed!$F$7*1000/12</f>
        <v>11333.333333333334</v>
      </c>
      <c r="AM14" s="456">
        <f>Feed!$F$7*1000/12</f>
        <v>11333.333333333334</v>
      </c>
      <c r="AN14" s="569">
        <f>Feed!$F$7*1000/12</f>
        <v>11333.333333333334</v>
      </c>
      <c r="AO14" s="456">
        <f>Feed!$F$7*1000/12</f>
        <v>11333.333333333334</v>
      </c>
      <c r="AP14" s="569">
        <f>Feed!$F$7*1000/12</f>
        <v>11333.333333333334</v>
      </c>
      <c r="AQ14" s="456">
        <f>Feed!$F$7*1000/12</f>
        <v>11333.333333333334</v>
      </c>
      <c r="AR14" s="569">
        <f>Feed!$F$7*1000/12</f>
        <v>11333.333333333334</v>
      </c>
      <c r="AS14" s="456">
        <f>Feed!$F$7*1000/12</f>
        <v>11333.333333333334</v>
      </c>
      <c r="AT14" s="569">
        <f>Feed!$F$7*1000/12</f>
        <v>11333.333333333334</v>
      </c>
      <c r="AU14" s="456">
        <f>Feed!$F$7*1000/12</f>
        <v>11333.333333333334</v>
      </c>
      <c r="AV14" s="456">
        <f>Feed!$F$7*1000/12</f>
        <v>11333.333333333334</v>
      </c>
      <c r="AW14" s="456">
        <f>Feed!$F$7*1000/12</f>
        <v>11333.333333333334</v>
      </c>
      <c r="AX14" s="456">
        <f>Feed!$F$7*1000/12</f>
        <v>11333.333333333334</v>
      </c>
      <c r="AY14" s="456">
        <f>Feed!$F$7*1000/12</f>
        <v>11333.333333333334</v>
      </c>
      <c r="AZ14" s="456">
        <f>Feed!$F$7*1000/12</f>
        <v>11333.333333333334</v>
      </c>
      <c r="BA14" s="456">
        <f>Feed!$F$7*1000/12</f>
        <v>11333.333333333334</v>
      </c>
      <c r="BB14" s="456">
        <f>Feed!$F$7*1000/12</f>
        <v>11333.333333333334</v>
      </c>
      <c r="BC14" s="456">
        <f>Feed!$F$7*1000/12</f>
        <v>11333.333333333334</v>
      </c>
      <c r="BD14" s="456">
        <f>Feed!$F$7*1000/12</f>
        <v>11333.333333333334</v>
      </c>
      <c r="BE14" s="456">
        <f>Feed!$F$7*1000/12</f>
        <v>11333.333333333334</v>
      </c>
      <c r="BF14" s="456">
        <f>Feed!$F$7*1000/12</f>
        <v>11333.333333333334</v>
      </c>
      <c r="BG14" s="456">
        <f>Feed!$F$7*1000/12</f>
        <v>11333.333333333334</v>
      </c>
      <c r="BH14" s="456">
        <f>Feed!$F$7*1000/12</f>
        <v>11333.333333333334</v>
      </c>
      <c r="BI14" s="456">
        <f>Feed!$F$7*1000/12</f>
        <v>11333.333333333334</v>
      </c>
      <c r="BJ14" s="456">
        <f>Feed!$F$7*1000/12</f>
        <v>11333.333333333334</v>
      </c>
      <c r="BK14" s="456">
        <f>Feed!$F$7*1000/12</f>
        <v>11333.333333333334</v>
      </c>
      <c r="BL14" s="456">
        <f>Feed!$F$7*1000/12</f>
        <v>11333.333333333334</v>
      </c>
      <c r="BM14" s="456">
        <f>Feed!$F$7*1000/12</f>
        <v>11333.333333333334</v>
      </c>
      <c r="BN14" s="456">
        <f>Feed!$F$7*1000/12</f>
        <v>11333.333333333334</v>
      </c>
      <c r="BO14" s="456">
        <f>Feed!$F$7*1000/12</f>
        <v>11333.333333333334</v>
      </c>
      <c r="BP14" s="456">
        <f>Feed!$F$7*1000/12</f>
        <v>11333.333333333334</v>
      </c>
      <c r="BQ14" s="456">
        <f>Feed!$F$7*1000/12</f>
        <v>11333.333333333334</v>
      </c>
      <c r="BR14" s="456">
        <f>Feed!$F$7*1000/12</f>
        <v>11333.333333333334</v>
      </c>
      <c r="BS14" s="456">
        <f>Feed!$F$7*1000/12</f>
        <v>11333.333333333334</v>
      </c>
      <c r="BT14" s="456">
        <f>Feed!$F$7*1000/12</f>
        <v>11333.333333333334</v>
      </c>
      <c r="BU14" s="456">
        <f>Feed!$F$7*1000/12</f>
        <v>11333.333333333334</v>
      </c>
      <c r="BV14" s="456">
        <f>Feed!$F$7*1000/12</f>
        <v>11333.333333333334</v>
      </c>
      <c r="BW14" s="456">
        <f>Feed!$F$7*1000/12</f>
        <v>11333.333333333334</v>
      </c>
      <c r="BX14" s="456">
        <f>Feed!$F$7*1000/12</f>
        <v>11333.333333333334</v>
      </c>
      <c r="BY14" s="456">
        <f>Feed!$F$7*1000/12</f>
        <v>11333.333333333334</v>
      </c>
      <c r="BZ14" s="456">
        <f>Feed!$F$7*1000/12</f>
        <v>11333.333333333334</v>
      </c>
      <c r="CA14" s="456">
        <f>Feed!$F$7*1000/12</f>
        <v>11333.333333333334</v>
      </c>
      <c r="CB14" s="456">
        <f>Feed!$F$7*1000/12</f>
        <v>11333.333333333334</v>
      </c>
      <c r="CC14" s="456">
        <f>Feed!$F$7*1000/12</f>
        <v>11333.333333333334</v>
      </c>
      <c r="CD14" s="456">
        <f>Feed!$F$7*1000/12</f>
        <v>11333.333333333334</v>
      </c>
      <c r="CE14" s="456">
        <f>Feed!$F$7*1000/12</f>
        <v>11333.333333333334</v>
      </c>
      <c r="CF14" s="456">
        <f>Feed!$F$7*1000/12</f>
        <v>11333.333333333334</v>
      </c>
      <c r="CG14" s="456">
        <f>Feed!$F$7*1000/12</f>
        <v>11333.333333333334</v>
      </c>
      <c r="CH14" s="456">
        <f>Feed!$F$7*1000/12</f>
        <v>11333.333333333334</v>
      </c>
      <c r="CI14" s="456">
        <f>Feed!$F$7*1000/12</f>
        <v>11333.333333333334</v>
      </c>
      <c r="CJ14" s="456">
        <f>Feed!$F$7*1000/12</f>
        <v>11333.333333333334</v>
      </c>
      <c r="CK14" s="456">
        <f>Feed!$F$7*1000/12</f>
        <v>11333.333333333334</v>
      </c>
      <c r="CL14" s="612">
        <f>Feed!$F$7*1000/12</f>
        <v>11333.333333333334</v>
      </c>
      <c r="CM14" s="406">
        <f t="shared" si="0"/>
        <v>11333.333333333347</v>
      </c>
      <c r="CN14" s="435"/>
      <c r="CO14" s="435"/>
      <c r="CP14" s="435"/>
      <c r="CQ14" s="435"/>
      <c r="CR14" s="435"/>
      <c r="CS14" s="435"/>
      <c r="CT14" s="435"/>
      <c r="CU14" s="435"/>
      <c r="CV14" s="435"/>
      <c r="CW14" s="435"/>
      <c r="CX14" s="435"/>
      <c r="CY14" s="435"/>
      <c r="CZ14" s="435"/>
      <c r="DA14" s="435"/>
      <c r="DB14" s="435"/>
      <c r="DC14" s="435"/>
      <c r="DD14" s="435"/>
      <c r="DE14" s="435"/>
      <c r="DF14" s="435"/>
      <c r="DG14" s="435"/>
      <c r="DH14" s="435"/>
      <c r="DI14" s="435"/>
      <c r="DJ14" s="435"/>
      <c r="DK14" s="435"/>
      <c r="DL14" s="435"/>
      <c r="DM14" s="435"/>
      <c r="DN14" s="435"/>
      <c r="DO14" s="435"/>
      <c r="DP14" s="435"/>
      <c r="DQ14" s="435"/>
      <c r="DR14" s="435"/>
      <c r="DS14" s="435"/>
      <c r="DT14" s="435"/>
      <c r="DU14" s="435"/>
      <c r="DV14" s="435"/>
      <c r="DW14" s="435"/>
      <c r="DX14" s="435"/>
      <c r="DY14" s="435"/>
      <c r="DZ14" s="435"/>
      <c r="EA14" s="435"/>
      <c r="EB14" s="435"/>
      <c r="EC14" s="435"/>
      <c r="ED14" s="435"/>
      <c r="EE14" s="435"/>
      <c r="EF14" s="435"/>
      <c r="EG14" s="435"/>
      <c r="EH14" s="435"/>
      <c r="EI14" s="435"/>
      <c r="EJ14" s="435"/>
      <c r="EK14" s="435"/>
      <c r="EL14" s="435"/>
      <c r="EM14" s="435"/>
      <c r="EN14" s="435"/>
      <c r="EO14" s="435"/>
      <c r="EP14" s="435"/>
      <c r="EQ14" s="435"/>
      <c r="ER14" s="435"/>
      <c r="ES14" s="435"/>
      <c r="ET14" s="435"/>
      <c r="EU14" s="435"/>
      <c r="EV14" s="435"/>
      <c r="EW14" s="435"/>
      <c r="EX14" s="435"/>
      <c r="EY14" s="435"/>
      <c r="EZ14" s="435"/>
      <c r="FA14" s="435"/>
      <c r="FB14" s="435"/>
      <c r="FC14" s="435"/>
      <c r="FD14" s="435"/>
      <c r="FE14" s="435"/>
      <c r="FF14" s="435"/>
      <c r="FG14" s="435"/>
      <c r="FH14" s="435"/>
      <c r="FI14" s="435"/>
      <c r="FJ14" s="435"/>
      <c r="FK14" s="435"/>
      <c r="FL14" s="435"/>
      <c r="FM14" s="435"/>
      <c r="FN14" s="435"/>
      <c r="FO14" s="435"/>
      <c r="FP14" s="435"/>
      <c r="FQ14" s="435"/>
      <c r="FR14" s="435"/>
      <c r="FS14" s="435"/>
      <c r="FT14" s="435"/>
      <c r="FU14" s="435"/>
      <c r="FV14" s="435"/>
    </row>
    <row r="15" spans="1:178">
      <c r="A15" s="1378"/>
      <c r="B15" s="395" t="s">
        <v>403</v>
      </c>
      <c r="C15" s="396" t="s">
        <v>402</v>
      </c>
      <c r="D15" s="396"/>
      <c r="E15" s="1384"/>
      <c r="F15" s="457" t="s">
        <v>1</v>
      </c>
      <c r="G15" s="458">
        <f>Feed!$F$5*1000/12</f>
        <v>134250</v>
      </c>
      <c r="H15" s="458">
        <f>Feed!$F$5*1000/12</f>
        <v>134250</v>
      </c>
      <c r="I15" s="458">
        <f>Feed!$F$5*1000/12</f>
        <v>134250</v>
      </c>
      <c r="J15" s="458">
        <f>Feed!$F$5*1000/12</f>
        <v>134250</v>
      </c>
      <c r="K15" s="458">
        <f>Feed!$F$5*1000/12</f>
        <v>134250</v>
      </c>
      <c r="L15" s="458">
        <f>Feed!$F$5*1000/12</f>
        <v>134250</v>
      </c>
      <c r="M15" s="458">
        <f>Feed!$F$5*1000/12</f>
        <v>134250</v>
      </c>
      <c r="N15" s="458">
        <f>Feed!$F$5*1000/12</f>
        <v>134250</v>
      </c>
      <c r="O15" s="458">
        <f>Feed!$F$5*1000/12</f>
        <v>134250</v>
      </c>
      <c r="P15" s="458">
        <f>Feed!$F$5*1000/12</f>
        <v>134250</v>
      </c>
      <c r="Q15" s="458">
        <f>Feed!$F$5*1000/12</f>
        <v>134250</v>
      </c>
      <c r="R15" s="458">
        <f>Feed!$F$5*1000/12</f>
        <v>134250</v>
      </c>
      <c r="S15" s="458">
        <f>Feed!$F$5*1000/12</f>
        <v>134250</v>
      </c>
      <c r="T15" s="570">
        <f>Feed!$F$5*1000/12</f>
        <v>134250</v>
      </c>
      <c r="U15" s="458">
        <f>Feed!$F$5*1000/12</f>
        <v>134250</v>
      </c>
      <c r="V15" s="570">
        <f>Feed!$F$5*1000/12</f>
        <v>134250</v>
      </c>
      <c r="W15" s="458">
        <f>Feed!$F$5*1000/12</f>
        <v>134250</v>
      </c>
      <c r="X15" s="570">
        <f>Feed!$F$5*1000/12</f>
        <v>134250</v>
      </c>
      <c r="Y15" s="458">
        <f>Feed!$F$5*1000/12</f>
        <v>134250</v>
      </c>
      <c r="Z15" s="570">
        <f>Feed!$F$5*1000/12</f>
        <v>134250</v>
      </c>
      <c r="AA15" s="458">
        <f>Feed!$F$5*1000/12</f>
        <v>134250</v>
      </c>
      <c r="AB15" s="570">
        <f>Feed!$F$5*1000/12</f>
        <v>134250</v>
      </c>
      <c r="AC15" s="458">
        <f>Feed!$F$5*1000/12</f>
        <v>134250</v>
      </c>
      <c r="AD15" s="570">
        <f>Feed!$F$5*1000/12</f>
        <v>134250</v>
      </c>
      <c r="AE15" s="458">
        <f>Feed!$F$5*1000/12</f>
        <v>134250</v>
      </c>
      <c r="AF15" s="570">
        <f>Feed!$F$5*1000/12</f>
        <v>134250</v>
      </c>
      <c r="AG15" s="458">
        <f>Feed!$F$5*1000/12</f>
        <v>134250</v>
      </c>
      <c r="AH15" s="570">
        <f>Feed!$F$5*1000/12</f>
        <v>134250</v>
      </c>
      <c r="AI15" s="458">
        <f>Feed!$F$5*1000/12</f>
        <v>134250</v>
      </c>
      <c r="AJ15" s="570">
        <f>Feed!$F$5*1000/12</f>
        <v>134250</v>
      </c>
      <c r="AK15" s="458">
        <f>Feed!$F$5*1000/12</f>
        <v>134250</v>
      </c>
      <c r="AL15" s="570">
        <f>Feed!$F$5*1000/12</f>
        <v>134250</v>
      </c>
      <c r="AM15" s="458">
        <f>Feed!$F$5*1000/12</f>
        <v>134250</v>
      </c>
      <c r="AN15" s="570">
        <f>Feed!$F$5*1000/12</f>
        <v>134250</v>
      </c>
      <c r="AO15" s="458">
        <f>Feed!$F$5*1000/12</f>
        <v>134250</v>
      </c>
      <c r="AP15" s="570">
        <f>Feed!$F$5*1000/12</f>
        <v>134250</v>
      </c>
      <c r="AQ15" s="458">
        <f>Feed!$F$5*1000/12</f>
        <v>134250</v>
      </c>
      <c r="AR15" s="570">
        <f>Feed!$F$5*1000/12</f>
        <v>134250</v>
      </c>
      <c r="AS15" s="458">
        <f>Feed!$F$5*1000/12</f>
        <v>134250</v>
      </c>
      <c r="AT15" s="570">
        <f>Feed!$F$5*1000/12</f>
        <v>134250</v>
      </c>
      <c r="AU15" s="458">
        <f>Feed!$F$5*1000/12</f>
        <v>134250</v>
      </c>
      <c r="AV15" s="458">
        <f>Feed!$F$5*1000/12</f>
        <v>134250</v>
      </c>
      <c r="AW15" s="458">
        <f>Feed!$F$5*1000/12</f>
        <v>134250</v>
      </c>
      <c r="AX15" s="458">
        <f>Feed!$F$5*1000/12</f>
        <v>134250</v>
      </c>
      <c r="AY15" s="458">
        <f>Feed!$F$5*1000/12</f>
        <v>134250</v>
      </c>
      <c r="AZ15" s="458">
        <f>Feed!$F$5*1000/12</f>
        <v>134250</v>
      </c>
      <c r="BA15" s="458">
        <f>Feed!$F$5*1000/12</f>
        <v>134250</v>
      </c>
      <c r="BB15" s="458">
        <f>Feed!$F$5*1000/12</f>
        <v>134250</v>
      </c>
      <c r="BC15" s="458">
        <f>Feed!$F$5*1000/12</f>
        <v>134250</v>
      </c>
      <c r="BD15" s="458">
        <f>Feed!$F$5*1000/12</f>
        <v>134250</v>
      </c>
      <c r="BE15" s="458">
        <f>Feed!$F$5*1000/12</f>
        <v>134250</v>
      </c>
      <c r="BF15" s="458">
        <f>Feed!$F$5*1000/12</f>
        <v>134250</v>
      </c>
      <c r="BG15" s="458">
        <f>Feed!$F$5*1000/12</f>
        <v>134250</v>
      </c>
      <c r="BH15" s="458">
        <f>Feed!$F$5*1000/12</f>
        <v>134250</v>
      </c>
      <c r="BI15" s="458">
        <f>Feed!$F$5*1000/12</f>
        <v>134250</v>
      </c>
      <c r="BJ15" s="458">
        <f>Feed!$F$5*1000/12</f>
        <v>134250</v>
      </c>
      <c r="BK15" s="458">
        <f>Feed!$F$5*1000/12</f>
        <v>134250</v>
      </c>
      <c r="BL15" s="458">
        <f>Feed!$F$5*1000/12</f>
        <v>134250</v>
      </c>
      <c r="BM15" s="458">
        <f>Feed!$F$5*1000/12</f>
        <v>134250</v>
      </c>
      <c r="BN15" s="458">
        <f>Feed!$F$5*1000/12</f>
        <v>134250</v>
      </c>
      <c r="BO15" s="458">
        <f>Feed!$F$5*1000/12</f>
        <v>134250</v>
      </c>
      <c r="BP15" s="458">
        <f>Feed!$F$5*1000/12</f>
        <v>134250</v>
      </c>
      <c r="BQ15" s="458">
        <f>Feed!$F$5*1000/12</f>
        <v>134250</v>
      </c>
      <c r="BR15" s="458">
        <f>Feed!$F$5*1000/12</f>
        <v>134250</v>
      </c>
      <c r="BS15" s="458">
        <f>Feed!$F$5*1000/12</f>
        <v>134250</v>
      </c>
      <c r="BT15" s="458">
        <f>Feed!$F$5*1000/12</f>
        <v>134250</v>
      </c>
      <c r="BU15" s="458">
        <f>Feed!$F$5*1000/12</f>
        <v>134250</v>
      </c>
      <c r="BV15" s="458">
        <f>Feed!$F$5*1000/12</f>
        <v>134250</v>
      </c>
      <c r="BW15" s="458">
        <f>Feed!$F$5*1000/12</f>
        <v>134250</v>
      </c>
      <c r="BX15" s="458">
        <f>Feed!$F$5*1000/12</f>
        <v>134250</v>
      </c>
      <c r="BY15" s="458">
        <f>Feed!$F$5*1000/12</f>
        <v>134250</v>
      </c>
      <c r="BZ15" s="458">
        <f>Feed!$F$5*1000/12</f>
        <v>134250</v>
      </c>
      <c r="CA15" s="458">
        <f>Feed!$F$5*1000/12</f>
        <v>134250</v>
      </c>
      <c r="CB15" s="458">
        <f>Feed!$F$5*1000/12</f>
        <v>134250</v>
      </c>
      <c r="CC15" s="458">
        <f>Feed!$F$5*1000/12</f>
        <v>134250</v>
      </c>
      <c r="CD15" s="458">
        <f>Feed!$F$5*1000/12</f>
        <v>134250</v>
      </c>
      <c r="CE15" s="458">
        <f>Feed!$F$5*1000/12</f>
        <v>134250</v>
      </c>
      <c r="CF15" s="458">
        <f>Feed!$F$5*1000/12</f>
        <v>134250</v>
      </c>
      <c r="CG15" s="458">
        <f>Feed!$F$5*1000/12</f>
        <v>134250</v>
      </c>
      <c r="CH15" s="458">
        <f>Feed!$F$5*1000/12</f>
        <v>134250</v>
      </c>
      <c r="CI15" s="458">
        <f>Feed!$F$5*1000/12</f>
        <v>134250</v>
      </c>
      <c r="CJ15" s="458">
        <f>Feed!$F$5*1000/12</f>
        <v>134250</v>
      </c>
      <c r="CK15" s="458">
        <f>Feed!$F$5*1000/12</f>
        <v>134250</v>
      </c>
      <c r="CL15" s="613">
        <f>Feed!$F$5*1000/12</f>
        <v>134250</v>
      </c>
      <c r="CM15" s="406">
        <f t="shared" si="0"/>
        <v>134250</v>
      </c>
      <c r="CN15" s="435"/>
      <c r="CO15" s="435"/>
      <c r="CP15" s="435"/>
      <c r="CQ15" s="435"/>
      <c r="CR15" s="435"/>
      <c r="CS15" s="435"/>
      <c r="CT15" s="435"/>
      <c r="CU15" s="435"/>
      <c r="CV15" s="435"/>
      <c r="CW15" s="435"/>
      <c r="CX15" s="435"/>
      <c r="CY15" s="435"/>
      <c r="CZ15" s="435"/>
      <c r="DA15" s="435"/>
      <c r="DB15" s="435"/>
      <c r="DC15" s="435"/>
      <c r="DD15" s="435"/>
      <c r="DE15" s="435"/>
      <c r="DF15" s="435"/>
      <c r="DG15" s="435"/>
      <c r="DH15" s="435"/>
      <c r="DI15" s="435"/>
      <c r="DJ15" s="435"/>
      <c r="DK15" s="435"/>
      <c r="DL15" s="435"/>
      <c r="DM15" s="435"/>
      <c r="DN15" s="435"/>
      <c r="DO15" s="435"/>
      <c r="DP15" s="435"/>
      <c r="DQ15" s="435"/>
      <c r="DR15" s="435"/>
      <c r="DS15" s="435"/>
      <c r="DT15" s="435"/>
      <c r="DU15" s="435"/>
      <c r="DV15" s="435"/>
      <c r="DW15" s="435"/>
      <c r="DX15" s="435"/>
      <c r="DY15" s="435"/>
      <c r="DZ15" s="435"/>
      <c r="EA15" s="435"/>
      <c r="EB15" s="435"/>
      <c r="EC15" s="435"/>
      <c r="ED15" s="435"/>
      <c r="EE15" s="435"/>
      <c r="EF15" s="435"/>
      <c r="EG15" s="435"/>
      <c r="EH15" s="435"/>
      <c r="EI15" s="435"/>
      <c r="EJ15" s="435"/>
      <c r="EK15" s="435"/>
      <c r="EL15" s="435"/>
      <c r="EM15" s="435"/>
      <c r="EN15" s="435"/>
      <c r="EO15" s="435"/>
      <c r="EP15" s="435"/>
      <c r="EQ15" s="435"/>
      <c r="ER15" s="435"/>
      <c r="ES15" s="435"/>
      <c r="ET15" s="435"/>
      <c r="EU15" s="435"/>
      <c r="EV15" s="435"/>
      <c r="EW15" s="435"/>
      <c r="EX15" s="435"/>
      <c r="EY15" s="435"/>
      <c r="EZ15" s="435"/>
      <c r="FA15" s="435"/>
      <c r="FB15" s="435"/>
      <c r="FC15" s="435"/>
      <c r="FD15" s="435"/>
      <c r="FE15" s="435"/>
      <c r="FF15" s="435"/>
      <c r="FG15" s="435"/>
      <c r="FH15" s="435"/>
      <c r="FI15" s="435"/>
      <c r="FJ15" s="435"/>
      <c r="FK15" s="435"/>
      <c r="FL15" s="435"/>
      <c r="FM15" s="435"/>
      <c r="FN15" s="435"/>
      <c r="FO15" s="435"/>
      <c r="FP15" s="435"/>
      <c r="FQ15" s="435"/>
      <c r="FR15" s="435"/>
      <c r="FS15" s="435"/>
      <c r="FT15" s="435"/>
      <c r="FU15" s="435"/>
      <c r="FV15" s="435"/>
    </row>
    <row r="16" spans="1:178">
      <c r="A16" s="1385" t="s">
        <v>448</v>
      </c>
      <c r="B16" s="372" t="s">
        <v>403</v>
      </c>
      <c r="C16" s="373" t="s">
        <v>402</v>
      </c>
      <c r="D16" s="373"/>
      <c r="E16" s="1379" t="s">
        <v>449</v>
      </c>
      <c r="F16" s="459" t="s">
        <v>165</v>
      </c>
      <c r="G16" s="460">
        <f>G12*'Cracker Yields'!$H$3+'Cracker Yields'!$I$3*'Financial Model (84 Months)'!G13+'Financial Model (84 Months)'!G14*'Cracker Yields'!$J$3+'Cracker Yields'!$K$3*'Financial Model (84 Months)'!G15</f>
        <v>110689</v>
      </c>
      <c r="H16" s="460">
        <f>H12*'Cracker Yields'!$H$3+'Cracker Yields'!$I$3*'Financial Model (84 Months)'!H13+'Financial Model (84 Months)'!H14*'Cracker Yields'!$J$3+'Cracker Yields'!$K$3*'Financial Model (84 Months)'!H15</f>
        <v>110689</v>
      </c>
      <c r="I16" s="460">
        <f>I12*'Cracker Yields'!$H$3+'Cracker Yields'!$I$3*'Financial Model (84 Months)'!I13+'Financial Model (84 Months)'!I14*'Cracker Yields'!$J$3+'Cracker Yields'!$K$3*'Financial Model (84 Months)'!I15</f>
        <v>110689</v>
      </c>
      <c r="J16" s="460">
        <f>J12*'Cracker Yields'!$H$3+'Cracker Yields'!$I$3*'Financial Model (84 Months)'!J13+'Financial Model (84 Months)'!J14*'Cracker Yields'!$J$3+'Cracker Yields'!$K$3*'Financial Model (84 Months)'!J15</f>
        <v>110689</v>
      </c>
      <c r="K16" s="460">
        <f>K12*'Cracker Yields'!$H$3+'Cracker Yields'!$I$3*'Financial Model (84 Months)'!K13+'Financial Model (84 Months)'!K14*'Cracker Yields'!$J$3+'Cracker Yields'!$K$3*'Financial Model (84 Months)'!K15</f>
        <v>110689</v>
      </c>
      <c r="L16" s="460">
        <f>L12*'Cracker Yields'!$H$3+'Cracker Yields'!$I$3*'Financial Model (84 Months)'!L13+'Financial Model (84 Months)'!L14*'Cracker Yields'!$J$3+'Cracker Yields'!$K$3*'Financial Model (84 Months)'!L15</f>
        <v>110689</v>
      </c>
      <c r="M16" s="460">
        <f>M12*'Cracker Yields'!$H$3+'Cracker Yields'!$I$3*'Financial Model (84 Months)'!M13+'Financial Model (84 Months)'!M14*'Cracker Yields'!$J$3+'Cracker Yields'!$K$3*'Financial Model (84 Months)'!M15</f>
        <v>110689</v>
      </c>
      <c r="N16" s="460">
        <f>N12*'Cracker Yields'!$H$3+'Cracker Yields'!$I$3*'Financial Model (84 Months)'!N13+'Financial Model (84 Months)'!N14*'Cracker Yields'!$J$3+'Cracker Yields'!$K$3*'Financial Model (84 Months)'!N15</f>
        <v>110689</v>
      </c>
      <c r="O16" s="460">
        <f>O12*'Cracker Yields'!$H$3+'Cracker Yields'!$I$3*'Financial Model (84 Months)'!O13+'Financial Model (84 Months)'!O14*'Cracker Yields'!$J$3+'Cracker Yields'!$K$3*'Financial Model (84 Months)'!O15</f>
        <v>110689</v>
      </c>
      <c r="P16" s="460">
        <f>P12*'Cracker Yields'!$H$3+'Cracker Yields'!$I$3*'Financial Model (84 Months)'!P13+'Financial Model (84 Months)'!P14*'Cracker Yields'!$J$3+'Cracker Yields'!$K$3*'Financial Model (84 Months)'!P15</f>
        <v>110689</v>
      </c>
      <c r="Q16" s="460">
        <f>Q12*'Cracker Yields'!$H$3+'Cracker Yields'!$I$3*'Financial Model (84 Months)'!Q13+'Financial Model (84 Months)'!Q14*'Cracker Yields'!$J$3+'Cracker Yields'!$K$3*'Financial Model (84 Months)'!Q15</f>
        <v>110689</v>
      </c>
      <c r="R16" s="460">
        <f>R12*'Cracker Yields'!$H$3+'Cracker Yields'!$I$3*'Financial Model (84 Months)'!R13+'Financial Model (84 Months)'!R14*'Cracker Yields'!$J$3+'Cracker Yields'!$K$3*'Financial Model (84 Months)'!R15</f>
        <v>110689</v>
      </c>
      <c r="S16" s="460">
        <f>S12*'Cracker Yields'!$H$3+'Cracker Yields'!$I$3*'Financial Model (84 Months)'!S13+'Financial Model (84 Months)'!S14*'Cracker Yields'!$J$3+'Cracker Yields'!$K$3*'Financial Model (84 Months)'!S15</f>
        <v>110689</v>
      </c>
      <c r="T16" s="565">
        <f>T12*'Cracker Yields'!$H$3+'Cracker Yields'!$I$3*'Financial Model (84 Months)'!T13+'Financial Model (84 Months)'!T14*'Cracker Yields'!$J$3+'Cracker Yields'!$K$3*'Financial Model (84 Months)'!T15</f>
        <v>110689</v>
      </c>
      <c r="U16" s="460">
        <f>U12*'Cracker Yields'!$H$3+'Cracker Yields'!$I$3*'Financial Model (84 Months)'!U13+'Financial Model (84 Months)'!U14*'Cracker Yields'!$J$3+'Cracker Yields'!$K$3*'Financial Model (84 Months)'!U15</f>
        <v>110689</v>
      </c>
      <c r="V16" s="565">
        <f>V12*'Cracker Yields'!$H$3+'Cracker Yields'!$I$3*'Financial Model (84 Months)'!V13+'Financial Model (84 Months)'!V14*'Cracker Yields'!$J$3+'Cracker Yields'!$K$3*'Financial Model (84 Months)'!V15</f>
        <v>110689</v>
      </c>
      <c r="W16" s="460">
        <f>W12*'Cracker Yields'!$H$3+'Cracker Yields'!$I$3*'Financial Model (84 Months)'!W13+'Financial Model (84 Months)'!W14*'Cracker Yields'!$J$3+'Cracker Yields'!$K$3*'Financial Model (84 Months)'!W15</f>
        <v>110689</v>
      </c>
      <c r="X16" s="565">
        <f>X12*'Cracker Yields'!$H$3+'Cracker Yields'!$I$3*'Financial Model (84 Months)'!X13+'Financial Model (84 Months)'!X14*'Cracker Yields'!$J$3+'Cracker Yields'!$K$3*'Financial Model (84 Months)'!X15</f>
        <v>110689</v>
      </c>
      <c r="Y16" s="460">
        <f>Y12*'Cracker Yields'!$H$3+'Cracker Yields'!$I$3*'Financial Model (84 Months)'!Y13+'Financial Model (84 Months)'!Y14*'Cracker Yields'!$J$3+'Cracker Yields'!$K$3*'Financial Model (84 Months)'!Y15</f>
        <v>110689</v>
      </c>
      <c r="Z16" s="565">
        <f>Z12*'Cracker Yields'!$H$3+'Cracker Yields'!$I$3*'Financial Model (84 Months)'!Z13+'Financial Model (84 Months)'!Z14*'Cracker Yields'!$J$3+'Cracker Yields'!$K$3*'Financial Model (84 Months)'!Z15</f>
        <v>110689</v>
      </c>
      <c r="AA16" s="460">
        <f>AA12*'Cracker Yields'!$H$3+'Cracker Yields'!$I$3*'Financial Model (84 Months)'!AA13+'Financial Model (84 Months)'!AA14*'Cracker Yields'!$J$3+'Cracker Yields'!$K$3*'Financial Model (84 Months)'!AA15</f>
        <v>110689</v>
      </c>
      <c r="AB16" s="565">
        <f>AB12*'Cracker Yields'!$H$3+'Cracker Yields'!$I$3*'Financial Model (84 Months)'!AB13+'Financial Model (84 Months)'!AB14*'Cracker Yields'!$J$3+'Cracker Yields'!$K$3*'Financial Model (84 Months)'!AB15</f>
        <v>110689</v>
      </c>
      <c r="AC16" s="460">
        <f>AC12*'Cracker Yields'!$H$3+'Cracker Yields'!$I$3*'Financial Model (84 Months)'!AC13+'Financial Model (84 Months)'!AC14*'Cracker Yields'!$J$3+'Cracker Yields'!$K$3*'Financial Model (84 Months)'!AC15</f>
        <v>110689</v>
      </c>
      <c r="AD16" s="565">
        <f>AD12*'Cracker Yields'!$H$3+'Cracker Yields'!$I$3*'Financial Model (84 Months)'!AD13+'Financial Model (84 Months)'!AD14*'Cracker Yields'!$J$3+'Cracker Yields'!$K$3*'Financial Model (84 Months)'!AD15</f>
        <v>110689</v>
      </c>
      <c r="AE16" s="460">
        <f>AE12*'Cracker Yields'!$H$3+'Cracker Yields'!$I$3*'Financial Model (84 Months)'!AE13+'Financial Model (84 Months)'!AE14*'Cracker Yields'!$J$3+'Cracker Yields'!$K$3*'Financial Model (84 Months)'!AE15</f>
        <v>110689</v>
      </c>
      <c r="AF16" s="565">
        <f>AF12*'Cracker Yields'!$H$3+'Cracker Yields'!$I$3*'Financial Model (84 Months)'!AF13+'Financial Model (84 Months)'!AF14*'Cracker Yields'!$J$3+'Cracker Yields'!$K$3*'Financial Model (84 Months)'!AF15</f>
        <v>110689</v>
      </c>
      <c r="AG16" s="460">
        <f>AG12*'Cracker Yields'!$H$3+'Cracker Yields'!$I$3*'Financial Model (84 Months)'!AG13+'Financial Model (84 Months)'!AG14*'Cracker Yields'!$J$3+'Cracker Yields'!$K$3*'Financial Model (84 Months)'!AG15</f>
        <v>110689</v>
      </c>
      <c r="AH16" s="565">
        <f>AH12*'Cracker Yields'!$H$3+'Cracker Yields'!$I$3*'Financial Model (84 Months)'!AH13+'Financial Model (84 Months)'!AH14*'Cracker Yields'!$J$3+'Cracker Yields'!$K$3*'Financial Model (84 Months)'!AH15</f>
        <v>110689</v>
      </c>
      <c r="AI16" s="460">
        <f>AI12*'Cracker Yields'!$H$3+'Cracker Yields'!$I$3*'Financial Model (84 Months)'!AI13+'Financial Model (84 Months)'!AI14*'Cracker Yields'!$J$3+'Cracker Yields'!$K$3*'Financial Model (84 Months)'!AI15</f>
        <v>110689</v>
      </c>
      <c r="AJ16" s="565">
        <f>AJ12*'Cracker Yields'!$H$3+'Cracker Yields'!$I$3*'Financial Model (84 Months)'!AJ13+'Financial Model (84 Months)'!AJ14*'Cracker Yields'!$J$3+'Cracker Yields'!$K$3*'Financial Model (84 Months)'!AJ15</f>
        <v>110689</v>
      </c>
      <c r="AK16" s="460">
        <f>AK12*'Cracker Yields'!$H$3+'Cracker Yields'!$I$3*'Financial Model (84 Months)'!AK13+'Financial Model (84 Months)'!AK14*'Cracker Yields'!$J$3+'Cracker Yields'!$K$3*'Financial Model (84 Months)'!AK15</f>
        <v>110689</v>
      </c>
      <c r="AL16" s="565">
        <f>AL12*'Cracker Yields'!$H$3+'Cracker Yields'!$I$3*'Financial Model (84 Months)'!AL13+'Financial Model (84 Months)'!AL14*'Cracker Yields'!$J$3+'Cracker Yields'!$K$3*'Financial Model (84 Months)'!AL15</f>
        <v>110689</v>
      </c>
      <c r="AM16" s="460">
        <f>AM12*'Cracker Yields'!$H$3+'Cracker Yields'!$I$3*'Financial Model (84 Months)'!AM13+'Financial Model (84 Months)'!AM14*'Cracker Yields'!$J$3+'Cracker Yields'!$K$3*'Financial Model (84 Months)'!AM15</f>
        <v>110689</v>
      </c>
      <c r="AN16" s="565">
        <f>AN12*'Cracker Yields'!$H$3+'Cracker Yields'!$I$3*'Financial Model (84 Months)'!AN13+'Financial Model (84 Months)'!AN14*'Cracker Yields'!$J$3+'Cracker Yields'!$K$3*'Financial Model (84 Months)'!AN15</f>
        <v>110689</v>
      </c>
      <c r="AO16" s="460">
        <f>AO12*'Cracker Yields'!$H$3+'Cracker Yields'!$I$3*'Financial Model (84 Months)'!AO13+'Financial Model (84 Months)'!AO14*'Cracker Yields'!$J$3+'Cracker Yields'!$K$3*'Financial Model (84 Months)'!AO15</f>
        <v>110689</v>
      </c>
      <c r="AP16" s="565">
        <f>AP12*'Cracker Yields'!$H$3+'Cracker Yields'!$I$3*'Financial Model (84 Months)'!AP13+'Financial Model (84 Months)'!AP14*'Cracker Yields'!$J$3+'Cracker Yields'!$K$3*'Financial Model (84 Months)'!AP15</f>
        <v>110689</v>
      </c>
      <c r="AQ16" s="460">
        <f>AQ12*'Cracker Yields'!$H$3+'Cracker Yields'!$I$3*'Financial Model (84 Months)'!AQ13+'Financial Model (84 Months)'!AQ14*'Cracker Yields'!$J$3+'Cracker Yields'!$K$3*'Financial Model (84 Months)'!AQ15</f>
        <v>110689</v>
      </c>
      <c r="AR16" s="565">
        <f>AR12*'Cracker Yields'!$H$3+'Cracker Yields'!$I$3*'Financial Model (84 Months)'!AR13+'Financial Model (84 Months)'!AR14*'Cracker Yields'!$J$3+'Cracker Yields'!$K$3*'Financial Model (84 Months)'!AR15</f>
        <v>110689</v>
      </c>
      <c r="AS16" s="460">
        <f>AS12*'Cracker Yields'!$H$3+'Cracker Yields'!$I$3*'Financial Model (84 Months)'!AS13+'Financial Model (84 Months)'!AS14*'Cracker Yields'!$J$3+'Cracker Yields'!$K$3*'Financial Model (84 Months)'!AS15</f>
        <v>110689</v>
      </c>
      <c r="AT16" s="565">
        <f>AT12*'Cracker Yields'!$H$3+'Cracker Yields'!$I$3*'Financial Model (84 Months)'!AT13+'Financial Model (84 Months)'!AT14*'Cracker Yields'!$J$3+'Cracker Yields'!$K$3*'Financial Model (84 Months)'!AT15</f>
        <v>110689</v>
      </c>
      <c r="AU16" s="460">
        <f>AU12*'Cracker Yields'!$H$3+'Cracker Yields'!$I$3*'Financial Model (84 Months)'!AU13+'Financial Model (84 Months)'!AU14*'Cracker Yields'!$J$3+'Cracker Yields'!$K$3*'Financial Model (84 Months)'!AU15</f>
        <v>110689</v>
      </c>
      <c r="AV16" s="460">
        <f>AV12*'Cracker Yields'!$H$3+'Cracker Yields'!$I$3*'Financial Model (84 Months)'!AV13+'Financial Model (84 Months)'!AV14*'Cracker Yields'!$J$3+'Cracker Yields'!$K$3*'Financial Model (84 Months)'!AV15</f>
        <v>110689</v>
      </c>
      <c r="AW16" s="460">
        <f>AW12*'Cracker Yields'!$H$3+'Cracker Yields'!$I$3*'Financial Model (84 Months)'!AW13+'Financial Model (84 Months)'!AW14*'Cracker Yields'!$J$3+'Cracker Yields'!$K$3*'Financial Model (84 Months)'!AW15</f>
        <v>110689</v>
      </c>
      <c r="AX16" s="460">
        <f>AX12*'Cracker Yields'!$H$3+'Cracker Yields'!$I$3*'Financial Model (84 Months)'!AX13+'Financial Model (84 Months)'!AX14*'Cracker Yields'!$J$3+'Cracker Yields'!$K$3*'Financial Model (84 Months)'!AX15</f>
        <v>110689</v>
      </c>
      <c r="AY16" s="460">
        <f>AY12*'Cracker Yields'!$H$3+'Cracker Yields'!$I$3*'Financial Model (84 Months)'!AY13+'Financial Model (84 Months)'!AY14*'Cracker Yields'!$J$3+'Cracker Yields'!$K$3*'Financial Model (84 Months)'!AY15</f>
        <v>110689</v>
      </c>
      <c r="AZ16" s="460">
        <f>AZ12*'Cracker Yields'!$H$3+'Cracker Yields'!$I$3*'Financial Model (84 Months)'!AZ13+'Financial Model (84 Months)'!AZ14*'Cracker Yields'!$J$3+'Cracker Yields'!$K$3*'Financial Model (84 Months)'!AZ15</f>
        <v>110689</v>
      </c>
      <c r="BA16" s="460">
        <f>BA12*'Cracker Yields'!$H$3+'Cracker Yields'!$I$3*'Financial Model (84 Months)'!BA13+'Financial Model (84 Months)'!BA14*'Cracker Yields'!$J$3+'Cracker Yields'!$K$3*'Financial Model (84 Months)'!BA15</f>
        <v>110689</v>
      </c>
      <c r="BB16" s="460">
        <f>BB12*'Cracker Yields'!$H$3+'Cracker Yields'!$I$3*'Financial Model (84 Months)'!BB13+'Financial Model (84 Months)'!BB14*'Cracker Yields'!$J$3+'Cracker Yields'!$K$3*'Financial Model (84 Months)'!BB15</f>
        <v>110689</v>
      </c>
      <c r="BC16" s="460">
        <f>BC12*'Cracker Yields'!$H$3+'Cracker Yields'!$I$3*'Financial Model (84 Months)'!BC13+'Financial Model (84 Months)'!BC14*'Cracker Yields'!$J$3+'Cracker Yields'!$K$3*'Financial Model (84 Months)'!BC15</f>
        <v>110689</v>
      </c>
      <c r="BD16" s="460">
        <f>BD12*'Cracker Yields'!$H$3+'Cracker Yields'!$I$3*'Financial Model (84 Months)'!BD13+'Financial Model (84 Months)'!BD14*'Cracker Yields'!$J$3+'Cracker Yields'!$K$3*'Financial Model (84 Months)'!BD15</f>
        <v>110689</v>
      </c>
      <c r="BE16" s="460">
        <f>BE12*'Cracker Yields'!$H$3+'Cracker Yields'!$I$3*'Financial Model (84 Months)'!BE13+'Financial Model (84 Months)'!BE14*'Cracker Yields'!$J$3+'Cracker Yields'!$K$3*'Financial Model (84 Months)'!BE15</f>
        <v>110689</v>
      </c>
      <c r="BF16" s="460">
        <f>BF12*'Cracker Yields'!$H$3+'Cracker Yields'!$I$3*'Financial Model (84 Months)'!BF13+'Financial Model (84 Months)'!BF14*'Cracker Yields'!$J$3+'Cracker Yields'!$K$3*'Financial Model (84 Months)'!BF15</f>
        <v>110689</v>
      </c>
      <c r="BG16" s="460">
        <f>BG12*'Cracker Yields'!$H$3+'Cracker Yields'!$I$3*'Financial Model (84 Months)'!BG13+'Financial Model (84 Months)'!BG14*'Cracker Yields'!$J$3+'Cracker Yields'!$K$3*'Financial Model (84 Months)'!BG15</f>
        <v>110689</v>
      </c>
      <c r="BH16" s="460">
        <f>BH12*'Cracker Yields'!$H$3+'Cracker Yields'!$I$3*'Financial Model (84 Months)'!BH13+'Financial Model (84 Months)'!BH14*'Cracker Yields'!$J$3+'Cracker Yields'!$K$3*'Financial Model (84 Months)'!BH15</f>
        <v>110689</v>
      </c>
      <c r="BI16" s="460">
        <f>BI12*'Cracker Yields'!$H$3+'Cracker Yields'!$I$3*'Financial Model (84 Months)'!BI13+'Financial Model (84 Months)'!BI14*'Cracker Yields'!$J$3+'Cracker Yields'!$K$3*'Financial Model (84 Months)'!BI15</f>
        <v>110689</v>
      </c>
      <c r="BJ16" s="460">
        <f>BJ12*'Cracker Yields'!$H$3+'Cracker Yields'!$I$3*'Financial Model (84 Months)'!BJ13+'Financial Model (84 Months)'!BJ14*'Cracker Yields'!$J$3+'Cracker Yields'!$K$3*'Financial Model (84 Months)'!BJ15</f>
        <v>110689</v>
      </c>
      <c r="BK16" s="460">
        <f>BK12*'Cracker Yields'!$H$3+'Cracker Yields'!$I$3*'Financial Model (84 Months)'!BK13+'Financial Model (84 Months)'!BK14*'Cracker Yields'!$J$3+'Cracker Yields'!$K$3*'Financial Model (84 Months)'!BK15</f>
        <v>110689</v>
      </c>
      <c r="BL16" s="460">
        <f>BL12*'Cracker Yields'!$H$3+'Cracker Yields'!$I$3*'Financial Model (84 Months)'!BL13+'Financial Model (84 Months)'!BL14*'Cracker Yields'!$J$3+'Cracker Yields'!$K$3*'Financial Model (84 Months)'!BL15</f>
        <v>110689</v>
      </c>
      <c r="BM16" s="460">
        <f>BM12*'Cracker Yields'!$H$3+'Cracker Yields'!$I$3*'Financial Model (84 Months)'!BM13+'Financial Model (84 Months)'!BM14*'Cracker Yields'!$J$3+'Cracker Yields'!$K$3*'Financial Model (84 Months)'!BM15</f>
        <v>110689</v>
      </c>
      <c r="BN16" s="460">
        <f>BN12*'Cracker Yields'!$H$3+'Cracker Yields'!$I$3*'Financial Model (84 Months)'!BN13+'Financial Model (84 Months)'!BN14*'Cracker Yields'!$J$3+'Cracker Yields'!$K$3*'Financial Model (84 Months)'!BN15</f>
        <v>110689</v>
      </c>
      <c r="BO16" s="460">
        <f>BO12*'Cracker Yields'!$H$3+'Cracker Yields'!$I$3*'Financial Model (84 Months)'!BO13+'Financial Model (84 Months)'!BO14*'Cracker Yields'!$J$3+'Cracker Yields'!$K$3*'Financial Model (84 Months)'!BO15</f>
        <v>110689</v>
      </c>
      <c r="BP16" s="460">
        <f>BP12*'Cracker Yields'!$H$3+'Cracker Yields'!$I$3*'Financial Model (84 Months)'!BP13+'Financial Model (84 Months)'!BP14*'Cracker Yields'!$J$3+'Cracker Yields'!$K$3*'Financial Model (84 Months)'!BP15</f>
        <v>110689</v>
      </c>
      <c r="BQ16" s="460">
        <f>BQ12*'Cracker Yields'!$H$3+'Cracker Yields'!$I$3*'Financial Model (84 Months)'!BQ13+'Financial Model (84 Months)'!BQ14*'Cracker Yields'!$J$3+'Cracker Yields'!$K$3*'Financial Model (84 Months)'!BQ15</f>
        <v>110689</v>
      </c>
      <c r="BR16" s="460">
        <f>BR12*'Cracker Yields'!$H$3+'Cracker Yields'!$I$3*'Financial Model (84 Months)'!BR13+'Financial Model (84 Months)'!BR14*'Cracker Yields'!$J$3+'Cracker Yields'!$K$3*'Financial Model (84 Months)'!BR15</f>
        <v>110689</v>
      </c>
      <c r="BS16" s="460">
        <f>BS12*'Cracker Yields'!$H$3+'Cracker Yields'!$I$3*'Financial Model (84 Months)'!BS13+'Financial Model (84 Months)'!BS14*'Cracker Yields'!$J$3+'Cracker Yields'!$K$3*'Financial Model (84 Months)'!BS15</f>
        <v>110689</v>
      </c>
      <c r="BT16" s="460">
        <f>BT12*'Cracker Yields'!$H$3+'Cracker Yields'!$I$3*'Financial Model (84 Months)'!BT13+'Financial Model (84 Months)'!BT14*'Cracker Yields'!$J$3+'Cracker Yields'!$K$3*'Financial Model (84 Months)'!BT15</f>
        <v>110689</v>
      </c>
      <c r="BU16" s="460">
        <f>BU12*'Cracker Yields'!$H$3+'Cracker Yields'!$I$3*'Financial Model (84 Months)'!BU13+'Financial Model (84 Months)'!BU14*'Cracker Yields'!$J$3+'Cracker Yields'!$K$3*'Financial Model (84 Months)'!BU15</f>
        <v>110689</v>
      </c>
      <c r="BV16" s="460">
        <f>BV12*'Cracker Yields'!$H$3+'Cracker Yields'!$I$3*'Financial Model (84 Months)'!BV13+'Financial Model (84 Months)'!BV14*'Cracker Yields'!$J$3+'Cracker Yields'!$K$3*'Financial Model (84 Months)'!BV15</f>
        <v>110689</v>
      </c>
      <c r="BW16" s="460">
        <f>BW12*'Cracker Yields'!$H$3+'Cracker Yields'!$I$3*'Financial Model (84 Months)'!BW13+'Financial Model (84 Months)'!BW14*'Cracker Yields'!$J$3+'Cracker Yields'!$K$3*'Financial Model (84 Months)'!BW15</f>
        <v>110689</v>
      </c>
      <c r="BX16" s="460">
        <f>BX12*'Cracker Yields'!$H$3+'Cracker Yields'!$I$3*'Financial Model (84 Months)'!BX13+'Financial Model (84 Months)'!BX14*'Cracker Yields'!$J$3+'Cracker Yields'!$K$3*'Financial Model (84 Months)'!BX15</f>
        <v>110689</v>
      </c>
      <c r="BY16" s="460">
        <f>BY12*'Cracker Yields'!$H$3+'Cracker Yields'!$I$3*'Financial Model (84 Months)'!BY13+'Financial Model (84 Months)'!BY14*'Cracker Yields'!$J$3+'Cracker Yields'!$K$3*'Financial Model (84 Months)'!BY15</f>
        <v>110689</v>
      </c>
      <c r="BZ16" s="460">
        <f>BZ12*'Cracker Yields'!$H$3+'Cracker Yields'!$I$3*'Financial Model (84 Months)'!BZ13+'Financial Model (84 Months)'!BZ14*'Cracker Yields'!$J$3+'Cracker Yields'!$K$3*'Financial Model (84 Months)'!BZ15</f>
        <v>110689</v>
      </c>
      <c r="CA16" s="460">
        <f>CA12*'Cracker Yields'!$H$3+'Cracker Yields'!$I$3*'Financial Model (84 Months)'!CA13+'Financial Model (84 Months)'!CA14*'Cracker Yields'!$J$3+'Cracker Yields'!$K$3*'Financial Model (84 Months)'!CA15</f>
        <v>110689</v>
      </c>
      <c r="CB16" s="460">
        <f>CB12*'Cracker Yields'!$H$3+'Cracker Yields'!$I$3*'Financial Model (84 Months)'!CB13+'Financial Model (84 Months)'!CB14*'Cracker Yields'!$J$3+'Cracker Yields'!$K$3*'Financial Model (84 Months)'!CB15</f>
        <v>110689</v>
      </c>
      <c r="CC16" s="460">
        <f>CC12*'Cracker Yields'!$H$3+'Cracker Yields'!$I$3*'Financial Model (84 Months)'!CC13+'Financial Model (84 Months)'!CC14*'Cracker Yields'!$J$3+'Cracker Yields'!$K$3*'Financial Model (84 Months)'!CC15</f>
        <v>110689</v>
      </c>
      <c r="CD16" s="460">
        <f>CD12*'Cracker Yields'!$H$3+'Cracker Yields'!$I$3*'Financial Model (84 Months)'!CD13+'Financial Model (84 Months)'!CD14*'Cracker Yields'!$J$3+'Cracker Yields'!$K$3*'Financial Model (84 Months)'!CD15</f>
        <v>110689</v>
      </c>
      <c r="CE16" s="460">
        <f>CE12*'Cracker Yields'!$H$3+'Cracker Yields'!$I$3*'Financial Model (84 Months)'!CE13+'Financial Model (84 Months)'!CE14*'Cracker Yields'!$J$3+'Cracker Yields'!$K$3*'Financial Model (84 Months)'!CE15</f>
        <v>110689</v>
      </c>
      <c r="CF16" s="460">
        <f>CF12*'Cracker Yields'!$H$3+'Cracker Yields'!$I$3*'Financial Model (84 Months)'!CF13+'Financial Model (84 Months)'!CF14*'Cracker Yields'!$J$3+'Cracker Yields'!$K$3*'Financial Model (84 Months)'!CF15</f>
        <v>110689</v>
      </c>
      <c r="CG16" s="460">
        <f>CG12*'Cracker Yields'!$H$3+'Cracker Yields'!$I$3*'Financial Model (84 Months)'!CG13+'Financial Model (84 Months)'!CG14*'Cracker Yields'!$J$3+'Cracker Yields'!$K$3*'Financial Model (84 Months)'!CG15</f>
        <v>110689</v>
      </c>
      <c r="CH16" s="460">
        <f>CH12*'Cracker Yields'!$H$3+'Cracker Yields'!$I$3*'Financial Model (84 Months)'!CH13+'Financial Model (84 Months)'!CH14*'Cracker Yields'!$J$3+'Cracker Yields'!$K$3*'Financial Model (84 Months)'!CH15</f>
        <v>110689</v>
      </c>
      <c r="CI16" s="460">
        <f>CI12*'Cracker Yields'!$H$3+'Cracker Yields'!$I$3*'Financial Model (84 Months)'!CI13+'Financial Model (84 Months)'!CI14*'Cracker Yields'!$J$3+'Cracker Yields'!$K$3*'Financial Model (84 Months)'!CI15</f>
        <v>110689</v>
      </c>
      <c r="CJ16" s="460">
        <f>CJ12*'Cracker Yields'!$H$3+'Cracker Yields'!$I$3*'Financial Model (84 Months)'!CJ13+'Financial Model (84 Months)'!CJ14*'Cracker Yields'!$J$3+'Cracker Yields'!$K$3*'Financial Model (84 Months)'!CJ15</f>
        <v>110689</v>
      </c>
      <c r="CK16" s="460">
        <f>CK12*'Cracker Yields'!$H$3+'Cracker Yields'!$I$3*'Financial Model (84 Months)'!CK13+'Financial Model (84 Months)'!CK14*'Cracker Yields'!$J$3+'Cracker Yields'!$K$3*'Financial Model (84 Months)'!CK15</f>
        <v>110689</v>
      </c>
      <c r="CL16" s="461">
        <f>CL12*'Cracker Yields'!$H$3+'Cracker Yields'!$I$3*'Financial Model (84 Months)'!CL13+'Financial Model (84 Months)'!CL14*'Cracker Yields'!$J$3+'Cracker Yields'!$K$3*'Financial Model (84 Months)'!CL15</f>
        <v>110689</v>
      </c>
      <c r="CM16" s="375">
        <f t="shared" si="0"/>
        <v>110689</v>
      </c>
      <c r="CN16" s="435"/>
      <c r="CO16" s="435"/>
      <c r="CP16" s="435"/>
      <c r="CQ16" s="435"/>
      <c r="CR16" s="435"/>
      <c r="CS16" s="435"/>
      <c r="CT16" s="435"/>
      <c r="CU16" s="435"/>
      <c r="CV16" s="435"/>
      <c r="CW16" s="435"/>
      <c r="CX16" s="435"/>
      <c r="CY16" s="435"/>
      <c r="CZ16" s="435"/>
      <c r="DA16" s="435"/>
      <c r="DB16" s="435"/>
      <c r="DC16" s="435"/>
      <c r="DD16" s="435"/>
      <c r="DE16" s="435"/>
      <c r="DF16" s="435"/>
      <c r="DG16" s="435"/>
      <c r="DH16" s="435"/>
      <c r="DI16" s="435"/>
      <c r="DJ16" s="435"/>
      <c r="DK16" s="435"/>
      <c r="DL16" s="435"/>
      <c r="DM16" s="435"/>
      <c r="DN16" s="435"/>
      <c r="DO16" s="435"/>
      <c r="DP16" s="435"/>
      <c r="DQ16" s="435"/>
      <c r="DR16" s="435"/>
      <c r="DS16" s="435"/>
      <c r="DT16" s="435"/>
      <c r="DU16" s="435"/>
      <c r="DV16" s="435"/>
      <c r="DW16" s="435"/>
      <c r="DX16" s="435"/>
      <c r="DY16" s="435"/>
      <c r="DZ16" s="435"/>
      <c r="EA16" s="435"/>
      <c r="EB16" s="435"/>
      <c r="EC16" s="435"/>
      <c r="ED16" s="435"/>
      <c r="EE16" s="435"/>
      <c r="EF16" s="435"/>
      <c r="EG16" s="435"/>
      <c r="EH16" s="435"/>
      <c r="EI16" s="435"/>
      <c r="EJ16" s="435"/>
      <c r="EK16" s="435"/>
      <c r="EL16" s="435"/>
      <c r="EM16" s="435"/>
      <c r="EN16" s="435"/>
      <c r="EO16" s="435"/>
      <c r="EP16" s="435"/>
      <c r="EQ16" s="435"/>
      <c r="ER16" s="435"/>
      <c r="ES16" s="435"/>
      <c r="ET16" s="435"/>
      <c r="EU16" s="435"/>
      <c r="EV16" s="435"/>
      <c r="EW16" s="435"/>
      <c r="EX16" s="435"/>
      <c r="EY16" s="435"/>
      <c r="EZ16" s="435"/>
      <c r="FA16" s="435"/>
      <c r="FB16" s="435"/>
      <c r="FC16" s="435"/>
      <c r="FD16" s="435"/>
      <c r="FE16" s="435"/>
      <c r="FF16" s="435"/>
      <c r="FG16" s="435"/>
      <c r="FH16" s="435"/>
      <c r="FI16" s="435"/>
      <c r="FJ16" s="435"/>
      <c r="FK16" s="435"/>
      <c r="FL16" s="435"/>
      <c r="FM16" s="435"/>
      <c r="FN16" s="435"/>
      <c r="FO16" s="435"/>
      <c r="FP16" s="435"/>
      <c r="FQ16" s="435"/>
      <c r="FR16" s="435"/>
      <c r="FS16" s="435"/>
      <c r="FT16" s="435"/>
      <c r="FU16" s="435"/>
      <c r="FV16" s="435"/>
    </row>
    <row r="17" spans="1:178">
      <c r="A17" s="1386"/>
      <c r="B17" s="377" t="s">
        <v>403</v>
      </c>
      <c r="C17" s="378" t="s">
        <v>402</v>
      </c>
      <c r="D17" s="378"/>
      <c r="E17" s="1380"/>
      <c r="F17" s="462" t="s">
        <v>2</v>
      </c>
      <c r="G17" s="460">
        <f>G12*'Cracker Yields'!$H$4+'Cracker Yields'!$I$4*'Financial Model (84 Months)'!G13+'Financial Model (84 Months)'!G14*'Cracker Yields'!$J$4+'Cracker Yields'!$K$4*'Financial Model (84 Months)'!G15</f>
        <v>47206.166666666664</v>
      </c>
      <c r="H17" s="460">
        <f>H12*'Cracker Yields'!$H$4+'Cracker Yields'!$I$4*'Financial Model (84 Months)'!H13+'Financial Model (84 Months)'!H14*'Cracker Yields'!$J$4+'Cracker Yields'!$K$4*'Financial Model (84 Months)'!H15</f>
        <v>47206.166666666664</v>
      </c>
      <c r="I17" s="460">
        <f>I12*'Cracker Yields'!$H$4+'Cracker Yields'!$I$4*'Financial Model (84 Months)'!I13+'Financial Model (84 Months)'!I14*'Cracker Yields'!$J$4+'Cracker Yields'!$K$4*'Financial Model (84 Months)'!I15</f>
        <v>47206.166666666664</v>
      </c>
      <c r="J17" s="460">
        <f>J12*'Cracker Yields'!$H$4+'Cracker Yields'!$I$4*'Financial Model (84 Months)'!J13+'Financial Model (84 Months)'!J14*'Cracker Yields'!$J$4+'Cracker Yields'!$K$4*'Financial Model (84 Months)'!J15</f>
        <v>47206.166666666664</v>
      </c>
      <c r="K17" s="460">
        <f>K12*'Cracker Yields'!$H$4+'Cracker Yields'!$I$4*'Financial Model (84 Months)'!K13+'Financial Model (84 Months)'!K14*'Cracker Yields'!$J$4+'Cracker Yields'!$K$4*'Financial Model (84 Months)'!K15</f>
        <v>47206.166666666664</v>
      </c>
      <c r="L17" s="460">
        <f>L12*'Cracker Yields'!$H$4+'Cracker Yields'!$I$4*'Financial Model (84 Months)'!L13+'Financial Model (84 Months)'!L14*'Cracker Yields'!$J$4+'Cracker Yields'!$K$4*'Financial Model (84 Months)'!L15</f>
        <v>47206.166666666664</v>
      </c>
      <c r="M17" s="460">
        <f>M12*'Cracker Yields'!$H$4+'Cracker Yields'!$I$4*'Financial Model (84 Months)'!M13+'Financial Model (84 Months)'!M14*'Cracker Yields'!$J$4+'Cracker Yields'!$K$4*'Financial Model (84 Months)'!M15</f>
        <v>47206.166666666664</v>
      </c>
      <c r="N17" s="460">
        <f>N12*'Cracker Yields'!$H$4+'Cracker Yields'!$I$4*'Financial Model (84 Months)'!N13+'Financial Model (84 Months)'!N14*'Cracker Yields'!$J$4+'Cracker Yields'!$K$4*'Financial Model (84 Months)'!N15</f>
        <v>47206.166666666664</v>
      </c>
      <c r="O17" s="460">
        <f>O12*'Cracker Yields'!$H$4+'Cracker Yields'!$I$4*'Financial Model (84 Months)'!O13+'Financial Model (84 Months)'!O14*'Cracker Yields'!$J$4+'Cracker Yields'!$K$4*'Financial Model (84 Months)'!O15</f>
        <v>47206.166666666664</v>
      </c>
      <c r="P17" s="460">
        <f>P12*'Cracker Yields'!$H$4+'Cracker Yields'!$I$4*'Financial Model (84 Months)'!P13+'Financial Model (84 Months)'!P14*'Cracker Yields'!$J$4+'Cracker Yields'!$K$4*'Financial Model (84 Months)'!P15</f>
        <v>47206.166666666664</v>
      </c>
      <c r="Q17" s="460">
        <f>Q12*'Cracker Yields'!$H$4+'Cracker Yields'!$I$4*'Financial Model (84 Months)'!Q13+'Financial Model (84 Months)'!Q14*'Cracker Yields'!$J$4+'Cracker Yields'!$K$4*'Financial Model (84 Months)'!Q15</f>
        <v>47206.166666666664</v>
      </c>
      <c r="R17" s="460">
        <f>R12*'Cracker Yields'!$H$4+'Cracker Yields'!$I$4*'Financial Model (84 Months)'!R13+'Financial Model (84 Months)'!R14*'Cracker Yields'!$J$4+'Cracker Yields'!$K$4*'Financial Model (84 Months)'!R15</f>
        <v>47206.166666666664</v>
      </c>
      <c r="S17" s="460">
        <f>S12*'Cracker Yields'!$H$4+'Cracker Yields'!$I$4*'Financial Model (84 Months)'!S13+'Financial Model (84 Months)'!S14*'Cracker Yields'!$J$4+'Cracker Yields'!$K$4*'Financial Model (84 Months)'!S15</f>
        <v>47206.166666666664</v>
      </c>
      <c r="T17" s="460">
        <f>T12*'Cracker Yields'!$H$4+'Cracker Yields'!$I$4*'Financial Model (84 Months)'!T13+'Financial Model (84 Months)'!T14*'Cracker Yields'!$J$4+'Cracker Yields'!$K$4*'Financial Model (84 Months)'!T15</f>
        <v>47206.166666666664</v>
      </c>
      <c r="U17" s="460">
        <f>U12*'Cracker Yields'!$H$4+'Cracker Yields'!$I$4*'Financial Model (84 Months)'!U13+'Financial Model (84 Months)'!U14*'Cracker Yields'!$J$4+'Cracker Yields'!$K$4*'Financial Model (84 Months)'!U15</f>
        <v>47206.166666666664</v>
      </c>
      <c r="V17" s="460">
        <f>V12*'Cracker Yields'!$H$4+'Cracker Yields'!$I$4*'Financial Model (84 Months)'!V13+'Financial Model (84 Months)'!V14*'Cracker Yields'!$J$4+'Cracker Yields'!$K$4*'Financial Model (84 Months)'!V15</f>
        <v>47206.166666666664</v>
      </c>
      <c r="W17" s="460">
        <f>W12*'Cracker Yields'!$H$4+'Cracker Yields'!$I$4*'Financial Model (84 Months)'!W13+'Financial Model (84 Months)'!W14*'Cracker Yields'!$J$4+'Cracker Yields'!$K$4*'Financial Model (84 Months)'!W15</f>
        <v>47206.166666666664</v>
      </c>
      <c r="X17" s="460">
        <f>X12*'Cracker Yields'!$H$4+'Cracker Yields'!$I$4*'Financial Model (84 Months)'!X13+'Financial Model (84 Months)'!X14*'Cracker Yields'!$J$4+'Cracker Yields'!$K$4*'Financial Model (84 Months)'!X15</f>
        <v>47206.166666666664</v>
      </c>
      <c r="Y17" s="460">
        <f>Y12*'Cracker Yields'!$H$4+'Cracker Yields'!$I$4*'Financial Model (84 Months)'!Y13+'Financial Model (84 Months)'!Y14*'Cracker Yields'!$J$4+'Cracker Yields'!$K$4*'Financial Model (84 Months)'!Y15</f>
        <v>47206.166666666664</v>
      </c>
      <c r="Z17" s="460">
        <f>Z12*'Cracker Yields'!$H$4+'Cracker Yields'!$I$4*'Financial Model (84 Months)'!Z13+'Financial Model (84 Months)'!Z14*'Cracker Yields'!$J$4+'Cracker Yields'!$K$4*'Financial Model (84 Months)'!Z15</f>
        <v>47206.166666666664</v>
      </c>
      <c r="AA17" s="460">
        <f>AA12*'Cracker Yields'!$H$4+'Cracker Yields'!$I$4*'Financial Model (84 Months)'!AA13+'Financial Model (84 Months)'!AA14*'Cracker Yields'!$J$4+'Cracker Yields'!$K$4*'Financial Model (84 Months)'!AA15</f>
        <v>47206.166666666664</v>
      </c>
      <c r="AB17" s="460">
        <f>AB12*'Cracker Yields'!$H$4+'Cracker Yields'!$I$4*'Financial Model (84 Months)'!AB13+'Financial Model (84 Months)'!AB14*'Cracker Yields'!$J$4+'Cracker Yields'!$K$4*'Financial Model (84 Months)'!AB15</f>
        <v>47206.166666666664</v>
      </c>
      <c r="AC17" s="460">
        <f>AC12*'Cracker Yields'!$H$4+'Cracker Yields'!$I$4*'Financial Model (84 Months)'!AC13+'Financial Model (84 Months)'!AC14*'Cracker Yields'!$J$4+'Cracker Yields'!$K$4*'Financial Model (84 Months)'!AC15</f>
        <v>47206.166666666664</v>
      </c>
      <c r="AD17" s="460">
        <f>AD12*'Cracker Yields'!$H$4+'Cracker Yields'!$I$4*'Financial Model (84 Months)'!AD13+'Financial Model (84 Months)'!AD14*'Cracker Yields'!$J$4+'Cracker Yields'!$K$4*'Financial Model (84 Months)'!AD15</f>
        <v>47206.166666666664</v>
      </c>
      <c r="AE17" s="460">
        <f>AE12*'Cracker Yields'!$H$4+'Cracker Yields'!$I$4*'Financial Model (84 Months)'!AE13+'Financial Model (84 Months)'!AE14*'Cracker Yields'!$J$4+'Cracker Yields'!$K$4*'Financial Model (84 Months)'!AE15</f>
        <v>47206.166666666664</v>
      </c>
      <c r="AF17" s="460">
        <f>AF12*'Cracker Yields'!$H$4+'Cracker Yields'!$I$4*'Financial Model (84 Months)'!AF13+'Financial Model (84 Months)'!AF14*'Cracker Yields'!$J$4+'Cracker Yields'!$K$4*'Financial Model (84 Months)'!AF15</f>
        <v>47206.166666666664</v>
      </c>
      <c r="AG17" s="460">
        <f>AG12*'Cracker Yields'!$H$4+'Cracker Yields'!$I$4*'Financial Model (84 Months)'!AG13+'Financial Model (84 Months)'!AG14*'Cracker Yields'!$J$4+'Cracker Yields'!$K$4*'Financial Model (84 Months)'!AG15</f>
        <v>47206.166666666664</v>
      </c>
      <c r="AH17" s="460">
        <f>AH12*'Cracker Yields'!$H$4+'Cracker Yields'!$I$4*'Financial Model (84 Months)'!AH13+'Financial Model (84 Months)'!AH14*'Cracker Yields'!$J$4+'Cracker Yields'!$K$4*'Financial Model (84 Months)'!AH15</f>
        <v>47206.166666666664</v>
      </c>
      <c r="AI17" s="460">
        <f>AI12*'Cracker Yields'!$H$4+'Cracker Yields'!$I$4*'Financial Model (84 Months)'!AI13+'Financial Model (84 Months)'!AI14*'Cracker Yields'!$J$4+'Cracker Yields'!$K$4*'Financial Model (84 Months)'!AI15</f>
        <v>47206.166666666664</v>
      </c>
      <c r="AJ17" s="460">
        <f>AJ12*'Cracker Yields'!$H$4+'Cracker Yields'!$I$4*'Financial Model (84 Months)'!AJ13+'Financial Model (84 Months)'!AJ14*'Cracker Yields'!$J$4+'Cracker Yields'!$K$4*'Financial Model (84 Months)'!AJ15</f>
        <v>47206.166666666664</v>
      </c>
      <c r="AK17" s="460">
        <f>AK12*'Cracker Yields'!$H$4+'Cracker Yields'!$I$4*'Financial Model (84 Months)'!AK13+'Financial Model (84 Months)'!AK14*'Cracker Yields'!$J$4+'Cracker Yields'!$K$4*'Financial Model (84 Months)'!AK15</f>
        <v>47206.166666666664</v>
      </c>
      <c r="AL17" s="460">
        <f>AL12*'Cracker Yields'!$H$4+'Cracker Yields'!$I$4*'Financial Model (84 Months)'!AL13+'Financial Model (84 Months)'!AL14*'Cracker Yields'!$J$4+'Cracker Yields'!$K$4*'Financial Model (84 Months)'!AL15</f>
        <v>47206.166666666664</v>
      </c>
      <c r="AM17" s="460">
        <f>AM12*'Cracker Yields'!$H$4+'Cracker Yields'!$I$4*'Financial Model (84 Months)'!AM13+'Financial Model (84 Months)'!AM14*'Cracker Yields'!$J$4+'Cracker Yields'!$K$4*'Financial Model (84 Months)'!AM15</f>
        <v>47206.166666666664</v>
      </c>
      <c r="AN17" s="460">
        <f>AN12*'Cracker Yields'!$H$4+'Cracker Yields'!$I$4*'Financial Model (84 Months)'!AN13+'Financial Model (84 Months)'!AN14*'Cracker Yields'!$J$4+'Cracker Yields'!$K$4*'Financial Model (84 Months)'!AN15</f>
        <v>47206.166666666664</v>
      </c>
      <c r="AO17" s="460">
        <f>AO12*'Cracker Yields'!$H$4+'Cracker Yields'!$I$4*'Financial Model (84 Months)'!AO13+'Financial Model (84 Months)'!AO14*'Cracker Yields'!$J$4+'Cracker Yields'!$K$4*'Financial Model (84 Months)'!AO15</f>
        <v>47206.166666666664</v>
      </c>
      <c r="AP17" s="460">
        <f>AP12*'Cracker Yields'!$H$4+'Cracker Yields'!$I$4*'Financial Model (84 Months)'!AP13+'Financial Model (84 Months)'!AP14*'Cracker Yields'!$J$4+'Cracker Yields'!$K$4*'Financial Model (84 Months)'!AP15</f>
        <v>47206.166666666664</v>
      </c>
      <c r="AQ17" s="460">
        <f>AQ12*'Cracker Yields'!$H$4+'Cracker Yields'!$I$4*'Financial Model (84 Months)'!AQ13+'Financial Model (84 Months)'!AQ14*'Cracker Yields'!$J$4+'Cracker Yields'!$K$4*'Financial Model (84 Months)'!AQ15</f>
        <v>47206.166666666664</v>
      </c>
      <c r="AR17" s="460">
        <f>AR12*'Cracker Yields'!$H$4+'Cracker Yields'!$I$4*'Financial Model (84 Months)'!AR13+'Financial Model (84 Months)'!AR14*'Cracker Yields'!$J$4+'Cracker Yields'!$K$4*'Financial Model (84 Months)'!AR15</f>
        <v>47206.166666666664</v>
      </c>
      <c r="AS17" s="460">
        <f>AS12*'Cracker Yields'!$H$4+'Cracker Yields'!$I$4*'Financial Model (84 Months)'!AS13+'Financial Model (84 Months)'!AS14*'Cracker Yields'!$J$4+'Cracker Yields'!$K$4*'Financial Model (84 Months)'!AS15</f>
        <v>47206.166666666664</v>
      </c>
      <c r="AT17" s="460">
        <f>AT12*'Cracker Yields'!$H$4+'Cracker Yields'!$I$4*'Financial Model (84 Months)'!AT13+'Financial Model (84 Months)'!AT14*'Cracker Yields'!$J$4+'Cracker Yields'!$K$4*'Financial Model (84 Months)'!AT15</f>
        <v>47206.166666666664</v>
      </c>
      <c r="AU17" s="460">
        <f>AU12*'Cracker Yields'!$H$4+'Cracker Yields'!$I$4*'Financial Model (84 Months)'!AU13+'Financial Model (84 Months)'!AU14*'Cracker Yields'!$J$4+'Cracker Yields'!$K$4*'Financial Model (84 Months)'!AU15</f>
        <v>47206.166666666664</v>
      </c>
      <c r="AV17" s="460">
        <f>AV12*'Cracker Yields'!$H$4+'Cracker Yields'!$I$4*'Financial Model (84 Months)'!AV13+'Financial Model (84 Months)'!AV14*'Cracker Yields'!$J$4+'Cracker Yields'!$K$4*'Financial Model (84 Months)'!AV15</f>
        <v>47206.166666666664</v>
      </c>
      <c r="AW17" s="460">
        <f>AW12*'Cracker Yields'!$H$4+'Cracker Yields'!$I$4*'Financial Model (84 Months)'!AW13+'Financial Model (84 Months)'!AW14*'Cracker Yields'!$J$4+'Cracker Yields'!$K$4*'Financial Model (84 Months)'!AW15</f>
        <v>47206.166666666664</v>
      </c>
      <c r="AX17" s="460">
        <f>AX12*'Cracker Yields'!$H$4+'Cracker Yields'!$I$4*'Financial Model (84 Months)'!AX13+'Financial Model (84 Months)'!AX14*'Cracker Yields'!$J$4+'Cracker Yields'!$K$4*'Financial Model (84 Months)'!AX15</f>
        <v>47206.166666666664</v>
      </c>
      <c r="AY17" s="460">
        <f>AY12*'Cracker Yields'!$H$4+'Cracker Yields'!$I$4*'Financial Model (84 Months)'!AY13+'Financial Model (84 Months)'!AY14*'Cracker Yields'!$J$4+'Cracker Yields'!$K$4*'Financial Model (84 Months)'!AY15</f>
        <v>47206.166666666664</v>
      </c>
      <c r="AZ17" s="460">
        <f>AZ12*'Cracker Yields'!$H$4+'Cracker Yields'!$I$4*'Financial Model (84 Months)'!AZ13+'Financial Model (84 Months)'!AZ14*'Cracker Yields'!$J$4+'Cracker Yields'!$K$4*'Financial Model (84 Months)'!AZ15</f>
        <v>47206.166666666664</v>
      </c>
      <c r="BA17" s="460">
        <f>BA12*'Cracker Yields'!$H$4+'Cracker Yields'!$I$4*'Financial Model (84 Months)'!BA13+'Financial Model (84 Months)'!BA14*'Cracker Yields'!$J$4+'Cracker Yields'!$K$4*'Financial Model (84 Months)'!BA15</f>
        <v>47206.166666666664</v>
      </c>
      <c r="BB17" s="460">
        <f>BB12*'Cracker Yields'!$H$4+'Cracker Yields'!$I$4*'Financial Model (84 Months)'!BB13+'Financial Model (84 Months)'!BB14*'Cracker Yields'!$J$4+'Cracker Yields'!$K$4*'Financial Model (84 Months)'!BB15</f>
        <v>47206.166666666664</v>
      </c>
      <c r="BC17" s="460">
        <f>BC12*'Cracker Yields'!$H$4+'Cracker Yields'!$I$4*'Financial Model (84 Months)'!BC13+'Financial Model (84 Months)'!BC14*'Cracker Yields'!$J$4+'Cracker Yields'!$K$4*'Financial Model (84 Months)'!BC15</f>
        <v>47206.166666666664</v>
      </c>
      <c r="BD17" s="460">
        <f>BD12*'Cracker Yields'!$H$4+'Cracker Yields'!$I$4*'Financial Model (84 Months)'!BD13+'Financial Model (84 Months)'!BD14*'Cracker Yields'!$J$4+'Cracker Yields'!$K$4*'Financial Model (84 Months)'!BD15</f>
        <v>47206.166666666664</v>
      </c>
      <c r="BE17" s="460">
        <f>BE12*'Cracker Yields'!$H$4+'Cracker Yields'!$I$4*'Financial Model (84 Months)'!BE13+'Financial Model (84 Months)'!BE14*'Cracker Yields'!$J$4+'Cracker Yields'!$K$4*'Financial Model (84 Months)'!BE15</f>
        <v>47206.166666666664</v>
      </c>
      <c r="BF17" s="460">
        <f>BF12*'Cracker Yields'!$H$4+'Cracker Yields'!$I$4*'Financial Model (84 Months)'!BF13+'Financial Model (84 Months)'!BF14*'Cracker Yields'!$J$4+'Cracker Yields'!$K$4*'Financial Model (84 Months)'!BF15</f>
        <v>47206.166666666664</v>
      </c>
      <c r="BG17" s="460">
        <f>BG12*'Cracker Yields'!$H$4+'Cracker Yields'!$I$4*'Financial Model (84 Months)'!BG13+'Financial Model (84 Months)'!BG14*'Cracker Yields'!$J$4+'Cracker Yields'!$K$4*'Financial Model (84 Months)'!BG15</f>
        <v>47206.166666666664</v>
      </c>
      <c r="BH17" s="460">
        <f>BH12*'Cracker Yields'!$H$4+'Cracker Yields'!$I$4*'Financial Model (84 Months)'!BH13+'Financial Model (84 Months)'!BH14*'Cracker Yields'!$J$4+'Cracker Yields'!$K$4*'Financial Model (84 Months)'!BH15</f>
        <v>47206.166666666664</v>
      </c>
      <c r="BI17" s="460">
        <f>BI12*'Cracker Yields'!$H$4+'Cracker Yields'!$I$4*'Financial Model (84 Months)'!BI13+'Financial Model (84 Months)'!BI14*'Cracker Yields'!$J$4+'Cracker Yields'!$K$4*'Financial Model (84 Months)'!BI15</f>
        <v>47206.166666666664</v>
      </c>
      <c r="BJ17" s="460">
        <f>BJ12*'Cracker Yields'!$H$4+'Cracker Yields'!$I$4*'Financial Model (84 Months)'!BJ13+'Financial Model (84 Months)'!BJ14*'Cracker Yields'!$J$4+'Cracker Yields'!$K$4*'Financial Model (84 Months)'!BJ15</f>
        <v>47206.166666666664</v>
      </c>
      <c r="BK17" s="460">
        <f>BK12*'Cracker Yields'!$H$4+'Cracker Yields'!$I$4*'Financial Model (84 Months)'!BK13+'Financial Model (84 Months)'!BK14*'Cracker Yields'!$J$4+'Cracker Yields'!$K$4*'Financial Model (84 Months)'!BK15</f>
        <v>47206.166666666664</v>
      </c>
      <c r="BL17" s="460">
        <f>BL12*'Cracker Yields'!$H$4+'Cracker Yields'!$I$4*'Financial Model (84 Months)'!BL13+'Financial Model (84 Months)'!BL14*'Cracker Yields'!$J$4+'Cracker Yields'!$K$4*'Financial Model (84 Months)'!BL15</f>
        <v>47206.166666666664</v>
      </c>
      <c r="BM17" s="460">
        <f>BM12*'Cracker Yields'!$H$4+'Cracker Yields'!$I$4*'Financial Model (84 Months)'!BM13+'Financial Model (84 Months)'!BM14*'Cracker Yields'!$J$4+'Cracker Yields'!$K$4*'Financial Model (84 Months)'!BM15</f>
        <v>47206.166666666664</v>
      </c>
      <c r="BN17" s="460">
        <f>BN12*'Cracker Yields'!$H$4+'Cracker Yields'!$I$4*'Financial Model (84 Months)'!BN13+'Financial Model (84 Months)'!BN14*'Cracker Yields'!$J$4+'Cracker Yields'!$K$4*'Financial Model (84 Months)'!BN15</f>
        <v>47206.166666666664</v>
      </c>
      <c r="BO17" s="460">
        <f>BO12*'Cracker Yields'!$H$4+'Cracker Yields'!$I$4*'Financial Model (84 Months)'!BO13+'Financial Model (84 Months)'!BO14*'Cracker Yields'!$J$4+'Cracker Yields'!$K$4*'Financial Model (84 Months)'!BO15</f>
        <v>47206.166666666664</v>
      </c>
      <c r="BP17" s="460">
        <f>BP12*'Cracker Yields'!$H$4+'Cracker Yields'!$I$4*'Financial Model (84 Months)'!BP13+'Financial Model (84 Months)'!BP14*'Cracker Yields'!$J$4+'Cracker Yields'!$K$4*'Financial Model (84 Months)'!BP15</f>
        <v>47206.166666666664</v>
      </c>
      <c r="BQ17" s="460">
        <f>BQ12*'Cracker Yields'!$H$4+'Cracker Yields'!$I$4*'Financial Model (84 Months)'!BQ13+'Financial Model (84 Months)'!BQ14*'Cracker Yields'!$J$4+'Cracker Yields'!$K$4*'Financial Model (84 Months)'!BQ15</f>
        <v>47206.166666666664</v>
      </c>
      <c r="BR17" s="460">
        <f>BR12*'Cracker Yields'!$H$4+'Cracker Yields'!$I$4*'Financial Model (84 Months)'!BR13+'Financial Model (84 Months)'!BR14*'Cracker Yields'!$J$4+'Cracker Yields'!$K$4*'Financial Model (84 Months)'!BR15</f>
        <v>47206.166666666664</v>
      </c>
      <c r="BS17" s="460">
        <f>BS12*'Cracker Yields'!$H$4+'Cracker Yields'!$I$4*'Financial Model (84 Months)'!BS13+'Financial Model (84 Months)'!BS14*'Cracker Yields'!$J$4+'Cracker Yields'!$K$4*'Financial Model (84 Months)'!BS15</f>
        <v>47206.166666666664</v>
      </c>
      <c r="BT17" s="460">
        <f>BT12*'Cracker Yields'!$H$4+'Cracker Yields'!$I$4*'Financial Model (84 Months)'!BT13+'Financial Model (84 Months)'!BT14*'Cracker Yields'!$J$4+'Cracker Yields'!$K$4*'Financial Model (84 Months)'!BT15</f>
        <v>47206.166666666664</v>
      </c>
      <c r="BU17" s="460">
        <f>BU12*'Cracker Yields'!$H$4+'Cracker Yields'!$I$4*'Financial Model (84 Months)'!BU13+'Financial Model (84 Months)'!BU14*'Cracker Yields'!$J$4+'Cracker Yields'!$K$4*'Financial Model (84 Months)'!BU15</f>
        <v>47206.166666666664</v>
      </c>
      <c r="BV17" s="460">
        <f>BV12*'Cracker Yields'!$H$4+'Cracker Yields'!$I$4*'Financial Model (84 Months)'!BV13+'Financial Model (84 Months)'!BV14*'Cracker Yields'!$J$4+'Cracker Yields'!$K$4*'Financial Model (84 Months)'!BV15</f>
        <v>47206.166666666664</v>
      </c>
      <c r="BW17" s="460">
        <f>BW12*'Cracker Yields'!$H$4+'Cracker Yields'!$I$4*'Financial Model (84 Months)'!BW13+'Financial Model (84 Months)'!BW14*'Cracker Yields'!$J$4+'Cracker Yields'!$K$4*'Financial Model (84 Months)'!BW15</f>
        <v>47206.166666666664</v>
      </c>
      <c r="BX17" s="460">
        <f>BX12*'Cracker Yields'!$H$4+'Cracker Yields'!$I$4*'Financial Model (84 Months)'!BX13+'Financial Model (84 Months)'!BX14*'Cracker Yields'!$J$4+'Cracker Yields'!$K$4*'Financial Model (84 Months)'!BX15</f>
        <v>47206.166666666664</v>
      </c>
      <c r="BY17" s="460">
        <f>BY12*'Cracker Yields'!$H$4+'Cracker Yields'!$I$4*'Financial Model (84 Months)'!BY13+'Financial Model (84 Months)'!BY14*'Cracker Yields'!$J$4+'Cracker Yields'!$K$4*'Financial Model (84 Months)'!BY15</f>
        <v>47206.166666666664</v>
      </c>
      <c r="BZ17" s="460">
        <f>BZ12*'Cracker Yields'!$H$4+'Cracker Yields'!$I$4*'Financial Model (84 Months)'!BZ13+'Financial Model (84 Months)'!BZ14*'Cracker Yields'!$J$4+'Cracker Yields'!$K$4*'Financial Model (84 Months)'!BZ15</f>
        <v>47206.166666666664</v>
      </c>
      <c r="CA17" s="460">
        <f>CA12*'Cracker Yields'!$H$4+'Cracker Yields'!$I$4*'Financial Model (84 Months)'!CA13+'Financial Model (84 Months)'!CA14*'Cracker Yields'!$J$4+'Cracker Yields'!$K$4*'Financial Model (84 Months)'!CA15</f>
        <v>47206.166666666664</v>
      </c>
      <c r="CB17" s="460">
        <f>CB12*'Cracker Yields'!$H$4+'Cracker Yields'!$I$4*'Financial Model (84 Months)'!CB13+'Financial Model (84 Months)'!CB14*'Cracker Yields'!$J$4+'Cracker Yields'!$K$4*'Financial Model (84 Months)'!CB15</f>
        <v>47206.166666666664</v>
      </c>
      <c r="CC17" s="460">
        <f>CC12*'Cracker Yields'!$H$4+'Cracker Yields'!$I$4*'Financial Model (84 Months)'!CC13+'Financial Model (84 Months)'!CC14*'Cracker Yields'!$J$4+'Cracker Yields'!$K$4*'Financial Model (84 Months)'!CC15</f>
        <v>47206.166666666664</v>
      </c>
      <c r="CD17" s="460">
        <f>CD12*'Cracker Yields'!$H$4+'Cracker Yields'!$I$4*'Financial Model (84 Months)'!CD13+'Financial Model (84 Months)'!CD14*'Cracker Yields'!$J$4+'Cracker Yields'!$K$4*'Financial Model (84 Months)'!CD15</f>
        <v>47206.166666666664</v>
      </c>
      <c r="CE17" s="460">
        <f>CE12*'Cracker Yields'!$H$4+'Cracker Yields'!$I$4*'Financial Model (84 Months)'!CE13+'Financial Model (84 Months)'!CE14*'Cracker Yields'!$J$4+'Cracker Yields'!$K$4*'Financial Model (84 Months)'!CE15</f>
        <v>47206.166666666664</v>
      </c>
      <c r="CF17" s="460">
        <f>CF12*'Cracker Yields'!$H$4+'Cracker Yields'!$I$4*'Financial Model (84 Months)'!CF13+'Financial Model (84 Months)'!CF14*'Cracker Yields'!$J$4+'Cracker Yields'!$K$4*'Financial Model (84 Months)'!CF15</f>
        <v>47206.166666666664</v>
      </c>
      <c r="CG17" s="460">
        <f>CG12*'Cracker Yields'!$H$4+'Cracker Yields'!$I$4*'Financial Model (84 Months)'!CG13+'Financial Model (84 Months)'!CG14*'Cracker Yields'!$J$4+'Cracker Yields'!$K$4*'Financial Model (84 Months)'!CG15</f>
        <v>47206.166666666664</v>
      </c>
      <c r="CH17" s="460">
        <f>CH12*'Cracker Yields'!$H$4+'Cracker Yields'!$I$4*'Financial Model (84 Months)'!CH13+'Financial Model (84 Months)'!CH14*'Cracker Yields'!$J$4+'Cracker Yields'!$K$4*'Financial Model (84 Months)'!CH15</f>
        <v>47206.166666666664</v>
      </c>
      <c r="CI17" s="460">
        <f>CI12*'Cracker Yields'!$H$4+'Cracker Yields'!$I$4*'Financial Model (84 Months)'!CI13+'Financial Model (84 Months)'!CI14*'Cracker Yields'!$J$4+'Cracker Yields'!$K$4*'Financial Model (84 Months)'!CI15</f>
        <v>47206.166666666664</v>
      </c>
      <c r="CJ17" s="460">
        <f>CJ12*'Cracker Yields'!$H$4+'Cracker Yields'!$I$4*'Financial Model (84 Months)'!CJ13+'Financial Model (84 Months)'!CJ14*'Cracker Yields'!$J$4+'Cracker Yields'!$K$4*'Financial Model (84 Months)'!CJ15</f>
        <v>47206.166666666664</v>
      </c>
      <c r="CK17" s="460">
        <f>CK12*'Cracker Yields'!$H$4+'Cracker Yields'!$I$4*'Financial Model (84 Months)'!CK13+'Financial Model (84 Months)'!CK14*'Cracker Yields'!$J$4+'Cracker Yields'!$K$4*'Financial Model (84 Months)'!CK15</f>
        <v>47206.166666666664</v>
      </c>
      <c r="CL17" s="460">
        <f>CL12*'Cracker Yields'!$H$4+'Cracker Yields'!$I$4*'Financial Model (84 Months)'!CL13+'Financial Model (84 Months)'!CL14*'Cracker Yields'!$J$4+'Cracker Yields'!$K$4*'Financial Model (84 Months)'!CL15</f>
        <v>47206.166666666664</v>
      </c>
      <c r="CM17" s="380">
        <f t="shared" si="0"/>
        <v>47206.166666666613</v>
      </c>
      <c r="CN17" s="435"/>
      <c r="CO17" s="435"/>
      <c r="CP17" s="435"/>
      <c r="CQ17" s="435"/>
      <c r="CR17" s="435"/>
      <c r="CS17" s="435"/>
      <c r="CT17" s="435"/>
      <c r="CU17" s="435"/>
      <c r="CV17" s="435"/>
      <c r="CW17" s="435"/>
      <c r="CX17" s="435"/>
      <c r="CY17" s="435"/>
      <c r="CZ17" s="435"/>
      <c r="DA17" s="435"/>
      <c r="DB17" s="435"/>
      <c r="DC17" s="435"/>
      <c r="DD17" s="435"/>
      <c r="DE17" s="435"/>
      <c r="DF17" s="435"/>
      <c r="DG17" s="435"/>
      <c r="DH17" s="435"/>
      <c r="DI17" s="435"/>
      <c r="DJ17" s="435"/>
      <c r="DK17" s="435"/>
      <c r="DL17" s="435"/>
      <c r="DM17" s="435"/>
      <c r="DN17" s="435"/>
      <c r="DO17" s="435"/>
      <c r="DP17" s="435"/>
      <c r="DQ17" s="435"/>
      <c r="DR17" s="435"/>
      <c r="DS17" s="435"/>
      <c r="DT17" s="435"/>
      <c r="DU17" s="435"/>
      <c r="DV17" s="435"/>
      <c r="DW17" s="435"/>
      <c r="DX17" s="435"/>
      <c r="DY17" s="435"/>
      <c r="DZ17" s="435"/>
      <c r="EA17" s="435"/>
      <c r="EB17" s="435"/>
      <c r="EC17" s="435"/>
      <c r="ED17" s="435"/>
      <c r="EE17" s="435"/>
      <c r="EF17" s="435"/>
      <c r="EG17" s="435"/>
      <c r="EH17" s="435"/>
      <c r="EI17" s="435"/>
      <c r="EJ17" s="435"/>
      <c r="EK17" s="435"/>
      <c r="EL17" s="435"/>
      <c r="EM17" s="435"/>
      <c r="EN17" s="435"/>
      <c r="EO17" s="435"/>
      <c r="EP17" s="435"/>
      <c r="EQ17" s="435"/>
      <c r="ER17" s="435"/>
      <c r="ES17" s="435"/>
      <c r="ET17" s="435"/>
      <c r="EU17" s="435"/>
      <c r="EV17" s="435"/>
      <c r="EW17" s="435"/>
      <c r="EX17" s="435"/>
      <c r="EY17" s="435"/>
      <c r="EZ17" s="435"/>
      <c r="FA17" s="435"/>
      <c r="FB17" s="435"/>
      <c r="FC17" s="435"/>
      <c r="FD17" s="435"/>
      <c r="FE17" s="435"/>
      <c r="FF17" s="435"/>
      <c r="FG17" s="435"/>
      <c r="FH17" s="435"/>
      <c r="FI17" s="435"/>
      <c r="FJ17" s="435"/>
      <c r="FK17" s="435"/>
      <c r="FL17" s="435"/>
      <c r="FM17" s="435"/>
      <c r="FN17" s="435"/>
      <c r="FO17" s="435"/>
      <c r="FP17" s="435"/>
      <c r="FQ17" s="435"/>
      <c r="FR17" s="435"/>
      <c r="FS17" s="435"/>
      <c r="FT17" s="435"/>
      <c r="FU17" s="435"/>
      <c r="FV17" s="435"/>
    </row>
    <row r="18" spans="1:178">
      <c r="A18" s="1386"/>
      <c r="B18" s="377" t="s">
        <v>403</v>
      </c>
      <c r="C18" s="378" t="s">
        <v>402</v>
      </c>
      <c r="D18" s="378"/>
      <c r="E18" s="1380"/>
      <c r="F18" s="462" t="str">
        <f>F7</f>
        <v xml:space="preserve">Benzene </v>
      </c>
      <c r="G18" s="463">
        <f>G12*'Cracker Yields'!$H$6+'Cracker Yields'!$I$6*'Financial Model (84 Months)'!G13+'Financial Model (84 Months)'!G14*'Cracker Yields'!$J$6+'Cracker Yields'!$K$6*'Financial Model (84 Months)'!G15</f>
        <v>12105.081666666669</v>
      </c>
      <c r="H18" s="463">
        <f>H12*'Cracker Yields'!$H$6+'Cracker Yields'!$I$6*'Financial Model (84 Months)'!H13+'Financial Model (84 Months)'!H14*'Cracker Yields'!$J$6+'Cracker Yields'!$K$6*'Financial Model (84 Months)'!H15</f>
        <v>12105.081666666669</v>
      </c>
      <c r="I18" s="463">
        <f>I12*'Cracker Yields'!$H$6+'Cracker Yields'!$I$6*'Financial Model (84 Months)'!I13+'Financial Model (84 Months)'!I14*'Cracker Yields'!$J$6+'Cracker Yields'!$K$6*'Financial Model (84 Months)'!I15</f>
        <v>12105.081666666669</v>
      </c>
      <c r="J18" s="463">
        <f>J12*'Cracker Yields'!$H$6+'Cracker Yields'!$I$6*'Financial Model (84 Months)'!J13+'Financial Model (84 Months)'!J14*'Cracker Yields'!$J$6+'Cracker Yields'!$K$6*'Financial Model (84 Months)'!J15</f>
        <v>12105.081666666669</v>
      </c>
      <c r="K18" s="463">
        <f>K12*'Cracker Yields'!$H$6+'Cracker Yields'!$I$6*'Financial Model (84 Months)'!K13+'Financial Model (84 Months)'!K14*'Cracker Yields'!$J$6+'Cracker Yields'!$K$6*'Financial Model (84 Months)'!K15</f>
        <v>12105.081666666669</v>
      </c>
      <c r="L18" s="463">
        <f>L12*'Cracker Yields'!$H$6+'Cracker Yields'!$I$6*'Financial Model (84 Months)'!L13+'Financial Model (84 Months)'!L14*'Cracker Yields'!$J$6+'Cracker Yields'!$K$6*'Financial Model (84 Months)'!L15</f>
        <v>12105.081666666669</v>
      </c>
      <c r="M18" s="463">
        <f>M12*'Cracker Yields'!$H$6+'Cracker Yields'!$I$6*'Financial Model (84 Months)'!M13+'Financial Model (84 Months)'!M14*'Cracker Yields'!$J$6+'Cracker Yields'!$K$6*'Financial Model (84 Months)'!M15</f>
        <v>12105.081666666669</v>
      </c>
      <c r="N18" s="463">
        <f>N12*'Cracker Yields'!$H$6+'Cracker Yields'!$I$6*'Financial Model (84 Months)'!N13+'Financial Model (84 Months)'!N14*'Cracker Yields'!$J$6+'Cracker Yields'!$K$6*'Financial Model (84 Months)'!N15</f>
        <v>12105.081666666669</v>
      </c>
      <c r="O18" s="463">
        <f>O12*'Cracker Yields'!$H$6+'Cracker Yields'!$I$6*'Financial Model (84 Months)'!O13+'Financial Model (84 Months)'!O14*'Cracker Yields'!$J$6+'Cracker Yields'!$K$6*'Financial Model (84 Months)'!O15</f>
        <v>12105.081666666669</v>
      </c>
      <c r="P18" s="463">
        <f>P12*'Cracker Yields'!$H$6+'Cracker Yields'!$I$6*'Financial Model (84 Months)'!P13+'Financial Model (84 Months)'!P14*'Cracker Yields'!$J$6+'Cracker Yields'!$K$6*'Financial Model (84 Months)'!P15</f>
        <v>12105.081666666669</v>
      </c>
      <c r="Q18" s="463">
        <f>Q12*'Cracker Yields'!$H$6+'Cracker Yields'!$I$6*'Financial Model (84 Months)'!Q13+'Financial Model (84 Months)'!Q14*'Cracker Yields'!$J$6+'Cracker Yields'!$K$6*'Financial Model (84 Months)'!Q15</f>
        <v>12105.081666666669</v>
      </c>
      <c r="R18" s="463">
        <f>R12*'Cracker Yields'!$H$6+'Cracker Yields'!$I$6*'Financial Model (84 Months)'!R13+'Financial Model (84 Months)'!R14*'Cracker Yields'!$J$6+'Cracker Yields'!$K$6*'Financial Model (84 Months)'!R15</f>
        <v>12105.081666666669</v>
      </c>
      <c r="S18" s="463">
        <f>S12*'Cracker Yields'!$H$6+'Cracker Yields'!$I$6*'Financial Model (84 Months)'!S13+'Financial Model (84 Months)'!S14*'Cracker Yields'!$J$6+'Cracker Yields'!$K$6*'Financial Model (84 Months)'!S15</f>
        <v>12105.081666666669</v>
      </c>
      <c r="T18" s="566">
        <f>T12*'Cracker Yields'!$H$6+'Cracker Yields'!$I$6*'Financial Model (84 Months)'!T13+'Financial Model (84 Months)'!T14*'Cracker Yields'!$J$6+'Cracker Yields'!$K$6*'Financial Model (84 Months)'!T15</f>
        <v>12105.081666666669</v>
      </c>
      <c r="U18" s="463">
        <f>U12*'Cracker Yields'!$H$6+'Cracker Yields'!$I$6*'Financial Model (84 Months)'!U13+'Financial Model (84 Months)'!U14*'Cracker Yields'!$J$6+'Cracker Yields'!$K$6*'Financial Model (84 Months)'!U15</f>
        <v>12105.081666666669</v>
      </c>
      <c r="V18" s="566">
        <f>V12*'Cracker Yields'!$H$6+'Cracker Yields'!$I$6*'Financial Model (84 Months)'!V13+'Financial Model (84 Months)'!V14*'Cracker Yields'!$J$6+'Cracker Yields'!$K$6*'Financial Model (84 Months)'!V15</f>
        <v>12105.081666666669</v>
      </c>
      <c r="W18" s="463">
        <f>W12*'Cracker Yields'!$H$6+'Cracker Yields'!$I$6*'Financial Model (84 Months)'!W13+'Financial Model (84 Months)'!W14*'Cracker Yields'!$J$6+'Cracker Yields'!$K$6*'Financial Model (84 Months)'!W15</f>
        <v>12105.081666666669</v>
      </c>
      <c r="X18" s="566">
        <f>X12*'Cracker Yields'!$H$6+'Cracker Yields'!$I$6*'Financial Model (84 Months)'!X13+'Financial Model (84 Months)'!X14*'Cracker Yields'!$J$6+'Cracker Yields'!$K$6*'Financial Model (84 Months)'!X15</f>
        <v>12105.081666666669</v>
      </c>
      <c r="Y18" s="463">
        <f>Y12*'Cracker Yields'!$H$6+'Cracker Yields'!$I$6*'Financial Model (84 Months)'!Y13+'Financial Model (84 Months)'!Y14*'Cracker Yields'!$J$6+'Cracker Yields'!$K$6*'Financial Model (84 Months)'!Y15</f>
        <v>12105.081666666669</v>
      </c>
      <c r="Z18" s="566">
        <f>Z12*'Cracker Yields'!$H$6+'Cracker Yields'!$I$6*'Financial Model (84 Months)'!Z13+'Financial Model (84 Months)'!Z14*'Cracker Yields'!$J$6+'Cracker Yields'!$K$6*'Financial Model (84 Months)'!Z15</f>
        <v>12105.081666666669</v>
      </c>
      <c r="AA18" s="463">
        <f>AA12*'Cracker Yields'!$H$6+'Cracker Yields'!$I$6*'Financial Model (84 Months)'!AA13+'Financial Model (84 Months)'!AA14*'Cracker Yields'!$J$6+'Cracker Yields'!$K$6*'Financial Model (84 Months)'!AA15</f>
        <v>12105.081666666669</v>
      </c>
      <c r="AB18" s="566">
        <f>AB12*'Cracker Yields'!$H$6+'Cracker Yields'!$I$6*'Financial Model (84 Months)'!AB13+'Financial Model (84 Months)'!AB14*'Cracker Yields'!$J$6+'Cracker Yields'!$K$6*'Financial Model (84 Months)'!AB15</f>
        <v>12105.081666666669</v>
      </c>
      <c r="AC18" s="463">
        <f>AC12*'Cracker Yields'!$H$6+'Cracker Yields'!$I$6*'Financial Model (84 Months)'!AC13+'Financial Model (84 Months)'!AC14*'Cracker Yields'!$J$6+'Cracker Yields'!$K$6*'Financial Model (84 Months)'!AC15</f>
        <v>12105.081666666669</v>
      </c>
      <c r="AD18" s="566">
        <f>AD12*'Cracker Yields'!$H$6+'Cracker Yields'!$I$6*'Financial Model (84 Months)'!AD13+'Financial Model (84 Months)'!AD14*'Cracker Yields'!$J$6+'Cracker Yields'!$K$6*'Financial Model (84 Months)'!AD15</f>
        <v>12105.081666666669</v>
      </c>
      <c r="AE18" s="463">
        <f>AE12*'Cracker Yields'!$H$6+'Cracker Yields'!$I$6*'Financial Model (84 Months)'!AE13+'Financial Model (84 Months)'!AE14*'Cracker Yields'!$J$6+'Cracker Yields'!$K$6*'Financial Model (84 Months)'!AE15</f>
        <v>12105.081666666669</v>
      </c>
      <c r="AF18" s="566">
        <f>AF12*'Cracker Yields'!$H$6+'Cracker Yields'!$I$6*'Financial Model (84 Months)'!AF13+'Financial Model (84 Months)'!AF14*'Cracker Yields'!$J$6+'Cracker Yields'!$K$6*'Financial Model (84 Months)'!AF15</f>
        <v>12105.081666666669</v>
      </c>
      <c r="AG18" s="463">
        <f>AG12*'Cracker Yields'!$H$6+'Cracker Yields'!$I$6*'Financial Model (84 Months)'!AG13+'Financial Model (84 Months)'!AG14*'Cracker Yields'!$J$6+'Cracker Yields'!$K$6*'Financial Model (84 Months)'!AG15</f>
        <v>12105.081666666669</v>
      </c>
      <c r="AH18" s="566">
        <f>AH12*'Cracker Yields'!$H$6+'Cracker Yields'!$I$6*'Financial Model (84 Months)'!AH13+'Financial Model (84 Months)'!AH14*'Cracker Yields'!$J$6+'Cracker Yields'!$K$6*'Financial Model (84 Months)'!AH15</f>
        <v>12105.081666666669</v>
      </c>
      <c r="AI18" s="463">
        <f>AI12*'Cracker Yields'!$H$6+'Cracker Yields'!$I$6*'Financial Model (84 Months)'!AI13+'Financial Model (84 Months)'!AI14*'Cracker Yields'!$J$6+'Cracker Yields'!$K$6*'Financial Model (84 Months)'!AI15</f>
        <v>12105.081666666669</v>
      </c>
      <c r="AJ18" s="566">
        <f>AJ12*'Cracker Yields'!$H$6+'Cracker Yields'!$I$6*'Financial Model (84 Months)'!AJ13+'Financial Model (84 Months)'!AJ14*'Cracker Yields'!$J$6+'Cracker Yields'!$K$6*'Financial Model (84 Months)'!AJ15</f>
        <v>12105.081666666669</v>
      </c>
      <c r="AK18" s="463">
        <f>AK12*'Cracker Yields'!$H$6+'Cracker Yields'!$I$6*'Financial Model (84 Months)'!AK13+'Financial Model (84 Months)'!AK14*'Cracker Yields'!$J$6+'Cracker Yields'!$K$6*'Financial Model (84 Months)'!AK15</f>
        <v>12105.081666666669</v>
      </c>
      <c r="AL18" s="566">
        <f>AL12*'Cracker Yields'!$H$6+'Cracker Yields'!$I$6*'Financial Model (84 Months)'!AL13+'Financial Model (84 Months)'!AL14*'Cracker Yields'!$J$6+'Cracker Yields'!$K$6*'Financial Model (84 Months)'!AL15</f>
        <v>12105.081666666669</v>
      </c>
      <c r="AM18" s="463">
        <f>AM12*'Cracker Yields'!$H$6+'Cracker Yields'!$I$6*'Financial Model (84 Months)'!AM13+'Financial Model (84 Months)'!AM14*'Cracker Yields'!$J$6+'Cracker Yields'!$K$6*'Financial Model (84 Months)'!AM15</f>
        <v>12105.081666666669</v>
      </c>
      <c r="AN18" s="566">
        <f>AN12*'Cracker Yields'!$H$6+'Cracker Yields'!$I$6*'Financial Model (84 Months)'!AN13+'Financial Model (84 Months)'!AN14*'Cracker Yields'!$J$6+'Cracker Yields'!$K$6*'Financial Model (84 Months)'!AN15</f>
        <v>12105.081666666669</v>
      </c>
      <c r="AO18" s="463">
        <f>AO12*'Cracker Yields'!$H$6+'Cracker Yields'!$I$6*'Financial Model (84 Months)'!AO13+'Financial Model (84 Months)'!AO14*'Cracker Yields'!$J$6+'Cracker Yields'!$K$6*'Financial Model (84 Months)'!AO15</f>
        <v>12105.081666666669</v>
      </c>
      <c r="AP18" s="566">
        <f>AP12*'Cracker Yields'!$H$6+'Cracker Yields'!$I$6*'Financial Model (84 Months)'!AP13+'Financial Model (84 Months)'!AP14*'Cracker Yields'!$J$6+'Cracker Yields'!$K$6*'Financial Model (84 Months)'!AP15</f>
        <v>12105.081666666669</v>
      </c>
      <c r="AQ18" s="463">
        <f>AQ12*'Cracker Yields'!$H$6+'Cracker Yields'!$I$6*'Financial Model (84 Months)'!AQ13+'Financial Model (84 Months)'!AQ14*'Cracker Yields'!$J$6+'Cracker Yields'!$K$6*'Financial Model (84 Months)'!AQ15</f>
        <v>12105.081666666669</v>
      </c>
      <c r="AR18" s="566">
        <f>AR12*'Cracker Yields'!$H$6+'Cracker Yields'!$I$6*'Financial Model (84 Months)'!AR13+'Financial Model (84 Months)'!AR14*'Cracker Yields'!$J$6+'Cracker Yields'!$K$6*'Financial Model (84 Months)'!AR15</f>
        <v>12105.081666666669</v>
      </c>
      <c r="AS18" s="463">
        <f>AS12*'Cracker Yields'!$H$6+'Cracker Yields'!$I$6*'Financial Model (84 Months)'!AS13+'Financial Model (84 Months)'!AS14*'Cracker Yields'!$J$6+'Cracker Yields'!$K$6*'Financial Model (84 Months)'!AS15</f>
        <v>12105.081666666669</v>
      </c>
      <c r="AT18" s="566">
        <f>AT12*'Cracker Yields'!$H$6+'Cracker Yields'!$I$6*'Financial Model (84 Months)'!AT13+'Financial Model (84 Months)'!AT14*'Cracker Yields'!$J$6+'Cracker Yields'!$K$6*'Financial Model (84 Months)'!AT15</f>
        <v>12105.081666666669</v>
      </c>
      <c r="AU18" s="463">
        <f>AU12*'Cracker Yields'!$H$6+'Cracker Yields'!$I$6*'Financial Model (84 Months)'!AU13+'Financial Model (84 Months)'!AU14*'Cracker Yields'!$J$6+'Cracker Yields'!$K$6*'Financial Model (84 Months)'!AU15</f>
        <v>12105.081666666669</v>
      </c>
      <c r="AV18" s="463">
        <f>AV12*'Cracker Yields'!$H$6+'Cracker Yields'!$I$6*'Financial Model (84 Months)'!AV13+'Financial Model (84 Months)'!AV14*'Cracker Yields'!$J$6+'Cracker Yields'!$K$6*'Financial Model (84 Months)'!AV15</f>
        <v>12105.081666666669</v>
      </c>
      <c r="AW18" s="463">
        <f>AW12*'Cracker Yields'!$H$6+'Cracker Yields'!$I$6*'Financial Model (84 Months)'!AW13+'Financial Model (84 Months)'!AW14*'Cracker Yields'!$J$6+'Cracker Yields'!$K$6*'Financial Model (84 Months)'!AW15</f>
        <v>12105.081666666669</v>
      </c>
      <c r="AX18" s="463">
        <f>AX12*'Cracker Yields'!$H$6+'Cracker Yields'!$I$6*'Financial Model (84 Months)'!AX13+'Financial Model (84 Months)'!AX14*'Cracker Yields'!$J$6+'Cracker Yields'!$K$6*'Financial Model (84 Months)'!AX15</f>
        <v>12105.081666666669</v>
      </c>
      <c r="AY18" s="463">
        <f>AY12*'Cracker Yields'!$H$6+'Cracker Yields'!$I$6*'Financial Model (84 Months)'!AY13+'Financial Model (84 Months)'!AY14*'Cracker Yields'!$J$6+'Cracker Yields'!$K$6*'Financial Model (84 Months)'!AY15</f>
        <v>12105.081666666669</v>
      </c>
      <c r="AZ18" s="463">
        <f>AZ12*'Cracker Yields'!$H$6+'Cracker Yields'!$I$6*'Financial Model (84 Months)'!AZ13+'Financial Model (84 Months)'!AZ14*'Cracker Yields'!$J$6+'Cracker Yields'!$K$6*'Financial Model (84 Months)'!AZ15</f>
        <v>12105.081666666669</v>
      </c>
      <c r="BA18" s="463">
        <f>BA12*'Cracker Yields'!$H$6+'Cracker Yields'!$I$6*'Financial Model (84 Months)'!BA13+'Financial Model (84 Months)'!BA14*'Cracker Yields'!$J$6+'Cracker Yields'!$K$6*'Financial Model (84 Months)'!BA15</f>
        <v>12105.081666666669</v>
      </c>
      <c r="BB18" s="463">
        <f>BB12*'Cracker Yields'!$H$6+'Cracker Yields'!$I$6*'Financial Model (84 Months)'!BB13+'Financial Model (84 Months)'!BB14*'Cracker Yields'!$J$6+'Cracker Yields'!$K$6*'Financial Model (84 Months)'!BB15</f>
        <v>12105.081666666669</v>
      </c>
      <c r="BC18" s="463">
        <f>BC12*'Cracker Yields'!$H$6+'Cracker Yields'!$I$6*'Financial Model (84 Months)'!BC13+'Financial Model (84 Months)'!BC14*'Cracker Yields'!$J$6+'Cracker Yields'!$K$6*'Financial Model (84 Months)'!BC15</f>
        <v>12105.081666666669</v>
      </c>
      <c r="BD18" s="463">
        <f>BD12*'Cracker Yields'!$H$6+'Cracker Yields'!$I$6*'Financial Model (84 Months)'!BD13+'Financial Model (84 Months)'!BD14*'Cracker Yields'!$J$6+'Cracker Yields'!$K$6*'Financial Model (84 Months)'!BD15</f>
        <v>12105.081666666669</v>
      </c>
      <c r="BE18" s="463">
        <f>BE12*'Cracker Yields'!$H$6+'Cracker Yields'!$I$6*'Financial Model (84 Months)'!BE13+'Financial Model (84 Months)'!BE14*'Cracker Yields'!$J$6+'Cracker Yields'!$K$6*'Financial Model (84 Months)'!BE15</f>
        <v>12105.081666666669</v>
      </c>
      <c r="BF18" s="463">
        <f>BF12*'Cracker Yields'!$H$6+'Cracker Yields'!$I$6*'Financial Model (84 Months)'!BF13+'Financial Model (84 Months)'!BF14*'Cracker Yields'!$J$6+'Cracker Yields'!$K$6*'Financial Model (84 Months)'!BF15</f>
        <v>12105.081666666669</v>
      </c>
      <c r="BG18" s="463">
        <f>BG12*'Cracker Yields'!$H$6+'Cracker Yields'!$I$6*'Financial Model (84 Months)'!BG13+'Financial Model (84 Months)'!BG14*'Cracker Yields'!$J$6+'Cracker Yields'!$K$6*'Financial Model (84 Months)'!BG15</f>
        <v>12105.081666666669</v>
      </c>
      <c r="BH18" s="463">
        <f>BH12*'Cracker Yields'!$H$6+'Cracker Yields'!$I$6*'Financial Model (84 Months)'!BH13+'Financial Model (84 Months)'!BH14*'Cracker Yields'!$J$6+'Cracker Yields'!$K$6*'Financial Model (84 Months)'!BH15</f>
        <v>12105.081666666669</v>
      </c>
      <c r="BI18" s="463">
        <f>BI12*'Cracker Yields'!$H$6+'Cracker Yields'!$I$6*'Financial Model (84 Months)'!BI13+'Financial Model (84 Months)'!BI14*'Cracker Yields'!$J$6+'Cracker Yields'!$K$6*'Financial Model (84 Months)'!BI15</f>
        <v>12105.081666666669</v>
      </c>
      <c r="BJ18" s="463">
        <f>BJ12*'Cracker Yields'!$H$6+'Cracker Yields'!$I$6*'Financial Model (84 Months)'!BJ13+'Financial Model (84 Months)'!BJ14*'Cracker Yields'!$J$6+'Cracker Yields'!$K$6*'Financial Model (84 Months)'!BJ15</f>
        <v>12105.081666666669</v>
      </c>
      <c r="BK18" s="463">
        <f>BK12*'Cracker Yields'!$H$6+'Cracker Yields'!$I$6*'Financial Model (84 Months)'!BK13+'Financial Model (84 Months)'!BK14*'Cracker Yields'!$J$6+'Cracker Yields'!$K$6*'Financial Model (84 Months)'!BK15</f>
        <v>12105.081666666669</v>
      </c>
      <c r="BL18" s="463">
        <f>BL12*'Cracker Yields'!$H$6+'Cracker Yields'!$I$6*'Financial Model (84 Months)'!BL13+'Financial Model (84 Months)'!BL14*'Cracker Yields'!$J$6+'Cracker Yields'!$K$6*'Financial Model (84 Months)'!BL15</f>
        <v>12105.081666666669</v>
      </c>
      <c r="BM18" s="463">
        <f>BM12*'Cracker Yields'!$H$6+'Cracker Yields'!$I$6*'Financial Model (84 Months)'!BM13+'Financial Model (84 Months)'!BM14*'Cracker Yields'!$J$6+'Cracker Yields'!$K$6*'Financial Model (84 Months)'!BM15</f>
        <v>12105.081666666669</v>
      </c>
      <c r="BN18" s="463">
        <f>BN12*'Cracker Yields'!$H$6+'Cracker Yields'!$I$6*'Financial Model (84 Months)'!BN13+'Financial Model (84 Months)'!BN14*'Cracker Yields'!$J$6+'Cracker Yields'!$K$6*'Financial Model (84 Months)'!BN15</f>
        <v>12105.081666666669</v>
      </c>
      <c r="BO18" s="463">
        <f>BO12*'Cracker Yields'!$H$6+'Cracker Yields'!$I$6*'Financial Model (84 Months)'!BO13+'Financial Model (84 Months)'!BO14*'Cracker Yields'!$J$6+'Cracker Yields'!$K$6*'Financial Model (84 Months)'!BO15</f>
        <v>12105.081666666669</v>
      </c>
      <c r="BP18" s="463">
        <f>BP12*'Cracker Yields'!$H$6+'Cracker Yields'!$I$6*'Financial Model (84 Months)'!BP13+'Financial Model (84 Months)'!BP14*'Cracker Yields'!$J$6+'Cracker Yields'!$K$6*'Financial Model (84 Months)'!BP15</f>
        <v>12105.081666666669</v>
      </c>
      <c r="BQ18" s="463">
        <f>BQ12*'Cracker Yields'!$H$6+'Cracker Yields'!$I$6*'Financial Model (84 Months)'!BQ13+'Financial Model (84 Months)'!BQ14*'Cracker Yields'!$J$6+'Cracker Yields'!$K$6*'Financial Model (84 Months)'!BQ15</f>
        <v>12105.081666666669</v>
      </c>
      <c r="BR18" s="463">
        <f>BR12*'Cracker Yields'!$H$6+'Cracker Yields'!$I$6*'Financial Model (84 Months)'!BR13+'Financial Model (84 Months)'!BR14*'Cracker Yields'!$J$6+'Cracker Yields'!$K$6*'Financial Model (84 Months)'!BR15</f>
        <v>12105.081666666669</v>
      </c>
      <c r="BS18" s="463">
        <f>BS12*'Cracker Yields'!$H$6+'Cracker Yields'!$I$6*'Financial Model (84 Months)'!BS13+'Financial Model (84 Months)'!BS14*'Cracker Yields'!$J$6+'Cracker Yields'!$K$6*'Financial Model (84 Months)'!BS15</f>
        <v>12105.081666666669</v>
      </c>
      <c r="BT18" s="463">
        <f>BT12*'Cracker Yields'!$H$6+'Cracker Yields'!$I$6*'Financial Model (84 Months)'!BT13+'Financial Model (84 Months)'!BT14*'Cracker Yields'!$J$6+'Cracker Yields'!$K$6*'Financial Model (84 Months)'!BT15</f>
        <v>12105.081666666669</v>
      </c>
      <c r="BU18" s="463">
        <f>BU12*'Cracker Yields'!$H$6+'Cracker Yields'!$I$6*'Financial Model (84 Months)'!BU13+'Financial Model (84 Months)'!BU14*'Cracker Yields'!$J$6+'Cracker Yields'!$K$6*'Financial Model (84 Months)'!BU15</f>
        <v>12105.081666666669</v>
      </c>
      <c r="BV18" s="463">
        <f>BV12*'Cracker Yields'!$H$6+'Cracker Yields'!$I$6*'Financial Model (84 Months)'!BV13+'Financial Model (84 Months)'!BV14*'Cracker Yields'!$J$6+'Cracker Yields'!$K$6*'Financial Model (84 Months)'!BV15</f>
        <v>12105.081666666669</v>
      </c>
      <c r="BW18" s="463">
        <f>BW12*'Cracker Yields'!$H$6+'Cracker Yields'!$I$6*'Financial Model (84 Months)'!BW13+'Financial Model (84 Months)'!BW14*'Cracker Yields'!$J$6+'Cracker Yields'!$K$6*'Financial Model (84 Months)'!BW15</f>
        <v>12105.081666666669</v>
      </c>
      <c r="BX18" s="463">
        <f>BX12*'Cracker Yields'!$H$6+'Cracker Yields'!$I$6*'Financial Model (84 Months)'!BX13+'Financial Model (84 Months)'!BX14*'Cracker Yields'!$J$6+'Cracker Yields'!$K$6*'Financial Model (84 Months)'!BX15</f>
        <v>12105.081666666669</v>
      </c>
      <c r="BY18" s="463">
        <f>BY12*'Cracker Yields'!$H$6+'Cracker Yields'!$I$6*'Financial Model (84 Months)'!BY13+'Financial Model (84 Months)'!BY14*'Cracker Yields'!$J$6+'Cracker Yields'!$K$6*'Financial Model (84 Months)'!BY15</f>
        <v>12105.081666666669</v>
      </c>
      <c r="BZ18" s="463">
        <f>BZ12*'Cracker Yields'!$H$6+'Cracker Yields'!$I$6*'Financial Model (84 Months)'!BZ13+'Financial Model (84 Months)'!BZ14*'Cracker Yields'!$J$6+'Cracker Yields'!$K$6*'Financial Model (84 Months)'!BZ15</f>
        <v>12105.081666666669</v>
      </c>
      <c r="CA18" s="463">
        <f>CA12*'Cracker Yields'!$H$6+'Cracker Yields'!$I$6*'Financial Model (84 Months)'!CA13+'Financial Model (84 Months)'!CA14*'Cracker Yields'!$J$6+'Cracker Yields'!$K$6*'Financial Model (84 Months)'!CA15</f>
        <v>12105.081666666669</v>
      </c>
      <c r="CB18" s="463">
        <f>CB12*'Cracker Yields'!$H$6+'Cracker Yields'!$I$6*'Financial Model (84 Months)'!CB13+'Financial Model (84 Months)'!CB14*'Cracker Yields'!$J$6+'Cracker Yields'!$K$6*'Financial Model (84 Months)'!CB15</f>
        <v>12105.081666666669</v>
      </c>
      <c r="CC18" s="463">
        <f>CC12*'Cracker Yields'!$H$6+'Cracker Yields'!$I$6*'Financial Model (84 Months)'!CC13+'Financial Model (84 Months)'!CC14*'Cracker Yields'!$J$6+'Cracker Yields'!$K$6*'Financial Model (84 Months)'!CC15</f>
        <v>12105.081666666669</v>
      </c>
      <c r="CD18" s="463">
        <f>CD12*'Cracker Yields'!$H$6+'Cracker Yields'!$I$6*'Financial Model (84 Months)'!CD13+'Financial Model (84 Months)'!CD14*'Cracker Yields'!$J$6+'Cracker Yields'!$K$6*'Financial Model (84 Months)'!CD15</f>
        <v>12105.081666666669</v>
      </c>
      <c r="CE18" s="463">
        <f>CE12*'Cracker Yields'!$H$6+'Cracker Yields'!$I$6*'Financial Model (84 Months)'!CE13+'Financial Model (84 Months)'!CE14*'Cracker Yields'!$J$6+'Cracker Yields'!$K$6*'Financial Model (84 Months)'!CE15</f>
        <v>12105.081666666669</v>
      </c>
      <c r="CF18" s="463">
        <f>CF12*'Cracker Yields'!$H$6+'Cracker Yields'!$I$6*'Financial Model (84 Months)'!CF13+'Financial Model (84 Months)'!CF14*'Cracker Yields'!$J$6+'Cracker Yields'!$K$6*'Financial Model (84 Months)'!CF15</f>
        <v>12105.081666666669</v>
      </c>
      <c r="CG18" s="463">
        <f>CG12*'Cracker Yields'!$H$6+'Cracker Yields'!$I$6*'Financial Model (84 Months)'!CG13+'Financial Model (84 Months)'!CG14*'Cracker Yields'!$J$6+'Cracker Yields'!$K$6*'Financial Model (84 Months)'!CG15</f>
        <v>12105.081666666669</v>
      </c>
      <c r="CH18" s="463">
        <f>CH12*'Cracker Yields'!$H$6+'Cracker Yields'!$I$6*'Financial Model (84 Months)'!CH13+'Financial Model (84 Months)'!CH14*'Cracker Yields'!$J$6+'Cracker Yields'!$K$6*'Financial Model (84 Months)'!CH15</f>
        <v>12105.081666666669</v>
      </c>
      <c r="CI18" s="463">
        <f>CI12*'Cracker Yields'!$H$6+'Cracker Yields'!$I$6*'Financial Model (84 Months)'!CI13+'Financial Model (84 Months)'!CI14*'Cracker Yields'!$J$6+'Cracker Yields'!$K$6*'Financial Model (84 Months)'!CI15</f>
        <v>12105.081666666669</v>
      </c>
      <c r="CJ18" s="463">
        <f>CJ12*'Cracker Yields'!$H$6+'Cracker Yields'!$I$6*'Financial Model (84 Months)'!CJ13+'Financial Model (84 Months)'!CJ14*'Cracker Yields'!$J$6+'Cracker Yields'!$K$6*'Financial Model (84 Months)'!CJ15</f>
        <v>12105.081666666669</v>
      </c>
      <c r="CK18" s="463">
        <f>CK12*'Cracker Yields'!$H$6+'Cracker Yields'!$I$6*'Financial Model (84 Months)'!CK13+'Financial Model (84 Months)'!CK14*'Cracker Yields'!$J$6+'Cracker Yields'!$K$6*'Financial Model (84 Months)'!CK15</f>
        <v>12105.081666666669</v>
      </c>
      <c r="CL18" s="464">
        <f>CL12*'Cracker Yields'!$H$6+'Cracker Yields'!$I$6*'Financial Model (84 Months)'!CL13+'Financial Model (84 Months)'!CL14*'Cracker Yields'!$J$6+'Cracker Yields'!$K$6*'Financial Model (84 Months)'!CL15</f>
        <v>12105.081666666669</v>
      </c>
      <c r="CM18" s="380">
        <f t="shared" si="0"/>
        <v>12105.081666666667</v>
      </c>
      <c r="CN18" s="435"/>
      <c r="CO18" s="435"/>
      <c r="CP18" s="435"/>
      <c r="CQ18" s="435"/>
      <c r="CR18" s="435"/>
      <c r="CS18" s="435"/>
      <c r="CT18" s="435"/>
      <c r="CU18" s="435"/>
      <c r="CV18" s="435"/>
      <c r="CW18" s="435"/>
      <c r="CX18" s="435"/>
      <c r="CY18" s="435"/>
      <c r="CZ18" s="435"/>
      <c r="DA18" s="435"/>
      <c r="DB18" s="435"/>
      <c r="DC18" s="435"/>
      <c r="DD18" s="435"/>
      <c r="DE18" s="435"/>
      <c r="DF18" s="435"/>
      <c r="DG18" s="435"/>
      <c r="DH18" s="435"/>
      <c r="DI18" s="435"/>
      <c r="DJ18" s="435"/>
      <c r="DK18" s="435"/>
      <c r="DL18" s="435"/>
      <c r="DM18" s="435"/>
      <c r="DN18" s="435"/>
      <c r="DO18" s="435"/>
      <c r="DP18" s="435"/>
      <c r="DQ18" s="435"/>
      <c r="DR18" s="435"/>
      <c r="DS18" s="435"/>
      <c r="DT18" s="435"/>
      <c r="DU18" s="435"/>
      <c r="DV18" s="435"/>
      <c r="DW18" s="435"/>
      <c r="DX18" s="435"/>
      <c r="DY18" s="435"/>
      <c r="DZ18" s="435"/>
      <c r="EA18" s="435"/>
      <c r="EB18" s="435"/>
      <c r="EC18" s="435"/>
      <c r="ED18" s="435"/>
      <c r="EE18" s="435"/>
      <c r="EF18" s="435"/>
      <c r="EG18" s="435"/>
      <c r="EH18" s="435"/>
      <c r="EI18" s="435"/>
      <c r="EJ18" s="435"/>
      <c r="EK18" s="435"/>
      <c r="EL18" s="435"/>
      <c r="EM18" s="435"/>
      <c r="EN18" s="435"/>
      <c r="EO18" s="435"/>
      <c r="EP18" s="435"/>
      <c r="EQ18" s="435"/>
      <c r="ER18" s="435"/>
      <c r="ES18" s="435"/>
      <c r="ET18" s="435"/>
      <c r="EU18" s="435"/>
      <c r="EV18" s="435"/>
      <c r="EW18" s="435"/>
      <c r="EX18" s="435"/>
      <c r="EY18" s="435"/>
      <c r="EZ18" s="435"/>
      <c r="FA18" s="435"/>
      <c r="FB18" s="435"/>
      <c r="FC18" s="435"/>
      <c r="FD18" s="435"/>
      <c r="FE18" s="435"/>
      <c r="FF18" s="435"/>
      <c r="FG18" s="435"/>
      <c r="FH18" s="435"/>
      <c r="FI18" s="435"/>
      <c r="FJ18" s="435"/>
      <c r="FK18" s="435"/>
      <c r="FL18" s="435"/>
      <c r="FM18" s="435"/>
      <c r="FN18" s="435"/>
      <c r="FO18" s="435"/>
      <c r="FP18" s="435"/>
      <c r="FQ18" s="435"/>
      <c r="FR18" s="435"/>
      <c r="FS18" s="435"/>
      <c r="FT18" s="435"/>
      <c r="FU18" s="435"/>
      <c r="FV18" s="435"/>
    </row>
    <row r="19" spans="1:178">
      <c r="A19" s="1386"/>
      <c r="B19" s="377" t="s">
        <v>403</v>
      </c>
      <c r="C19" s="378" t="s">
        <v>402</v>
      </c>
      <c r="D19" s="378"/>
      <c r="E19" s="1380"/>
      <c r="F19" s="462" t="str">
        <f>F8</f>
        <v xml:space="preserve"> 1,3 Butadiene </v>
      </c>
      <c r="G19" s="463">
        <f>G12*'Cracker Yields'!$H$7+'Cracker Yields'!$I$7*'Financial Model (84 Months)'!G13+'Financial Model (84 Months)'!G14*'Cracker Yields'!$J$7+'Cracker Yields'!$K$7*'Financial Model (84 Months)'!G15</f>
        <v>11641.716666666667</v>
      </c>
      <c r="H19" s="463">
        <f>H12*'Cracker Yields'!$H$7+'Cracker Yields'!$I$7*'Financial Model (84 Months)'!H13+'Financial Model (84 Months)'!H14*'Cracker Yields'!$J$7+'Cracker Yields'!$K$7*'Financial Model (84 Months)'!H15</f>
        <v>11641.716666666667</v>
      </c>
      <c r="I19" s="463">
        <f>I12*'Cracker Yields'!$H$7+'Cracker Yields'!$I$7*'Financial Model (84 Months)'!I13+'Financial Model (84 Months)'!I14*'Cracker Yields'!$J$7+'Cracker Yields'!$K$7*'Financial Model (84 Months)'!I15</f>
        <v>11641.716666666667</v>
      </c>
      <c r="J19" s="463">
        <f>J12*'Cracker Yields'!$H$7+'Cracker Yields'!$I$7*'Financial Model (84 Months)'!J13+'Financial Model (84 Months)'!J14*'Cracker Yields'!$J$7+'Cracker Yields'!$K$7*'Financial Model (84 Months)'!J15</f>
        <v>11641.716666666667</v>
      </c>
      <c r="K19" s="463">
        <f>K12*'Cracker Yields'!$H$7+'Cracker Yields'!$I$7*'Financial Model (84 Months)'!K13+'Financial Model (84 Months)'!K14*'Cracker Yields'!$J$7+'Cracker Yields'!$K$7*'Financial Model (84 Months)'!K15</f>
        <v>11641.716666666667</v>
      </c>
      <c r="L19" s="463">
        <f>L12*'Cracker Yields'!$H$7+'Cracker Yields'!$I$7*'Financial Model (84 Months)'!L13+'Financial Model (84 Months)'!L14*'Cracker Yields'!$J$7+'Cracker Yields'!$K$7*'Financial Model (84 Months)'!L15</f>
        <v>11641.716666666667</v>
      </c>
      <c r="M19" s="463">
        <f>M12*'Cracker Yields'!$H$7+'Cracker Yields'!$I$7*'Financial Model (84 Months)'!M13+'Financial Model (84 Months)'!M14*'Cracker Yields'!$J$7+'Cracker Yields'!$K$7*'Financial Model (84 Months)'!M15</f>
        <v>11641.716666666667</v>
      </c>
      <c r="N19" s="463">
        <f>N12*'Cracker Yields'!$H$7+'Cracker Yields'!$I$7*'Financial Model (84 Months)'!N13+'Financial Model (84 Months)'!N14*'Cracker Yields'!$J$7+'Cracker Yields'!$K$7*'Financial Model (84 Months)'!N15</f>
        <v>11641.716666666667</v>
      </c>
      <c r="O19" s="463">
        <f>O12*'Cracker Yields'!$H$7+'Cracker Yields'!$I$7*'Financial Model (84 Months)'!O13+'Financial Model (84 Months)'!O14*'Cracker Yields'!$J$7+'Cracker Yields'!$K$7*'Financial Model (84 Months)'!O15</f>
        <v>11641.716666666667</v>
      </c>
      <c r="P19" s="463">
        <f>P12*'Cracker Yields'!$H$7+'Cracker Yields'!$I$7*'Financial Model (84 Months)'!P13+'Financial Model (84 Months)'!P14*'Cracker Yields'!$J$7+'Cracker Yields'!$K$7*'Financial Model (84 Months)'!P15</f>
        <v>11641.716666666667</v>
      </c>
      <c r="Q19" s="463">
        <f>Q12*'Cracker Yields'!$H$7+'Cracker Yields'!$I$7*'Financial Model (84 Months)'!Q13+'Financial Model (84 Months)'!Q14*'Cracker Yields'!$J$7+'Cracker Yields'!$K$7*'Financial Model (84 Months)'!Q15</f>
        <v>11641.716666666667</v>
      </c>
      <c r="R19" s="463">
        <f>R12*'Cracker Yields'!$H$7+'Cracker Yields'!$I$7*'Financial Model (84 Months)'!R13+'Financial Model (84 Months)'!R14*'Cracker Yields'!$J$7+'Cracker Yields'!$K$7*'Financial Model (84 Months)'!R15</f>
        <v>11641.716666666667</v>
      </c>
      <c r="S19" s="463">
        <f>S12*'Cracker Yields'!$H$7+'Cracker Yields'!$I$7*'Financial Model (84 Months)'!S13+'Financial Model (84 Months)'!S14*'Cracker Yields'!$J$7+'Cracker Yields'!$K$7*'Financial Model (84 Months)'!S15</f>
        <v>11641.716666666667</v>
      </c>
      <c r="T19" s="566">
        <f>T12*'Cracker Yields'!$H$7+'Cracker Yields'!$I$7*'Financial Model (84 Months)'!T13+'Financial Model (84 Months)'!T14*'Cracker Yields'!$J$7+'Cracker Yields'!$K$7*'Financial Model (84 Months)'!T15</f>
        <v>11641.716666666667</v>
      </c>
      <c r="U19" s="463">
        <f>U12*'Cracker Yields'!$H$7+'Cracker Yields'!$I$7*'Financial Model (84 Months)'!U13+'Financial Model (84 Months)'!U14*'Cracker Yields'!$J$7+'Cracker Yields'!$K$7*'Financial Model (84 Months)'!U15</f>
        <v>11641.716666666667</v>
      </c>
      <c r="V19" s="566">
        <f>V12*'Cracker Yields'!$H$7+'Cracker Yields'!$I$7*'Financial Model (84 Months)'!V13+'Financial Model (84 Months)'!V14*'Cracker Yields'!$J$7+'Cracker Yields'!$K$7*'Financial Model (84 Months)'!V15</f>
        <v>11641.716666666667</v>
      </c>
      <c r="W19" s="463">
        <f>W12*'Cracker Yields'!$H$7+'Cracker Yields'!$I$7*'Financial Model (84 Months)'!W13+'Financial Model (84 Months)'!W14*'Cracker Yields'!$J$7+'Cracker Yields'!$K$7*'Financial Model (84 Months)'!W15</f>
        <v>11641.716666666667</v>
      </c>
      <c r="X19" s="566">
        <f>X12*'Cracker Yields'!$H$7+'Cracker Yields'!$I$7*'Financial Model (84 Months)'!X13+'Financial Model (84 Months)'!X14*'Cracker Yields'!$J$7+'Cracker Yields'!$K$7*'Financial Model (84 Months)'!X15</f>
        <v>11641.716666666667</v>
      </c>
      <c r="Y19" s="463">
        <f>Y12*'Cracker Yields'!$H$7+'Cracker Yields'!$I$7*'Financial Model (84 Months)'!Y13+'Financial Model (84 Months)'!Y14*'Cracker Yields'!$J$7+'Cracker Yields'!$K$7*'Financial Model (84 Months)'!Y15</f>
        <v>11641.716666666667</v>
      </c>
      <c r="Z19" s="566">
        <f>Z12*'Cracker Yields'!$H$7+'Cracker Yields'!$I$7*'Financial Model (84 Months)'!Z13+'Financial Model (84 Months)'!Z14*'Cracker Yields'!$J$7+'Cracker Yields'!$K$7*'Financial Model (84 Months)'!Z15</f>
        <v>11641.716666666667</v>
      </c>
      <c r="AA19" s="463">
        <f>AA12*'Cracker Yields'!$H$7+'Cracker Yields'!$I$7*'Financial Model (84 Months)'!AA13+'Financial Model (84 Months)'!AA14*'Cracker Yields'!$J$7+'Cracker Yields'!$K$7*'Financial Model (84 Months)'!AA15</f>
        <v>11641.716666666667</v>
      </c>
      <c r="AB19" s="566">
        <f>AB12*'Cracker Yields'!$H$7+'Cracker Yields'!$I$7*'Financial Model (84 Months)'!AB13+'Financial Model (84 Months)'!AB14*'Cracker Yields'!$J$7+'Cracker Yields'!$K$7*'Financial Model (84 Months)'!AB15</f>
        <v>11641.716666666667</v>
      </c>
      <c r="AC19" s="463">
        <f>AC12*'Cracker Yields'!$H$7+'Cracker Yields'!$I$7*'Financial Model (84 Months)'!AC13+'Financial Model (84 Months)'!AC14*'Cracker Yields'!$J$7+'Cracker Yields'!$K$7*'Financial Model (84 Months)'!AC15</f>
        <v>11641.716666666667</v>
      </c>
      <c r="AD19" s="566">
        <f>AD12*'Cracker Yields'!$H$7+'Cracker Yields'!$I$7*'Financial Model (84 Months)'!AD13+'Financial Model (84 Months)'!AD14*'Cracker Yields'!$J$7+'Cracker Yields'!$K$7*'Financial Model (84 Months)'!AD15</f>
        <v>11641.716666666667</v>
      </c>
      <c r="AE19" s="463">
        <f>AE12*'Cracker Yields'!$H$7+'Cracker Yields'!$I$7*'Financial Model (84 Months)'!AE13+'Financial Model (84 Months)'!AE14*'Cracker Yields'!$J$7+'Cracker Yields'!$K$7*'Financial Model (84 Months)'!AE15</f>
        <v>11641.716666666667</v>
      </c>
      <c r="AF19" s="566">
        <f>AF12*'Cracker Yields'!$H$7+'Cracker Yields'!$I$7*'Financial Model (84 Months)'!AF13+'Financial Model (84 Months)'!AF14*'Cracker Yields'!$J$7+'Cracker Yields'!$K$7*'Financial Model (84 Months)'!AF15</f>
        <v>11641.716666666667</v>
      </c>
      <c r="AG19" s="463">
        <f>AG12*'Cracker Yields'!$H$7+'Cracker Yields'!$I$7*'Financial Model (84 Months)'!AG13+'Financial Model (84 Months)'!AG14*'Cracker Yields'!$J$7+'Cracker Yields'!$K$7*'Financial Model (84 Months)'!AG15</f>
        <v>11641.716666666667</v>
      </c>
      <c r="AH19" s="566">
        <f>AH12*'Cracker Yields'!$H$7+'Cracker Yields'!$I$7*'Financial Model (84 Months)'!AH13+'Financial Model (84 Months)'!AH14*'Cracker Yields'!$J$7+'Cracker Yields'!$K$7*'Financial Model (84 Months)'!AH15</f>
        <v>11641.716666666667</v>
      </c>
      <c r="AI19" s="463">
        <f>AI12*'Cracker Yields'!$H$7+'Cracker Yields'!$I$7*'Financial Model (84 Months)'!AI13+'Financial Model (84 Months)'!AI14*'Cracker Yields'!$J$7+'Cracker Yields'!$K$7*'Financial Model (84 Months)'!AI15</f>
        <v>11641.716666666667</v>
      </c>
      <c r="AJ19" s="566">
        <f>AJ12*'Cracker Yields'!$H$7+'Cracker Yields'!$I$7*'Financial Model (84 Months)'!AJ13+'Financial Model (84 Months)'!AJ14*'Cracker Yields'!$J$7+'Cracker Yields'!$K$7*'Financial Model (84 Months)'!AJ15</f>
        <v>11641.716666666667</v>
      </c>
      <c r="AK19" s="463">
        <f>AK12*'Cracker Yields'!$H$7+'Cracker Yields'!$I$7*'Financial Model (84 Months)'!AK13+'Financial Model (84 Months)'!AK14*'Cracker Yields'!$J$7+'Cracker Yields'!$K$7*'Financial Model (84 Months)'!AK15</f>
        <v>11641.716666666667</v>
      </c>
      <c r="AL19" s="566">
        <f>AL12*'Cracker Yields'!$H$7+'Cracker Yields'!$I$7*'Financial Model (84 Months)'!AL13+'Financial Model (84 Months)'!AL14*'Cracker Yields'!$J$7+'Cracker Yields'!$K$7*'Financial Model (84 Months)'!AL15</f>
        <v>11641.716666666667</v>
      </c>
      <c r="AM19" s="463">
        <f>AM12*'Cracker Yields'!$H$7+'Cracker Yields'!$I$7*'Financial Model (84 Months)'!AM13+'Financial Model (84 Months)'!AM14*'Cracker Yields'!$J$7+'Cracker Yields'!$K$7*'Financial Model (84 Months)'!AM15</f>
        <v>11641.716666666667</v>
      </c>
      <c r="AN19" s="566">
        <f>AN12*'Cracker Yields'!$H$7+'Cracker Yields'!$I$7*'Financial Model (84 Months)'!AN13+'Financial Model (84 Months)'!AN14*'Cracker Yields'!$J$7+'Cracker Yields'!$K$7*'Financial Model (84 Months)'!AN15</f>
        <v>11641.716666666667</v>
      </c>
      <c r="AO19" s="463">
        <f>AO12*'Cracker Yields'!$H$7+'Cracker Yields'!$I$7*'Financial Model (84 Months)'!AO13+'Financial Model (84 Months)'!AO14*'Cracker Yields'!$J$7+'Cracker Yields'!$K$7*'Financial Model (84 Months)'!AO15</f>
        <v>11641.716666666667</v>
      </c>
      <c r="AP19" s="566">
        <f>AP12*'Cracker Yields'!$H$7+'Cracker Yields'!$I$7*'Financial Model (84 Months)'!AP13+'Financial Model (84 Months)'!AP14*'Cracker Yields'!$J$7+'Cracker Yields'!$K$7*'Financial Model (84 Months)'!AP15</f>
        <v>11641.716666666667</v>
      </c>
      <c r="AQ19" s="463">
        <f>AQ12*'Cracker Yields'!$H$7+'Cracker Yields'!$I$7*'Financial Model (84 Months)'!AQ13+'Financial Model (84 Months)'!AQ14*'Cracker Yields'!$J$7+'Cracker Yields'!$K$7*'Financial Model (84 Months)'!AQ15</f>
        <v>11641.716666666667</v>
      </c>
      <c r="AR19" s="566">
        <f>AR12*'Cracker Yields'!$H$7+'Cracker Yields'!$I$7*'Financial Model (84 Months)'!AR13+'Financial Model (84 Months)'!AR14*'Cracker Yields'!$J$7+'Cracker Yields'!$K$7*'Financial Model (84 Months)'!AR15</f>
        <v>11641.716666666667</v>
      </c>
      <c r="AS19" s="463">
        <f>AS12*'Cracker Yields'!$H$7+'Cracker Yields'!$I$7*'Financial Model (84 Months)'!AS13+'Financial Model (84 Months)'!AS14*'Cracker Yields'!$J$7+'Cracker Yields'!$K$7*'Financial Model (84 Months)'!AS15</f>
        <v>11641.716666666667</v>
      </c>
      <c r="AT19" s="566">
        <f>AT12*'Cracker Yields'!$H$7+'Cracker Yields'!$I$7*'Financial Model (84 Months)'!AT13+'Financial Model (84 Months)'!AT14*'Cracker Yields'!$J$7+'Cracker Yields'!$K$7*'Financial Model (84 Months)'!AT15</f>
        <v>11641.716666666667</v>
      </c>
      <c r="AU19" s="463">
        <f>AU12*'Cracker Yields'!$H$7+'Cracker Yields'!$I$7*'Financial Model (84 Months)'!AU13+'Financial Model (84 Months)'!AU14*'Cracker Yields'!$J$7+'Cracker Yields'!$K$7*'Financial Model (84 Months)'!AU15</f>
        <v>11641.716666666667</v>
      </c>
      <c r="AV19" s="463">
        <f>AV12*'Cracker Yields'!$H$7+'Cracker Yields'!$I$7*'Financial Model (84 Months)'!AV13+'Financial Model (84 Months)'!AV14*'Cracker Yields'!$J$7+'Cracker Yields'!$K$7*'Financial Model (84 Months)'!AV15</f>
        <v>11641.716666666667</v>
      </c>
      <c r="AW19" s="463">
        <f>AW12*'Cracker Yields'!$H$7+'Cracker Yields'!$I$7*'Financial Model (84 Months)'!AW13+'Financial Model (84 Months)'!AW14*'Cracker Yields'!$J$7+'Cracker Yields'!$K$7*'Financial Model (84 Months)'!AW15</f>
        <v>11641.716666666667</v>
      </c>
      <c r="AX19" s="463">
        <f>AX12*'Cracker Yields'!$H$7+'Cracker Yields'!$I$7*'Financial Model (84 Months)'!AX13+'Financial Model (84 Months)'!AX14*'Cracker Yields'!$J$7+'Cracker Yields'!$K$7*'Financial Model (84 Months)'!AX15</f>
        <v>11641.716666666667</v>
      </c>
      <c r="AY19" s="463">
        <f>AY12*'Cracker Yields'!$H$7+'Cracker Yields'!$I$7*'Financial Model (84 Months)'!AY13+'Financial Model (84 Months)'!AY14*'Cracker Yields'!$J$7+'Cracker Yields'!$K$7*'Financial Model (84 Months)'!AY15</f>
        <v>11641.716666666667</v>
      </c>
      <c r="AZ19" s="463">
        <f>AZ12*'Cracker Yields'!$H$7+'Cracker Yields'!$I$7*'Financial Model (84 Months)'!AZ13+'Financial Model (84 Months)'!AZ14*'Cracker Yields'!$J$7+'Cracker Yields'!$K$7*'Financial Model (84 Months)'!AZ15</f>
        <v>11641.716666666667</v>
      </c>
      <c r="BA19" s="463">
        <f>BA12*'Cracker Yields'!$H$7+'Cracker Yields'!$I$7*'Financial Model (84 Months)'!BA13+'Financial Model (84 Months)'!BA14*'Cracker Yields'!$J$7+'Cracker Yields'!$K$7*'Financial Model (84 Months)'!BA15</f>
        <v>11641.716666666667</v>
      </c>
      <c r="BB19" s="463">
        <f>BB12*'Cracker Yields'!$H$7+'Cracker Yields'!$I$7*'Financial Model (84 Months)'!BB13+'Financial Model (84 Months)'!BB14*'Cracker Yields'!$J$7+'Cracker Yields'!$K$7*'Financial Model (84 Months)'!BB15</f>
        <v>11641.716666666667</v>
      </c>
      <c r="BC19" s="463">
        <f>BC12*'Cracker Yields'!$H$7+'Cracker Yields'!$I$7*'Financial Model (84 Months)'!BC13+'Financial Model (84 Months)'!BC14*'Cracker Yields'!$J$7+'Cracker Yields'!$K$7*'Financial Model (84 Months)'!BC15</f>
        <v>11641.716666666667</v>
      </c>
      <c r="BD19" s="463">
        <f>BD12*'Cracker Yields'!$H$7+'Cracker Yields'!$I$7*'Financial Model (84 Months)'!BD13+'Financial Model (84 Months)'!BD14*'Cracker Yields'!$J$7+'Cracker Yields'!$K$7*'Financial Model (84 Months)'!BD15</f>
        <v>11641.716666666667</v>
      </c>
      <c r="BE19" s="463">
        <f>BE12*'Cracker Yields'!$H$7+'Cracker Yields'!$I$7*'Financial Model (84 Months)'!BE13+'Financial Model (84 Months)'!BE14*'Cracker Yields'!$J$7+'Cracker Yields'!$K$7*'Financial Model (84 Months)'!BE15</f>
        <v>11641.716666666667</v>
      </c>
      <c r="BF19" s="463">
        <f>BF12*'Cracker Yields'!$H$7+'Cracker Yields'!$I$7*'Financial Model (84 Months)'!BF13+'Financial Model (84 Months)'!BF14*'Cracker Yields'!$J$7+'Cracker Yields'!$K$7*'Financial Model (84 Months)'!BF15</f>
        <v>11641.716666666667</v>
      </c>
      <c r="BG19" s="463">
        <f>BG12*'Cracker Yields'!$H$7+'Cracker Yields'!$I$7*'Financial Model (84 Months)'!BG13+'Financial Model (84 Months)'!BG14*'Cracker Yields'!$J$7+'Cracker Yields'!$K$7*'Financial Model (84 Months)'!BG15</f>
        <v>11641.716666666667</v>
      </c>
      <c r="BH19" s="463">
        <f>BH12*'Cracker Yields'!$H$7+'Cracker Yields'!$I$7*'Financial Model (84 Months)'!BH13+'Financial Model (84 Months)'!BH14*'Cracker Yields'!$J$7+'Cracker Yields'!$K$7*'Financial Model (84 Months)'!BH15</f>
        <v>11641.716666666667</v>
      </c>
      <c r="BI19" s="463">
        <f>BI12*'Cracker Yields'!$H$7+'Cracker Yields'!$I$7*'Financial Model (84 Months)'!BI13+'Financial Model (84 Months)'!BI14*'Cracker Yields'!$J$7+'Cracker Yields'!$K$7*'Financial Model (84 Months)'!BI15</f>
        <v>11641.716666666667</v>
      </c>
      <c r="BJ19" s="463">
        <f>BJ12*'Cracker Yields'!$H$7+'Cracker Yields'!$I$7*'Financial Model (84 Months)'!BJ13+'Financial Model (84 Months)'!BJ14*'Cracker Yields'!$J$7+'Cracker Yields'!$K$7*'Financial Model (84 Months)'!BJ15</f>
        <v>11641.716666666667</v>
      </c>
      <c r="BK19" s="463">
        <f>BK12*'Cracker Yields'!$H$7+'Cracker Yields'!$I$7*'Financial Model (84 Months)'!BK13+'Financial Model (84 Months)'!BK14*'Cracker Yields'!$J$7+'Cracker Yields'!$K$7*'Financial Model (84 Months)'!BK15</f>
        <v>11641.716666666667</v>
      </c>
      <c r="BL19" s="463">
        <f>BL12*'Cracker Yields'!$H$7+'Cracker Yields'!$I$7*'Financial Model (84 Months)'!BL13+'Financial Model (84 Months)'!BL14*'Cracker Yields'!$J$7+'Cracker Yields'!$K$7*'Financial Model (84 Months)'!BL15</f>
        <v>11641.716666666667</v>
      </c>
      <c r="BM19" s="463">
        <f>BM12*'Cracker Yields'!$H$7+'Cracker Yields'!$I$7*'Financial Model (84 Months)'!BM13+'Financial Model (84 Months)'!BM14*'Cracker Yields'!$J$7+'Cracker Yields'!$K$7*'Financial Model (84 Months)'!BM15</f>
        <v>11641.716666666667</v>
      </c>
      <c r="BN19" s="463">
        <f>BN12*'Cracker Yields'!$H$7+'Cracker Yields'!$I$7*'Financial Model (84 Months)'!BN13+'Financial Model (84 Months)'!BN14*'Cracker Yields'!$J$7+'Cracker Yields'!$K$7*'Financial Model (84 Months)'!BN15</f>
        <v>11641.716666666667</v>
      </c>
      <c r="BO19" s="463">
        <f>BO12*'Cracker Yields'!$H$7+'Cracker Yields'!$I$7*'Financial Model (84 Months)'!BO13+'Financial Model (84 Months)'!BO14*'Cracker Yields'!$J$7+'Cracker Yields'!$K$7*'Financial Model (84 Months)'!BO15</f>
        <v>11641.716666666667</v>
      </c>
      <c r="BP19" s="463">
        <f>BP12*'Cracker Yields'!$H$7+'Cracker Yields'!$I$7*'Financial Model (84 Months)'!BP13+'Financial Model (84 Months)'!BP14*'Cracker Yields'!$J$7+'Cracker Yields'!$K$7*'Financial Model (84 Months)'!BP15</f>
        <v>11641.716666666667</v>
      </c>
      <c r="BQ19" s="463">
        <f>BQ12*'Cracker Yields'!$H$7+'Cracker Yields'!$I$7*'Financial Model (84 Months)'!BQ13+'Financial Model (84 Months)'!BQ14*'Cracker Yields'!$J$7+'Cracker Yields'!$K$7*'Financial Model (84 Months)'!BQ15</f>
        <v>11641.716666666667</v>
      </c>
      <c r="BR19" s="463">
        <f>BR12*'Cracker Yields'!$H$7+'Cracker Yields'!$I$7*'Financial Model (84 Months)'!BR13+'Financial Model (84 Months)'!BR14*'Cracker Yields'!$J$7+'Cracker Yields'!$K$7*'Financial Model (84 Months)'!BR15</f>
        <v>11641.716666666667</v>
      </c>
      <c r="BS19" s="463">
        <f>BS12*'Cracker Yields'!$H$7+'Cracker Yields'!$I$7*'Financial Model (84 Months)'!BS13+'Financial Model (84 Months)'!BS14*'Cracker Yields'!$J$7+'Cracker Yields'!$K$7*'Financial Model (84 Months)'!BS15</f>
        <v>11641.716666666667</v>
      </c>
      <c r="BT19" s="463">
        <f>BT12*'Cracker Yields'!$H$7+'Cracker Yields'!$I$7*'Financial Model (84 Months)'!BT13+'Financial Model (84 Months)'!BT14*'Cracker Yields'!$J$7+'Cracker Yields'!$K$7*'Financial Model (84 Months)'!BT15</f>
        <v>11641.716666666667</v>
      </c>
      <c r="BU19" s="463">
        <f>BU12*'Cracker Yields'!$H$7+'Cracker Yields'!$I$7*'Financial Model (84 Months)'!BU13+'Financial Model (84 Months)'!BU14*'Cracker Yields'!$J$7+'Cracker Yields'!$K$7*'Financial Model (84 Months)'!BU15</f>
        <v>11641.716666666667</v>
      </c>
      <c r="BV19" s="463">
        <f>BV12*'Cracker Yields'!$H$7+'Cracker Yields'!$I$7*'Financial Model (84 Months)'!BV13+'Financial Model (84 Months)'!BV14*'Cracker Yields'!$J$7+'Cracker Yields'!$K$7*'Financial Model (84 Months)'!BV15</f>
        <v>11641.716666666667</v>
      </c>
      <c r="BW19" s="463">
        <f>BW12*'Cracker Yields'!$H$7+'Cracker Yields'!$I$7*'Financial Model (84 Months)'!BW13+'Financial Model (84 Months)'!BW14*'Cracker Yields'!$J$7+'Cracker Yields'!$K$7*'Financial Model (84 Months)'!BW15</f>
        <v>11641.716666666667</v>
      </c>
      <c r="BX19" s="463">
        <f>BX12*'Cracker Yields'!$H$7+'Cracker Yields'!$I$7*'Financial Model (84 Months)'!BX13+'Financial Model (84 Months)'!BX14*'Cracker Yields'!$J$7+'Cracker Yields'!$K$7*'Financial Model (84 Months)'!BX15</f>
        <v>11641.716666666667</v>
      </c>
      <c r="BY19" s="463">
        <f>BY12*'Cracker Yields'!$H$7+'Cracker Yields'!$I$7*'Financial Model (84 Months)'!BY13+'Financial Model (84 Months)'!BY14*'Cracker Yields'!$J$7+'Cracker Yields'!$K$7*'Financial Model (84 Months)'!BY15</f>
        <v>11641.716666666667</v>
      </c>
      <c r="BZ19" s="463">
        <f>BZ12*'Cracker Yields'!$H$7+'Cracker Yields'!$I$7*'Financial Model (84 Months)'!BZ13+'Financial Model (84 Months)'!BZ14*'Cracker Yields'!$J$7+'Cracker Yields'!$K$7*'Financial Model (84 Months)'!BZ15</f>
        <v>11641.716666666667</v>
      </c>
      <c r="CA19" s="463">
        <f>CA12*'Cracker Yields'!$H$7+'Cracker Yields'!$I$7*'Financial Model (84 Months)'!CA13+'Financial Model (84 Months)'!CA14*'Cracker Yields'!$J$7+'Cracker Yields'!$K$7*'Financial Model (84 Months)'!CA15</f>
        <v>11641.716666666667</v>
      </c>
      <c r="CB19" s="463">
        <f>CB12*'Cracker Yields'!$H$7+'Cracker Yields'!$I$7*'Financial Model (84 Months)'!CB13+'Financial Model (84 Months)'!CB14*'Cracker Yields'!$J$7+'Cracker Yields'!$K$7*'Financial Model (84 Months)'!CB15</f>
        <v>11641.716666666667</v>
      </c>
      <c r="CC19" s="463">
        <f>CC12*'Cracker Yields'!$H$7+'Cracker Yields'!$I$7*'Financial Model (84 Months)'!CC13+'Financial Model (84 Months)'!CC14*'Cracker Yields'!$J$7+'Cracker Yields'!$K$7*'Financial Model (84 Months)'!CC15</f>
        <v>11641.716666666667</v>
      </c>
      <c r="CD19" s="463">
        <f>CD12*'Cracker Yields'!$H$7+'Cracker Yields'!$I$7*'Financial Model (84 Months)'!CD13+'Financial Model (84 Months)'!CD14*'Cracker Yields'!$J$7+'Cracker Yields'!$K$7*'Financial Model (84 Months)'!CD15</f>
        <v>11641.716666666667</v>
      </c>
      <c r="CE19" s="463">
        <f>CE12*'Cracker Yields'!$H$7+'Cracker Yields'!$I$7*'Financial Model (84 Months)'!CE13+'Financial Model (84 Months)'!CE14*'Cracker Yields'!$J$7+'Cracker Yields'!$K$7*'Financial Model (84 Months)'!CE15</f>
        <v>11641.716666666667</v>
      </c>
      <c r="CF19" s="463">
        <f>CF12*'Cracker Yields'!$H$7+'Cracker Yields'!$I$7*'Financial Model (84 Months)'!CF13+'Financial Model (84 Months)'!CF14*'Cracker Yields'!$J$7+'Cracker Yields'!$K$7*'Financial Model (84 Months)'!CF15</f>
        <v>11641.716666666667</v>
      </c>
      <c r="CG19" s="463">
        <f>CG12*'Cracker Yields'!$H$7+'Cracker Yields'!$I$7*'Financial Model (84 Months)'!CG13+'Financial Model (84 Months)'!CG14*'Cracker Yields'!$J$7+'Cracker Yields'!$K$7*'Financial Model (84 Months)'!CG15</f>
        <v>11641.716666666667</v>
      </c>
      <c r="CH19" s="463">
        <f>CH12*'Cracker Yields'!$H$7+'Cracker Yields'!$I$7*'Financial Model (84 Months)'!CH13+'Financial Model (84 Months)'!CH14*'Cracker Yields'!$J$7+'Cracker Yields'!$K$7*'Financial Model (84 Months)'!CH15</f>
        <v>11641.716666666667</v>
      </c>
      <c r="CI19" s="463">
        <f>CI12*'Cracker Yields'!$H$7+'Cracker Yields'!$I$7*'Financial Model (84 Months)'!CI13+'Financial Model (84 Months)'!CI14*'Cracker Yields'!$J$7+'Cracker Yields'!$K$7*'Financial Model (84 Months)'!CI15</f>
        <v>11641.716666666667</v>
      </c>
      <c r="CJ19" s="463">
        <f>CJ12*'Cracker Yields'!$H$7+'Cracker Yields'!$I$7*'Financial Model (84 Months)'!CJ13+'Financial Model (84 Months)'!CJ14*'Cracker Yields'!$J$7+'Cracker Yields'!$K$7*'Financial Model (84 Months)'!CJ15</f>
        <v>11641.716666666667</v>
      </c>
      <c r="CK19" s="463">
        <f>CK12*'Cracker Yields'!$H$7+'Cracker Yields'!$I$7*'Financial Model (84 Months)'!CK13+'Financial Model (84 Months)'!CK14*'Cracker Yields'!$J$7+'Cracker Yields'!$K$7*'Financial Model (84 Months)'!CK15</f>
        <v>11641.716666666667</v>
      </c>
      <c r="CL19" s="464">
        <f>CL12*'Cracker Yields'!$H$7+'Cracker Yields'!$I$7*'Financial Model (84 Months)'!CL13+'Financial Model (84 Months)'!CL14*'Cracker Yields'!$J$7+'Cracker Yields'!$K$7*'Financial Model (84 Months)'!CL15</f>
        <v>11641.716666666667</v>
      </c>
      <c r="CM19" s="380">
        <f t="shared" si="0"/>
        <v>11641.716666666673</v>
      </c>
      <c r="CN19" s="435"/>
      <c r="CO19" s="435"/>
      <c r="CP19" s="435"/>
      <c r="CQ19" s="435"/>
      <c r="CR19" s="435"/>
      <c r="CS19" s="435"/>
      <c r="CT19" s="435"/>
      <c r="CU19" s="435"/>
      <c r="CV19" s="435"/>
      <c r="CW19" s="435"/>
      <c r="CX19" s="435"/>
      <c r="CY19" s="435"/>
      <c r="CZ19" s="435"/>
      <c r="DA19" s="435"/>
      <c r="DB19" s="435"/>
      <c r="DC19" s="435"/>
      <c r="DD19" s="435"/>
      <c r="DE19" s="435"/>
      <c r="DF19" s="435"/>
      <c r="DG19" s="435"/>
      <c r="DH19" s="435"/>
      <c r="DI19" s="435"/>
      <c r="DJ19" s="435"/>
      <c r="DK19" s="435"/>
      <c r="DL19" s="435"/>
      <c r="DM19" s="435"/>
      <c r="DN19" s="435"/>
      <c r="DO19" s="435"/>
      <c r="DP19" s="435"/>
      <c r="DQ19" s="435"/>
      <c r="DR19" s="435"/>
      <c r="DS19" s="435"/>
      <c r="DT19" s="435"/>
      <c r="DU19" s="435"/>
      <c r="DV19" s="435"/>
      <c r="DW19" s="435"/>
      <c r="DX19" s="435"/>
      <c r="DY19" s="435"/>
      <c r="DZ19" s="435"/>
      <c r="EA19" s="435"/>
      <c r="EB19" s="435"/>
      <c r="EC19" s="435"/>
      <c r="ED19" s="435"/>
      <c r="EE19" s="435"/>
      <c r="EF19" s="435"/>
      <c r="EG19" s="435"/>
      <c r="EH19" s="435"/>
      <c r="EI19" s="435"/>
      <c r="EJ19" s="435"/>
      <c r="EK19" s="435"/>
      <c r="EL19" s="435"/>
      <c r="EM19" s="435"/>
      <c r="EN19" s="435"/>
      <c r="EO19" s="435"/>
      <c r="EP19" s="435"/>
      <c r="EQ19" s="435"/>
      <c r="ER19" s="435"/>
      <c r="ES19" s="435"/>
      <c r="ET19" s="435"/>
      <c r="EU19" s="435"/>
      <c r="EV19" s="435"/>
      <c r="EW19" s="435"/>
      <c r="EX19" s="435"/>
      <c r="EY19" s="435"/>
      <c r="EZ19" s="435"/>
      <c r="FA19" s="435"/>
      <c r="FB19" s="435"/>
      <c r="FC19" s="435"/>
      <c r="FD19" s="435"/>
      <c r="FE19" s="435"/>
      <c r="FF19" s="435"/>
      <c r="FG19" s="435"/>
      <c r="FH19" s="435"/>
      <c r="FI19" s="435"/>
      <c r="FJ19" s="435"/>
      <c r="FK19" s="435"/>
      <c r="FL19" s="435"/>
      <c r="FM19" s="435"/>
      <c r="FN19" s="435"/>
      <c r="FO19" s="435"/>
      <c r="FP19" s="435"/>
      <c r="FQ19" s="435"/>
      <c r="FR19" s="435"/>
      <c r="FS19" s="435"/>
      <c r="FT19" s="435"/>
      <c r="FU19" s="435"/>
      <c r="FV19" s="435"/>
    </row>
    <row r="20" spans="1:178">
      <c r="A20" s="1386"/>
      <c r="B20" s="377" t="s">
        <v>403</v>
      </c>
      <c r="C20" s="378" t="s">
        <v>402</v>
      </c>
      <c r="D20" s="378"/>
      <c r="E20" s="1380"/>
      <c r="F20" s="462" t="str">
        <f>F9</f>
        <v xml:space="preserve"> Hydrogenated Pygas (HPG) </v>
      </c>
      <c r="G20" s="463">
        <f>G12*'Cracker Yields'!$H$8+'Cracker Yields'!$I$8*'Financial Model (84 Months)'!G13+'Financial Model (84 Months)'!G14*'Cracker Yields'!$J$8+'Cracker Yields'!$K$8*'Financial Model (84 Months)'!G15</f>
        <v>14526.098</v>
      </c>
      <c r="H20" s="463">
        <f>H12*'Cracker Yields'!$H$8+'Cracker Yields'!$I$8*'Financial Model (84 Months)'!H13+'Financial Model (84 Months)'!H14*'Cracker Yields'!$J$8+'Cracker Yields'!$K$8*'Financial Model (84 Months)'!H15</f>
        <v>14526.098</v>
      </c>
      <c r="I20" s="463">
        <f>I12*'Cracker Yields'!$H$8+'Cracker Yields'!$I$8*'Financial Model (84 Months)'!I13+'Financial Model (84 Months)'!I14*'Cracker Yields'!$J$8+'Cracker Yields'!$K$8*'Financial Model (84 Months)'!I15</f>
        <v>14526.098</v>
      </c>
      <c r="J20" s="463">
        <f>J12*'Cracker Yields'!$H$8+'Cracker Yields'!$I$8*'Financial Model (84 Months)'!J13+'Financial Model (84 Months)'!J14*'Cracker Yields'!$J$8+'Cracker Yields'!$K$8*'Financial Model (84 Months)'!J15</f>
        <v>14526.098</v>
      </c>
      <c r="K20" s="463">
        <f>K12*'Cracker Yields'!$H$8+'Cracker Yields'!$I$8*'Financial Model (84 Months)'!K13+'Financial Model (84 Months)'!K14*'Cracker Yields'!$J$8+'Cracker Yields'!$K$8*'Financial Model (84 Months)'!K15</f>
        <v>14526.098</v>
      </c>
      <c r="L20" s="463">
        <f>L12*'Cracker Yields'!$H$8+'Cracker Yields'!$I$8*'Financial Model (84 Months)'!L13+'Financial Model (84 Months)'!L14*'Cracker Yields'!$J$8+'Cracker Yields'!$K$8*'Financial Model (84 Months)'!L15</f>
        <v>14526.098</v>
      </c>
      <c r="M20" s="463">
        <f>M12*'Cracker Yields'!$H$8+'Cracker Yields'!$I$8*'Financial Model (84 Months)'!M13+'Financial Model (84 Months)'!M14*'Cracker Yields'!$J$8+'Cracker Yields'!$K$8*'Financial Model (84 Months)'!M15</f>
        <v>14526.098</v>
      </c>
      <c r="N20" s="463">
        <f>N12*'Cracker Yields'!$H$8+'Cracker Yields'!$I$8*'Financial Model (84 Months)'!N13+'Financial Model (84 Months)'!N14*'Cracker Yields'!$J$8+'Cracker Yields'!$K$8*'Financial Model (84 Months)'!N15</f>
        <v>14526.098</v>
      </c>
      <c r="O20" s="463">
        <f>O12*'Cracker Yields'!$H$8+'Cracker Yields'!$I$8*'Financial Model (84 Months)'!O13+'Financial Model (84 Months)'!O14*'Cracker Yields'!$J$8+'Cracker Yields'!$K$8*'Financial Model (84 Months)'!O15</f>
        <v>14526.098</v>
      </c>
      <c r="P20" s="463">
        <f>P12*'Cracker Yields'!$H$8+'Cracker Yields'!$I$8*'Financial Model (84 Months)'!P13+'Financial Model (84 Months)'!P14*'Cracker Yields'!$J$8+'Cracker Yields'!$K$8*'Financial Model (84 Months)'!P15</f>
        <v>14526.098</v>
      </c>
      <c r="Q20" s="463">
        <f>Q12*'Cracker Yields'!$H$8+'Cracker Yields'!$I$8*'Financial Model (84 Months)'!Q13+'Financial Model (84 Months)'!Q14*'Cracker Yields'!$J$8+'Cracker Yields'!$K$8*'Financial Model (84 Months)'!Q15</f>
        <v>14526.098</v>
      </c>
      <c r="R20" s="463">
        <f>R12*'Cracker Yields'!$H$8+'Cracker Yields'!$I$8*'Financial Model (84 Months)'!R13+'Financial Model (84 Months)'!R14*'Cracker Yields'!$J$8+'Cracker Yields'!$K$8*'Financial Model (84 Months)'!R15</f>
        <v>14526.098</v>
      </c>
      <c r="S20" s="463">
        <f>S12*'Cracker Yields'!$H$8+'Cracker Yields'!$I$8*'Financial Model (84 Months)'!S13+'Financial Model (84 Months)'!S14*'Cracker Yields'!$J$8+'Cracker Yields'!$K$8*'Financial Model (84 Months)'!S15</f>
        <v>14526.098</v>
      </c>
      <c r="T20" s="566">
        <f>T12*'Cracker Yields'!$H$8+'Cracker Yields'!$I$8*'Financial Model (84 Months)'!T13+'Financial Model (84 Months)'!T14*'Cracker Yields'!$J$8+'Cracker Yields'!$K$8*'Financial Model (84 Months)'!T15</f>
        <v>14526.098</v>
      </c>
      <c r="U20" s="463">
        <f>U12*'Cracker Yields'!$H$8+'Cracker Yields'!$I$8*'Financial Model (84 Months)'!U13+'Financial Model (84 Months)'!U14*'Cracker Yields'!$J$8+'Cracker Yields'!$K$8*'Financial Model (84 Months)'!U15</f>
        <v>14526.098</v>
      </c>
      <c r="V20" s="566">
        <f>V12*'Cracker Yields'!$H$8+'Cracker Yields'!$I$8*'Financial Model (84 Months)'!V13+'Financial Model (84 Months)'!V14*'Cracker Yields'!$J$8+'Cracker Yields'!$K$8*'Financial Model (84 Months)'!V15</f>
        <v>14526.098</v>
      </c>
      <c r="W20" s="463">
        <f>W12*'Cracker Yields'!$H$8+'Cracker Yields'!$I$8*'Financial Model (84 Months)'!W13+'Financial Model (84 Months)'!W14*'Cracker Yields'!$J$8+'Cracker Yields'!$K$8*'Financial Model (84 Months)'!W15</f>
        <v>14526.098</v>
      </c>
      <c r="X20" s="566">
        <f>X12*'Cracker Yields'!$H$8+'Cracker Yields'!$I$8*'Financial Model (84 Months)'!X13+'Financial Model (84 Months)'!X14*'Cracker Yields'!$J$8+'Cracker Yields'!$K$8*'Financial Model (84 Months)'!X15</f>
        <v>14526.098</v>
      </c>
      <c r="Y20" s="463">
        <f>Y12*'Cracker Yields'!$H$8+'Cracker Yields'!$I$8*'Financial Model (84 Months)'!Y13+'Financial Model (84 Months)'!Y14*'Cracker Yields'!$J$8+'Cracker Yields'!$K$8*'Financial Model (84 Months)'!Y15</f>
        <v>14526.098</v>
      </c>
      <c r="Z20" s="566">
        <f>Z12*'Cracker Yields'!$H$8+'Cracker Yields'!$I$8*'Financial Model (84 Months)'!Z13+'Financial Model (84 Months)'!Z14*'Cracker Yields'!$J$8+'Cracker Yields'!$K$8*'Financial Model (84 Months)'!Z15</f>
        <v>14526.098</v>
      </c>
      <c r="AA20" s="463">
        <f>AA12*'Cracker Yields'!$H$8+'Cracker Yields'!$I$8*'Financial Model (84 Months)'!AA13+'Financial Model (84 Months)'!AA14*'Cracker Yields'!$J$8+'Cracker Yields'!$K$8*'Financial Model (84 Months)'!AA15</f>
        <v>14526.098</v>
      </c>
      <c r="AB20" s="566">
        <f>AB12*'Cracker Yields'!$H$8+'Cracker Yields'!$I$8*'Financial Model (84 Months)'!AB13+'Financial Model (84 Months)'!AB14*'Cracker Yields'!$J$8+'Cracker Yields'!$K$8*'Financial Model (84 Months)'!AB15</f>
        <v>14526.098</v>
      </c>
      <c r="AC20" s="463">
        <f>AC12*'Cracker Yields'!$H$8+'Cracker Yields'!$I$8*'Financial Model (84 Months)'!AC13+'Financial Model (84 Months)'!AC14*'Cracker Yields'!$J$8+'Cracker Yields'!$K$8*'Financial Model (84 Months)'!AC15</f>
        <v>14526.098</v>
      </c>
      <c r="AD20" s="566">
        <f>AD12*'Cracker Yields'!$H$8+'Cracker Yields'!$I$8*'Financial Model (84 Months)'!AD13+'Financial Model (84 Months)'!AD14*'Cracker Yields'!$J$8+'Cracker Yields'!$K$8*'Financial Model (84 Months)'!AD15</f>
        <v>14526.098</v>
      </c>
      <c r="AE20" s="463">
        <f>AE12*'Cracker Yields'!$H$8+'Cracker Yields'!$I$8*'Financial Model (84 Months)'!AE13+'Financial Model (84 Months)'!AE14*'Cracker Yields'!$J$8+'Cracker Yields'!$K$8*'Financial Model (84 Months)'!AE15</f>
        <v>14526.098</v>
      </c>
      <c r="AF20" s="566">
        <f>AF12*'Cracker Yields'!$H$8+'Cracker Yields'!$I$8*'Financial Model (84 Months)'!AF13+'Financial Model (84 Months)'!AF14*'Cracker Yields'!$J$8+'Cracker Yields'!$K$8*'Financial Model (84 Months)'!AF15</f>
        <v>14526.098</v>
      </c>
      <c r="AG20" s="463">
        <f>AG12*'Cracker Yields'!$H$8+'Cracker Yields'!$I$8*'Financial Model (84 Months)'!AG13+'Financial Model (84 Months)'!AG14*'Cracker Yields'!$J$8+'Cracker Yields'!$K$8*'Financial Model (84 Months)'!AG15</f>
        <v>14526.098</v>
      </c>
      <c r="AH20" s="566">
        <f>AH12*'Cracker Yields'!$H$8+'Cracker Yields'!$I$8*'Financial Model (84 Months)'!AH13+'Financial Model (84 Months)'!AH14*'Cracker Yields'!$J$8+'Cracker Yields'!$K$8*'Financial Model (84 Months)'!AH15</f>
        <v>14526.098</v>
      </c>
      <c r="AI20" s="463">
        <f>AI12*'Cracker Yields'!$H$8+'Cracker Yields'!$I$8*'Financial Model (84 Months)'!AI13+'Financial Model (84 Months)'!AI14*'Cracker Yields'!$J$8+'Cracker Yields'!$K$8*'Financial Model (84 Months)'!AI15</f>
        <v>14526.098</v>
      </c>
      <c r="AJ20" s="566">
        <f>AJ12*'Cracker Yields'!$H$8+'Cracker Yields'!$I$8*'Financial Model (84 Months)'!AJ13+'Financial Model (84 Months)'!AJ14*'Cracker Yields'!$J$8+'Cracker Yields'!$K$8*'Financial Model (84 Months)'!AJ15</f>
        <v>14526.098</v>
      </c>
      <c r="AK20" s="463">
        <f>AK12*'Cracker Yields'!$H$8+'Cracker Yields'!$I$8*'Financial Model (84 Months)'!AK13+'Financial Model (84 Months)'!AK14*'Cracker Yields'!$J$8+'Cracker Yields'!$K$8*'Financial Model (84 Months)'!AK15</f>
        <v>14526.098</v>
      </c>
      <c r="AL20" s="566">
        <f>AL12*'Cracker Yields'!$H$8+'Cracker Yields'!$I$8*'Financial Model (84 Months)'!AL13+'Financial Model (84 Months)'!AL14*'Cracker Yields'!$J$8+'Cracker Yields'!$K$8*'Financial Model (84 Months)'!AL15</f>
        <v>14526.098</v>
      </c>
      <c r="AM20" s="463">
        <f>AM12*'Cracker Yields'!$H$8+'Cracker Yields'!$I$8*'Financial Model (84 Months)'!AM13+'Financial Model (84 Months)'!AM14*'Cracker Yields'!$J$8+'Cracker Yields'!$K$8*'Financial Model (84 Months)'!AM15</f>
        <v>14526.098</v>
      </c>
      <c r="AN20" s="566">
        <f>AN12*'Cracker Yields'!$H$8+'Cracker Yields'!$I$8*'Financial Model (84 Months)'!AN13+'Financial Model (84 Months)'!AN14*'Cracker Yields'!$J$8+'Cracker Yields'!$K$8*'Financial Model (84 Months)'!AN15</f>
        <v>14526.098</v>
      </c>
      <c r="AO20" s="463">
        <f>AO12*'Cracker Yields'!$H$8+'Cracker Yields'!$I$8*'Financial Model (84 Months)'!AO13+'Financial Model (84 Months)'!AO14*'Cracker Yields'!$J$8+'Cracker Yields'!$K$8*'Financial Model (84 Months)'!AO15</f>
        <v>14526.098</v>
      </c>
      <c r="AP20" s="566">
        <f>AP12*'Cracker Yields'!$H$8+'Cracker Yields'!$I$8*'Financial Model (84 Months)'!AP13+'Financial Model (84 Months)'!AP14*'Cracker Yields'!$J$8+'Cracker Yields'!$K$8*'Financial Model (84 Months)'!AP15</f>
        <v>14526.098</v>
      </c>
      <c r="AQ20" s="463">
        <f>AQ12*'Cracker Yields'!$H$8+'Cracker Yields'!$I$8*'Financial Model (84 Months)'!AQ13+'Financial Model (84 Months)'!AQ14*'Cracker Yields'!$J$8+'Cracker Yields'!$K$8*'Financial Model (84 Months)'!AQ15</f>
        <v>14526.098</v>
      </c>
      <c r="AR20" s="566">
        <f>AR12*'Cracker Yields'!$H$8+'Cracker Yields'!$I$8*'Financial Model (84 Months)'!AR13+'Financial Model (84 Months)'!AR14*'Cracker Yields'!$J$8+'Cracker Yields'!$K$8*'Financial Model (84 Months)'!AR15</f>
        <v>14526.098</v>
      </c>
      <c r="AS20" s="463">
        <f>AS12*'Cracker Yields'!$H$8+'Cracker Yields'!$I$8*'Financial Model (84 Months)'!AS13+'Financial Model (84 Months)'!AS14*'Cracker Yields'!$J$8+'Cracker Yields'!$K$8*'Financial Model (84 Months)'!AS15</f>
        <v>14526.098</v>
      </c>
      <c r="AT20" s="566">
        <f>AT12*'Cracker Yields'!$H$8+'Cracker Yields'!$I$8*'Financial Model (84 Months)'!AT13+'Financial Model (84 Months)'!AT14*'Cracker Yields'!$J$8+'Cracker Yields'!$K$8*'Financial Model (84 Months)'!AT15</f>
        <v>14526.098</v>
      </c>
      <c r="AU20" s="463">
        <f>AU12*'Cracker Yields'!$H$8+'Cracker Yields'!$I$8*'Financial Model (84 Months)'!AU13+'Financial Model (84 Months)'!AU14*'Cracker Yields'!$J$8+'Cracker Yields'!$K$8*'Financial Model (84 Months)'!AU15</f>
        <v>14526.098</v>
      </c>
      <c r="AV20" s="463">
        <f>AV12*'Cracker Yields'!$H$8+'Cracker Yields'!$I$8*'Financial Model (84 Months)'!AV13+'Financial Model (84 Months)'!AV14*'Cracker Yields'!$J$8+'Cracker Yields'!$K$8*'Financial Model (84 Months)'!AV15</f>
        <v>14526.098</v>
      </c>
      <c r="AW20" s="463">
        <f>AW12*'Cracker Yields'!$H$8+'Cracker Yields'!$I$8*'Financial Model (84 Months)'!AW13+'Financial Model (84 Months)'!AW14*'Cracker Yields'!$J$8+'Cracker Yields'!$K$8*'Financial Model (84 Months)'!AW15</f>
        <v>14526.098</v>
      </c>
      <c r="AX20" s="463">
        <f>AX12*'Cracker Yields'!$H$8+'Cracker Yields'!$I$8*'Financial Model (84 Months)'!AX13+'Financial Model (84 Months)'!AX14*'Cracker Yields'!$J$8+'Cracker Yields'!$K$8*'Financial Model (84 Months)'!AX15</f>
        <v>14526.098</v>
      </c>
      <c r="AY20" s="463">
        <f>AY12*'Cracker Yields'!$H$8+'Cracker Yields'!$I$8*'Financial Model (84 Months)'!AY13+'Financial Model (84 Months)'!AY14*'Cracker Yields'!$J$8+'Cracker Yields'!$K$8*'Financial Model (84 Months)'!AY15</f>
        <v>14526.098</v>
      </c>
      <c r="AZ20" s="463">
        <f>AZ12*'Cracker Yields'!$H$8+'Cracker Yields'!$I$8*'Financial Model (84 Months)'!AZ13+'Financial Model (84 Months)'!AZ14*'Cracker Yields'!$J$8+'Cracker Yields'!$K$8*'Financial Model (84 Months)'!AZ15</f>
        <v>14526.098</v>
      </c>
      <c r="BA20" s="463">
        <f>BA12*'Cracker Yields'!$H$8+'Cracker Yields'!$I$8*'Financial Model (84 Months)'!BA13+'Financial Model (84 Months)'!BA14*'Cracker Yields'!$J$8+'Cracker Yields'!$K$8*'Financial Model (84 Months)'!BA15</f>
        <v>14526.098</v>
      </c>
      <c r="BB20" s="463">
        <f>BB12*'Cracker Yields'!$H$8+'Cracker Yields'!$I$8*'Financial Model (84 Months)'!BB13+'Financial Model (84 Months)'!BB14*'Cracker Yields'!$J$8+'Cracker Yields'!$K$8*'Financial Model (84 Months)'!BB15</f>
        <v>14526.098</v>
      </c>
      <c r="BC20" s="463">
        <f>BC12*'Cracker Yields'!$H$8+'Cracker Yields'!$I$8*'Financial Model (84 Months)'!BC13+'Financial Model (84 Months)'!BC14*'Cracker Yields'!$J$8+'Cracker Yields'!$K$8*'Financial Model (84 Months)'!BC15</f>
        <v>14526.098</v>
      </c>
      <c r="BD20" s="463">
        <f>BD12*'Cracker Yields'!$H$8+'Cracker Yields'!$I$8*'Financial Model (84 Months)'!BD13+'Financial Model (84 Months)'!BD14*'Cracker Yields'!$J$8+'Cracker Yields'!$K$8*'Financial Model (84 Months)'!BD15</f>
        <v>14526.098</v>
      </c>
      <c r="BE20" s="463">
        <f>BE12*'Cracker Yields'!$H$8+'Cracker Yields'!$I$8*'Financial Model (84 Months)'!BE13+'Financial Model (84 Months)'!BE14*'Cracker Yields'!$J$8+'Cracker Yields'!$K$8*'Financial Model (84 Months)'!BE15</f>
        <v>14526.098</v>
      </c>
      <c r="BF20" s="463">
        <f>BF12*'Cracker Yields'!$H$8+'Cracker Yields'!$I$8*'Financial Model (84 Months)'!BF13+'Financial Model (84 Months)'!BF14*'Cracker Yields'!$J$8+'Cracker Yields'!$K$8*'Financial Model (84 Months)'!BF15</f>
        <v>14526.098</v>
      </c>
      <c r="BG20" s="463">
        <f>BG12*'Cracker Yields'!$H$8+'Cracker Yields'!$I$8*'Financial Model (84 Months)'!BG13+'Financial Model (84 Months)'!BG14*'Cracker Yields'!$J$8+'Cracker Yields'!$K$8*'Financial Model (84 Months)'!BG15</f>
        <v>14526.098</v>
      </c>
      <c r="BH20" s="463">
        <f>BH12*'Cracker Yields'!$H$8+'Cracker Yields'!$I$8*'Financial Model (84 Months)'!BH13+'Financial Model (84 Months)'!BH14*'Cracker Yields'!$J$8+'Cracker Yields'!$K$8*'Financial Model (84 Months)'!BH15</f>
        <v>14526.098</v>
      </c>
      <c r="BI20" s="463">
        <f>BI12*'Cracker Yields'!$H$8+'Cracker Yields'!$I$8*'Financial Model (84 Months)'!BI13+'Financial Model (84 Months)'!BI14*'Cracker Yields'!$J$8+'Cracker Yields'!$K$8*'Financial Model (84 Months)'!BI15</f>
        <v>14526.098</v>
      </c>
      <c r="BJ20" s="463">
        <f>BJ12*'Cracker Yields'!$H$8+'Cracker Yields'!$I$8*'Financial Model (84 Months)'!BJ13+'Financial Model (84 Months)'!BJ14*'Cracker Yields'!$J$8+'Cracker Yields'!$K$8*'Financial Model (84 Months)'!BJ15</f>
        <v>14526.098</v>
      </c>
      <c r="BK20" s="463">
        <f>BK12*'Cracker Yields'!$H$8+'Cracker Yields'!$I$8*'Financial Model (84 Months)'!BK13+'Financial Model (84 Months)'!BK14*'Cracker Yields'!$J$8+'Cracker Yields'!$K$8*'Financial Model (84 Months)'!BK15</f>
        <v>14526.098</v>
      </c>
      <c r="BL20" s="463">
        <f>BL12*'Cracker Yields'!$H$8+'Cracker Yields'!$I$8*'Financial Model (84 Months)'!BL13+'Financial Model (84 Months)'!BL14*'Cracker Yields'!$J$8+'Cracker Yields'!$K$8*'Financial Model (84 Months)'!BL15</f>
        <v>14526.098</v>
      </c>
      <c r="BM20" s="463">
        <f>BM12*'Cracker Yields'!$H$8+'Cracker Yields'!$I$8*'Financial Model (84 Months)'!BM13+'Financial Model (84 Months)'!BM14*'Cracker Yields'!$J$8+'Cracker Yields'!$K$8*'Financial Model (84 Months)'!BM15</f>
        <v>14526.098</v>
      </c>
      <c r="BN20" s="463">
        <f>BN12*'Cracker Yields'!$H$8+'Cracker Yields'!$I$8*'Financial Model (84 Months)'!BN13+'Financial Model (84 Months)'!BN14*'Cracker Yields'!$J$8+'Cracker Yields'!$K$8*'Financial Model (84 Months)'!BN15</f>
        <v>14526.098</v>
      </c>
      <c r="BO20" s="463">
        <f>BO12*'Cracker Yields'!$H$8+'Cracker Yields'!$I$8*'Financial Model (84 Months)'!BO13+'Financial Model (84 Months)'!BO14*'Cracker Yields'!$J$8+'Cracker Yields'!$K$8*'Financial Model (84 Months)'!BO15</f>
        <v>14526.098</v>
      </c>
      <c r="BP20" s="463">
        <f>BP12*'Cracker Yields'!$H$8+'Cracker Yields'!$I$8*'Financial Model (84 Months)'!BP13+'Financial Model (84 Months)'!BP14*'Cracker Yields'!$J$8+'Cracker Yields'!$K$8*'Financial Model (84 Months)'!BP15</f>
        <v>14526.098</v>
      </c>
      <c r="BQ20" s="463">
        <f>BQ12*'Cracker Yields'!$H$8+'Cracker Yields'!$I$8*'Financial Model (84 Months)'!BQ13+'Financial Model (84 Months)'!BQ14*'Cracker Yields'!$J$8+'Cracker Yields'!$K$8*'Financial Model (84 Months)'!BQ15</f>
        <v>14526.098</v>
      </c>
      <c r="BR20" s="463">
        <f>BR12*'Cracker Yields'!$H$8+'Cracker Yields'!$I$8*'Financial Model (84 Months)'!BR13+'Financial Model (84 Months)'!BR14*'Cracker Yields'!$J$8+'Cracker Yields'!$K$8*'Financial Model (84 Months)'!BR15</f>
        <v>14526.098</v>
      </c>
      <c r="BS20" s="463">
        <f>BS12*'Cracker Yields'!$H$8+'Cracker Yields'!$I$8*'Financial Model (84 Months)'!BS13+'Financial Model (84 Months)'!BS14*'Cracker Yields'!$J$8+'Cracker Yields'!$K$8*'Financial Model (84 Months)'!BS15</f>
        <v>14526.098</v>
      </c>
      <c r="BT20" s="463">
        <f>BT12*'Cracker Yields'!$H$8+'Cracker Yields'!$I$8*'Financial Model (84 Months)'!BT13+'Financial Model (84 Months)'!BT14*'Cracker Yields'!$J$8+'Cracker Yields'!$K$8*'Financial Model (84 Months)'!BT15</f>
        <v>14526.098</v>
      </c>
      <c r="BU20" s="463">
        <f>BU12*'Cracker Yields'!$H$8+'Cracker Yields'!$I$8*'Financial Model (84 Months)'!BU13+'Financial Model (84 Months)'!BU14*'Cracker Yields'!$J$8+'Cracker Yields'!$K$8*'Financial Model (84 Months)'!BU15</f>
        <v>14526.098</v>
      </c>
      <c r="BV20" s="463">
        <f>BV12*'Cracker Yields'!$H$8+'Cracker Yields'!$I$8*'Financial Model (84 Months)'!BV13+'Financial Model (84 Months)'!BV14*'Cracker Yields'!$J$8+'Cracker Yields'!$K$8*'Financial Model (84 Months)'!BV15</f>
        <v>14526.098</v>
      </c>
      <c r="BW20" s="463">
        <f>BW12*'Cracker Yields'!$H$8+'Cracker Yields'!$I$8*'Financial Model (84 Months)'!BW13+'Financial Model (84 Months)'!BW14*'Cracker Yields'!$J$8+'Cracker Yields'!$K$8*'Financial Model (84 Months)'!BW15</f>
        <v>14526.098</v>
      </c>
      <c r="BX20" s="463">
        <f>BX12*'Cracker Yields'!$H$8+'Cracker Yields'!$I$8*'Financial Model (84 Months)'!BX13+'Financial Model (84 Months)'!BX14*'Cracker Yields'!$J$8+'Cracker Yields'!$K$8*'Financial Model (84 Months)'!BX15</f>
        <v>14526.098</v>
      </c>
      <c r="BY20" s="463">
        <f>BY12*'Cracker Yields'!$H$8+'Cracker Yields'!$I$8*'Financial Model (84 Months)'!BY13+'Financial Model (84 Months)'!BY14*'Cracker Yields'!$J$8+'Cracker Yields'!$K$8*'Financial Model (84 Months)'!BY15</f>
        <v>14526.098</v>
      </c>
      <c r="BZ20" s="463">
        <f>BZ12*'Cracker Yields'!$H$8+'Cracker Yields'!$I$8*'Financial Model (84 Months)'!BZ13+'Financial Model (84 Months)'!BZ14*'Cracker Yields'!$J$8+'Cracker Yields'!$K$8*'Financial Model (84 Months)'!BZ15</f>
        <v>14526.098</v>
      </c>
      <c r="CA20" s="463">
        <f>CA12*'Cracker Yields'!$H$8+'Cracker Yields'!$I$8*'Financial Model (84 Months)'!CA13+'Financial Model (84 Months)'!CA14*'Cracker Yields'!$J$8+'Cracker Yields'!$K$8*'Financial Model (84 Months)'!CA15</f>
        <v>14526.098</v>
      </c>
      <c r="CB20" s="463">
        <f>CB12*'Cracker Yields'!$H$8+'Cracker Yields'!$I$8*'Financial Model (84 Months)'!CB13+'Financial Model (84 Months)'!CB14*'Cracker Yields'!$J$8+'Cracker Yields'!$K$8*'Financial Model (84 Months)'!CB15</f>
        <v>14526.098</v>
      </c>
      <c r="CC20" s="463">
        <f>CC12*'Cracker Yields'!$H$8+'Cracker Yields'!$I$8*'Financial Model (84 Months)'!CC13+'Financial Model (84 Months)'!CC14*'Cracker Yields'!$J$8+'Cracker Yields'!$K$8*'Financial Model (84 Months)'!CC15</f>
        <v>14526.098</v>
      </c>
      <c r="CD20" s="463">
        <f>CD12*'Cracker Yields'!$H$8+'Cracker Yields'!$I$8*'Financial Model (84 Months)'!CD13+'Financial Model (84 Months)'!CD14*'Cracker Yields'!$J$8+'Cracker Yields'!$K$8*'Financial Model (84 Months)'!CD15</f>
        <v>14526.098</v>
      </c>
      <c r="CE20" s="463">
        <f>CE12*'Cracker Yields'!$H$8+'Cracker Yields'!$I$8*'Financial Model (84 Months)'!CE13+'Financial Model (84 Months)'!CE14*'Cracker Yields'!$J$8+'Cracker Yields'!$K$8*'Financial Model (84 Months)'!CE15</f>
        <v>14526.098</v>
      </c>
      <c r="CF20" s="463">
        <f>CF12*'Cracker Yields'!$H$8+'Cracker Yields'!$I$8*'Financial Model (84 Months)'!CF13+'Financial Model (84 Months)'!CF14*'Cracker Yields'!$J$8+'Cracker Yields'!$K$8*'Financial Model (84 Months)'!CF15</f>
        <v>14526.098</v>
      </c>
      <c r="CG20" s="463">
        <f>CG12*'Cracker Yields'!$H$8+'Cracker Yields'!$I$8*'Financial Model (84 Months)'!CG13+'Financial Model (84 Months)'!CG14*'Cracker Yields'!$J$8+'Cracker Yields'!$K$8*'Financial Model (84 Months)'!CG15</f>
        <v>14526.098</v>
      </c>
      <c r="CH20" s="463">
        <f>CH12*'Cracker Yields'!$H$8+'Cracker Yields'!$I$8*'Financial Model (84 Months)'!CH13+'Financial Model (84 Months)'!CH14*'Cracker Yields'!$J$8+'Cracker Yields'!$K$8*'Financial Model (84 Months)'!CH15</f>
        <v>14526.098</v>
      </c>
      <c r="CI20" s="463">
        <f>CI12*'Cracker Yields'!$H$8+'Cracker Yields'!$I$8*'Financial Model (84 Months)'!CI13+'Financial Model (84 Months)'!CI14*'Cracker Yields'!$J$8+'Cracker Yields'!$K$8*'Financial Model (84 Months)'!CI15</f>
        <v>14526.098</v>
      </c>
      <c r="CJ20" s="463">
        <f>CJ12*'Cracker Yields'!$H$8+'Cracker Yields'!$I$8*'Financial Model (84 Months)'!CJ13+'Financial Model (84 Months)'!CJ14*'Cracker Yields'!$J$8+'Cracker Yields'!$K$8*'Financial Model (84 Months)'!CJ15</f>
        <v>14526.098</v>
      </c>
      <c r="CK20" s="463">
        <f>CK12*'Cracker Yields'!$H$8+'Cracker Yields'!$I$8*'Financial Model (84 Months)'!CK13+'Financial Model (84 Months)'!CK14*'Cracker Yields'!$J$8+'Cracker Yields'!$K$8*'Financial Model (84 Months)'!CK15</f>
        <v>14526.098</v>
      </c>
      <c r="CL20" s="464">
        <f>CL12*'Cracker Yields'!$H$8+'Cracker Yields'!$I$8*'Financial Model (84 Months)'!CL13+'Financial Model (84 Months)'!CL14*'Cracker Yields'!$J$8+'Cracker Yields'!$K$8*'Financial Model (84 Months)'!CL15</f>
        <v>14526.098</v>
      </c>
      <c r="CM20" s="380">
        <f t="shared" si="0"/>
        <v>14526.098000000002</v>
      </c>
      <c r="CN20" s="435"/>
      <c r="CO20" s="435"/>
      <c r="CP20" s="435"/>
      <c r="CQ20" s="435"/>
      <c r="CR20" s="435"/>
      <c r="CS20" s="435"/>
      <c r="CT20" s="435"/>
      <c r="CU20" s="435"/>
      <c r="CV20" s="435"/>
      <c r="CW20" s="435"/>
      <c r="CX20" s="435"/>
      <c r="CY20" s="435"/>
      <c r="CZ20" s="435"/>
      <c r="DA20" s="435"/>
      <c r="DB20" s="435"/>
      <c r="DC20" s="435"/>
      <c r="DD20" s="435"/>
      <c r="DE20" s="435"/>
      <c r="DF20" s="435"/>
      <c r="DG20" s="435"/>
      <c r="DH20" s="435"/>
      <c r="DI20" s="435"/>
      <c r="DJ20" s="435"/>
      <c r="DK20" s="435"/>
      <c r="DL20" s="435"/>
      <c r="DM20" s="435"/>
      <c r="DN20" s="435"/>
      <c r="DO20" s="435"/>
      <c r="DP20" s="435"/>
      <c r="DQ20" s="435"/>
      <c r="DR20" s="435"/>
      <c r="DS20" s="435"/>
      <c r="DT20" s="435"/>
      <c r="DU20" s="435"/>
      <c r="DV20" s="435"/>
      <c r="DW20" s="435"/>
      <c r="DX20" s="435"/>
      <c r="DY20" s="435"/>
      <c r="DZ20" s="435"/>
      <c r="EA20" s="435"/>
      <c r="EB20" s="435"/>
      <c r="EC20" s="435"/>
      <c r="ED20" s="435"/>
      <c r="EE20" s="435"/>
      <c r="EF20" s="435"/>
      <c r="EG20" s="435"/>
      <c r="EH20" s="435"/>
      <c r="EI20" s="435"/>
      <c r="EJ20" s="435"/>
      <c r="EK20" s="435"/>
      <c r="EL20" s="435"/>
      <c r="EM20" s="435"/>
      <c r="EN20" s="435"/>
      <c r="EO20" s="435"/>
      <c r="EP20" s="435"/>
      <c r="EQ20" s="435"/>
      <c r="ER20" s="435"/>
      <c r="ES20" s="435"/>
      <c r="ET20" s="435"/>
      <c r="EU20" s="435"/>
      <c r="EV20" s="435"/>
      <c r="EW20" s="435"/>
      <c r="EX20" s="435"/>
      <c r="EY20" s="435"/>
      <c r="EZ20" s="435"/>
      <c r="FA20" s="435"/>
      <c r="FB20" s="435"/>
      <c r="FC20" s="435"/>
      <c r="FD20" s="435"/>
      <c r="FE20" s="435"/>
      <c r="FF20" s="435"/>
      <c r="FG20" s="435"/>
      <c r="FH20" s="435"/>
      <c r="FI20" s="435"/>
      <c r="FJ20" s="435"/>
      <c r="FK20" s="435"/>
      <c r="FL20" s="435"/>
      <c r="FM20" s="435"/>
      <c r="FN20" s="435"/>
      <c r="FO20" s="435"/>
      <c r="FP20" s="435"/>
      <c r="FQ20" s="435"/>
      <c r="FR20" s="435"/>
      <c r="FS20" s="435"/>
      <c r="FT20" s="435"/>
      <c r="FU20" s="435"/>
      <c r="FV20" s="435"/>
    </row>
    <row r="21" spans="1:178">
      <c r="A21" s="1386"/>
      <c r="B21" s="377" t="s">
        <v>403</v>
      </c>
      <c r="C21" s="378" t="s">
        <v>402</v>
      </c>
      <c r="D21" s="378"/>
      <c r="E21" s="1380"/>
      <c r="F21" s="462" t="str">
        <f>F10</f>
        <v xml:space="preserve"> CBFS </v>
      </c>
      <c r="G21" s="463">
        <f>G12*'Cracker Yields'!$H$5+'Cracker Yields'!$I$5*'Financial Model (84 Months)'!G13+'Financial Model (84 Months)'!G14*'Cracker Yields'!$J$5+'Cracker Yields'!$K$5*'Financial Model (84 Months)'!G15</f>
        <v>5746.7666666666664</v>
      </c>
      <c r="H21" s="463">
        <f>H12*'Cracker Yields'!$H$5+'Cracker Yields'!$I$5*'Financial Model (84 Months)'!H13+'Financial Model (84 Months)'!H14*'Cracker Yields'!$J$5+'Cracker Yields'!$K$5*'Financial Model (84 Months)'!H15</f>
        <v>5746.7666666666664</v>
      </c>
      <c r="I21" s="463">
        <f>I12*'Cracker Yields'!$H$5+'Cracker Yields'!$I$5*'Financial Model (84 Months)'!I13+'Financial Model (84 Months)'!I14*'Cracker Yields'!$J$5+'Cracker Yields'!$K$5*'Financial Model (84 Months)'!I15</f>
        <v>5746.7666666666664</v>
      </c>
      <c r="J21" s="463">
        <f>J12*'Cracker Yields'!$H$5+'Cracker Yields'!$I$5*'Financial Model (84 Months)'!J13+'Financial Model (84 Months)'!J14*'Cracker Yields'!$J$5+'Cracker Yields'!$K$5*'Financial Model (84 Months)'!J15</f>
        <v>5746.7666666666664</v>
      </c>
      <c r="K21" s="463">
        <f>K12*'Cracker Yields'!$H$5+'Cracker Yields'!$I$5*'Financial Model (84 Months)'!K13+'Financial Model (84 Months)'!K14*'Cracker Yields'!$J$5+'Cracker Yields'!$K$5*'Financial Model (84 Months)'!K15</f>
        <v>5746.7666666666664</v>
      </c>
      <c r="L21" s="463">
        <f>L12*'Cracker Yields'!$H$5+'Cracker Yields'!$I$5*'Financial Model (84 Months)'!L13+'Financial Model (84 Months)'!L14*'Cracker Yields'!$J$5+'Cracker Yields'!$K$5*'Financial Model (84 Months)'!L15</f>
        <v>5746.7666666666664</v>
      </c>
      <c r="M21" s="463">
        <f>M12*'Cracker Yields'!$H$5+'Cracker Yields'!$I$5*'Financial Model (84 Months)'!M13+'Financial Model (84 Months)'!M14*'Cracker Yields'!$J$5+'Cracker Yields'!$K$5*'Financial Model (84 Months)'!M15</f>
        <v>5746.7666666666664</v>
      </c>
      <c r="N21" s="463">
        <f>N12*'Cracker Yields'!$H$5+'Cracker Yields'!$I$5*'Financial Model (84 Months)'!N13+'Financial Model (84 Months)'!N14*'Cracker Yields'!$J$5+'Cracker Yields'!$K$5*'Financial Model (84 Months)'!N15</f>
        <v>5746.7666666666664</v>
      </c>
      <c r="O21" s="463">
        <f>O12*'Cracker Yields'!$H$5+'Cracker Yields'!$I$5*'Financial Model (84 Months)'!O13+'Financial Model (84 Months)'!O14*'Cracker Yields'!$J$5+'Cracker Yields'!$K$5*'Financial Model (84 Months)'!O15</f>
        <v>5746.7666666666664</v>
      </c>
      <c r="P21" s="463">
        <f>P12*'Cracker Yields'!$H$5+'Cracker Yields'!$I$5*'Financial Model (84 Months)'!P13+'Financial Model (84 Months)'!P14*'Cracker Yields'!$J$5+'Cracker Yields'!$K$5*'Financial Model (84 Months)'!P15</f>
        <v>5746.7666666666664</v>
      </c>
      <c r="Q21" s="463">
        <f>Q12*'Cracker Yields'!$H$5+'Cracker Yields'!$I$5*'Financial Model (84 Months)'!Q13+'Financial Model (84 Months)'!Q14*'Cracker Yields'!$J$5+'Cracker Yields'!$K$5*'Financial Model (84 Months)'!Q15</f>
        <v>5746.7666666666664</v>
      </c>
      <c r="R21" s="463">
        <f>R12*'Cracker Yields'!$H$5+'Cracker Yields'!$I$5*'Financial Model (84 Months)'!R13+'Financial Model (84 Months)'!R14*'Cracker Yields'!$J$5+'Cracker Yields'!$K$5*'Financial Model (84 Months)'!R15</f>
        <v>5746.7666666666664</v>
      </c>
      <c r="S21" s="463">
        <f>S12*'Cracker Yields'!$H$5+'Cracker Yields'!$I$5*'Financial Model (84 Months)'!S13+'Financial Model (84 Months)'!S14*'Cracker Yields'!$J$5+'Cracker Yields'!$K$5*'Financial Model (84 Months)'!S15</f>
        <v>5746.7666666666664</v>
      </c>
      <c r="T21" s="566">
        <f>T12*'Cracker Yields'!$H$5+'Cracker Yields'!$I$5*'Financial Model (84 Months)'!T13+'Financial Model (84 Months)'!T14*'Cracker Yields'!$J$5+'Cracker Yields'!$K$5*'Financial Model (84 Months)'!T15</f>
        <v>5746.7666666666664</v>
      </c>
      <c r="U21" s="463">
        <f>U12*'Cracker Yields'!$H$5+'Cracker Yields'!$I$5*'Financial Model (84 Months)'!U13+'Financial Model (84 Months)'!U14*'Cracker Yields'!$J$5+'Cracker Yields'!$K$5*'Financial Model (84 Months)'!U15</f>
        <v>5746.7666666666664</v>
      </c>
      <c r="V21" s="566">
        <f>V12*'Cracker Yields'!$H$5+'Cracker Yields'!$I$5*'Financial Model (84 Months)'!V13+'Financial Model (84 Months)'!V14*'Cracker Yields'!$J$5+'Cracker Yields'!$K$5*'Financial Model (84 Months)'!V15</f>
        <v>5746.7666666666664</v>
      </c>
      <c r="W21" s="463">
        <f>W12*'Cracker Yields'!$H$5+'Cracker Yields'!$I$5*'Financial Model (84 Months)'!W13+'Financial Model (84 Months)'!W14*'Cracker Yields'!$J$5+'Cracker Yields'!$K$5*'Financial Model (84 Months)'!W15</f>
        <v>5746.7666666666664</v>
      </c>
      <c r="X21" s="566">
        <f>X12*'Cracker Yields'!$H$5+'Cracker Yields'!$I$5*'Financial Model (84 Months)'!X13+'Financial Model (84 Months)'!X14*'Cracker Yields'!$J$5+'Cracker Yields'!$K$5*'Financial Model (84 Months)'!X15</f>
        <v>5746.7666666666664</v>
      </c>
      <c r="Y21" s="463">
        <f>Y12*'Cracker Yields'!$H$5+'Cracker Yields'!$I$5*'Financial Model (84 Months)'!Y13+'Financial Model (84 Months)'!Y14*'Cracker Yields'!$J$5+'Cracker Yields'!$K$5*'Financial Model (84 Months)'!Y15</f>
        <v>5746.7666666666664</v>
      </c>
      <c r="Z21" s="566">
        <f>Z12*'Cracker Yields'!$H$5+'Cracker Yields'!$I$5*'Financial Model (84 Months)'!Z13+'Financial Model (84 Months)'!Z14*'Cracker Yields'!$J$5+'Cracker Yields'!$K$5*'Financial Model (84 Months)'!Z15</f>
        <v>5746.7666666666664</v>
      </c>
      <c r="AA21" s="463">
        <f>AA12*'Cracker Yields'!$H$5+'Cracker Yields'!$I$5*'Financial Model (84 Months)'!AA13+'Financial Model (84 Months)'!AA14*'Cracker Yields'!$J$5+'Cracker Yields'!$K$5*'Financial Model (84 Months)'!AA15</f>
        <v>5746.7666666666664</v>
      </c>
      <c r="AB21" s="566">
        <f>AB12*'Cracker Yields'!$H$5+'Cracker Yields'!$I$5*'Financial Model (84 Months)'!AB13+'Financial Model (84 Months)'!AB14*'Cracker Yields'!$J$5+'Cracker Yields'!$K$5*'Financial Model (84 Months)'!AB15</f>
        <v>5746.7666666666664</v>
      </c>
      <c r="AC21" s="463">
        <f>AC12*'Cracker Yields'!$H$5+'Cracker Yields'!$I$5*'Financial Model (84 Months)'!AC13+'Financial Model (84 Months)'!AC14*'Cracker Yields'!$J$5+'Cracker Yields'!$K$5*'Financial Model (84 Months)'!AC15</f>
        <v>5746.7666666666664</v>
      </c>
      <c r="AD21" s="566">
        <f>AD12*'Cracker Yields'!$H$5+'Cracker Yields'!$I$5*'Financial Model (84 Months)'!AD13+'Financial Model (84 Months)'!AD14*'Cracker Yields'!$J$5+'Cracker Yields'!$K$5*'Financial Model (84 Months)'!AD15</f>
        <v>5746.7666666666664</v>
      </c>
      <c r="AE21" s="463">
        <f>AE12*'Cracker Yields'!$H$5+'Cracker Yields'!$I$5*'Financial Model (84 Months)'!AE13+'Financial Model (84 Months)'!AE14*'Cracker Yields'!$J$5+'Cracker Yields'!$K$5*'Financial Model (84 Months)'!AE15</f>
        <v>5746.7666666666664</v>
      </c>
      <c r="AF21" s="566">
        <f>AF12*'Cracker Yields'!$H$5+'Cracker Yields'!$I$5*'Financial Model (84 Months)'!AF13+'Financial Model (84 Months)'!AF14*'Cracker Yields'!$J$5+'Cracker Yields'!$K$5*'Financial Model (84 Months)'!AF15</f>
        <v>5746.7666666666664</v>
      </c>
      <c r="AG21" s="463">
        <f>AG12*'Cracker Yields'!$H$5+'Cracker Yields'!$I$5*'Financial Model (84 Months)'!AG13+'Financial Model (84 Months)'!AG14*'Cracker Yields'!$J$5+'Cracker Yields'!$K$5*'Financial Model (84 Months)'!AG15</f>
        <v>5746.7666666666664</v>
      </c>
      <c r="AH21" s="566">
        <f>AH12*'Cracker Yields'!$H$5+'Cracker Yields'!$I$5*'Financial Model (84 Months)'!AH13+'Financial Model (84 Months)'!AH14*'Cracker Yields'!$J$5+'Cracker Yields'!$K$5*'Financial Model (84 Months)'!AH15</f>
        <v>5746.7666666666664</v>
      </c>
      <c r="AI21" s="463">
        <f>AI12*'Cracker Yields'!$H$5+'Cracker Yields'!$I$5*'Financial Model (84 Months)'!AI13+'Financial Model (84 Months)'!AI14*'Cracker Yields'!$J$5+'Cracker Yields'!$K$5*'Financial Model (84 Months)'!AI15</f>
        <v>5746.7666666666664</v>
      </c>
      <c r="AJ21" s="566">
        <f>AJ12*'Cracker Yields'!$H$5+'Cracker Yields'!$I$5*'Financial Model (84 Months)'!AJ13+'Financial Model (84 Months)'!AJ14*'Cracker Yields'!$J$5+'Cracker Yields'!$K$5*'Financial Model (84 Months)'!AJ15</f>
        <v>5746.7666666666664</v>
      </c>
      <c r="AK21" s="463">
        <f>AK12*'Cracker Yields'!$H$5+'Cracker Yields'!$I$5*'Financial Model (84 Months)'!AK13+'Financial Model (84 Months)'!AK14*'Cracker Yields'!$J$5+'Cracker Yields'!$K$5*'Financial Model (84 Months)'!AK15</f>
        <v>5746.7666666666664</v>
      </c>
      <c r="AL21" s="566">
        <f>AL12*'Cracker Yields'!$H$5+'Cracker Yields'!$I$5*'Financial Model (84 Months)'!AL13+'Financial Model (84 Months)'!AL14*'Cracker Yields'!$J$5+'Cracker Yields'!$K$5*'Financial Model (84 Months)'!AL15</f>
        <v>5746.7666666666664</v>
      </c>
      <c r="AM21" s="463">
        <f>AM12*'Cracker Yields'!$H$5+'Cracker Yields'!$I$5*'Financial Model (84 Months)'!AM13+'Financial Model (84 Months)'!AM14*'Cracker Yields'!$J$5+'Cracker Yields'!$K$5*'Financial Model (84 Months)'!AM15</f>
        <v>5746.7666666666664</v>
      </c>
      <c r="AN21" s="566">
        <f>AN12*'Cracker Yields'!$H$5+'Cracker Yields'!$I$5*'Financial Model (84 Months)'!AN13+'Financial Model (84 Months)'!AN14*'Cracker Yields'!$J$5+'Cracker Yields'!$K$5*'Financial Model (84 Months)'!AN15</f>
        <v>5746.7666666666664</v>
      </c>
      <c r="AO21" s="463">
        <f>AO12*'Cracker Yields'!$H$5+'Cracker Yields'!$I$5*'Financial Model (84 Months)'!AO13+'Financial Model (84 Months)'!AO14*'Cracker Yields'!$J$5+'Cracker Yields'!$K$5*'Financial Model (84 Months)'!AO15</f>
        <v>5746.7666666666664</v>
      </c>
      <c r="AP21" s="566">
        <f>AP12*'Cracker Yields'!$H$5+'Cracker Yields'!$I$5*'Financial Model (84 Months)'!AP13+'Financial Model (84 Months)'!AP14*'Cracker Yields'!$J$5+'Cracker Yields'!$K$5*'Financial Model (84 Months)'!AP15</f>
        <v>5746.7666666666664</v>
      </c>
      <c r="AQ21" s="463">
        <f>AQ12*'Cracker Yields'!$H$5+'Cracker Yields'!$I$5*'Financial Model (84 Months)'!AQ13+'Financial Model (84 Months)'!AQ14*'Cracker Yields'!$J$5+'Cracker Yields'!$K$5*'Financial Model (84 Months)'!AQ15</f>
        <v>5746.7666666666664</v>
      </c>
      <c r="AR21" s="566">
        <f>AR12*'Cracker Yields'!$H$5+'Cracker Yields'!$I$5*'Financial Model (84 Months)'!AR13+'Financial Model (84 Months)'!AR14*'Cracker Yields'!$J$5+'Cracker Yields'!$K$5*'Financial Model (84 Months)'!AR15</f>
        <v>5746.7666666666664</v>
      </c>
      <c r="AS21" s="463">
        <f>AS12*'Cracker Yields'!$H$5+'Cracker Yields'!$I$5*'Financial Model (84 Months)'!AS13+'Financial Model (84 Months)'!AS14*'Cracker Yields'!$J$5+'Cracker Yields'!$K$5*'Financial Model (84 Months)'!AS15</f>
        <v>5746.7666666666664</v>
      </c>
      <c r="AT21" s="566">
        <f>AT12*'Cracker Yields'!$H$5+'Cracker Yields'!$I$5*'Financial Model (84 Months)'!AT13+'Financial Model (84 Months)'!AT14*'Cracker Yields'!$J$5+'Cracker Yields'!$K$5*'Financial Model (84 Months)'!AT15</f>
        <v>5746.7666666666664</v>
      </c>
      <c r="AU21" s="463">
        <f>AU12*'Cracker Yields'!$H$5+'Cracker Yields'!$I$5*'Financial Model (84 Months)'!AU13+'Financial Model (84 Months)'!AU14*'Cracker Yields'!$J$5+'Cracker Yields'!$K$5*'Financial Model (84 Months)'!AU15</f>
        <v>5746.7666666666664</v>
      </c>
      <c r="AV21" s="463">
        <f>AV12*'Cracker Yields'!$H$5+'Cracker Yields'!$I$5*'Financial Model (84 Months)'!AV13+'Financial Model (84 Months)'!AV14*'Cracker Yields'!$J$5+'Cracker Yields'!$K$5*'Financial Model (84 Months)'!AV15</f>
        <v>5746.7666666666664</v>
      </c>
      <c r="AW21" s="463">
        <f>AW12*'Cracker Yields'!$H$5+'Cracker Yields'!$I$5*'Financial Model (84 Months)'!AW13+'Financial Model (84 Months)'!AW14*'Cracker Yields'!$J$5+'Cracker Yields'!$K$5*'Financial Model (84 Months)'!AW15</f>
        <v>5746.7666666666664</v>
      </c>
      <c r="AX21" s="463">
        <f>AX12*'Cracker Yields'!$H$5+'Cracker Yields'!$I$5*'Financial Model (84 Months)'!AX13+'Financial Model (84 Months)'!AX14*'Cracker Yields'!$J$5+'Cracker Yields'!$K$5*'Financial Model (84 Months)'!AX15</f>
        <v>5746.7666666666664</v>
      </c>
      <c r="AY21" s="463">
        <f>AY12*'Cracker Yields'!$H$5+'Cracker Yields'!$I$5*'Financial Model (84 Months)'!AY13+'Financial Model (84 Months)'!AY14*'Cracker Yields'!$J$5+'Cracker Yields'!$K$5*'Financial Model (84 Months)'!AY15</f>
        <v>5746.7666666666664</v>
      </c>
      <c r="AZ21" s="463">
        <f>AZ12*'Cracker Yields'!$H$5+'Cracker Yields'!$I$5*'Financial Model (84 Months)'!AZ13+'Financial Model (84 Months)'!AZ14*'Cracker Yields'!$J$5+'Cracker Yields'!$K$5*'Financial Model (84 Months)'!AZ15</f>
        <v>5746.7666666666664</v>
      </c>
      <c r="BA21" s="463">
        <f>BA12*'Cracker Yields'!$H$5+'Cracker Yields'!$I$5*'Financial Model (84 Months)'!BA13+'Financial Model (84 Months)'!BA14*'Cracker Yields'!$J$5+'Cracker Yields'!$K$5*'Financial Model (84 Months)'!BA15</f>
        <v>5746.7666666666664</v>
      </c>
      <c r="BB21" s="463">
        <f>BB12*'Cracker Yields'!$H$5+'Cracker Yields'!$I$5*'Financial Model (84 Months)'!BB13+'Financial Model (84 Months)'!BB14*'Cracker Yields'!$J$5+'Cracker Yields'!$K$5*'Financial Model (84 Months)'!BB15</f>
        <v>5746.7666666666664</v>
      </c>
      <c r="BC21" s="463">
        <f>BC12*'Cracker Yields'!$H$5+'Cracker Yields'!$I$5*'Financial Model (84 Months)'!BC13+'Financial Model (84 Months)'!BC14*'Cracker Yields'!$J$5+'Cracker Yields'!$K$5*'Financial Model (84 Months)'!BC15</f>
        <v>5746.7666666666664</v>
      </c>
      <c r="BD21" s="463">
        <f>BD12*'Cracker Yields'!$H$5+'Cracker Yields'!$I$5*'Financial Model (84 Months)'!BD13+'Financial Model (84 Months)'!BD14*'Cracker Yields'!$J$5+'Cracker Yields'!$K$5*'Financial Model (84 Months)'!BD15</f>
        <v>5746.7666666666664</v>
      </c>
      <c r="BE21" s="463">
        <f>BE12*'Cracker Yields'!$H$5+'Cracker Yields'!$I$5*'Financial Model (84 Months)'!BE13+'Financial Model (84 Months)'!BE14*'Cracker Yields'!$J$5+'Cracker Yields'!$K$5*'Financial Model (84 Months)'!BE15</f>
        <v>5746.7666666666664</v>
      </c>
      <c r="BF21" s="463">
        <f>BF12*'Cracker Yields'!$H$5+'Cracker Yields'!$I$5*'Financial Model (84 Months)'!BF13+'Financial Model (84 Months)'!BF14*'Cracker Yields'!$J$5+'Cracker Yields'!$K$5*'Financial Model (84 Months)'!BF15</f>
        <v>5746.7666666666664</v>
      </c>
      <c r="BG21" s="463">
        <f>BG12*'Cracker Yields'!$H$5+'Cracker Yields'!$I$5*'Financial Model (84 Months)'!BG13+'Financial Model (84 Months)'!BG14*'Cracker Yields'!$J$5+'Cracker Yields'!$K$5*'Financial Model (84 Months)'!BG15</f>
        <v>5746.7666666666664</v>
      </c>
      <c r="BH21" s="463">
        <f>BH12*'Cracker Yields'!$H$5+'Cracker Yields'!$I$5*'Financial Model (84 Months)'!BH13+'Financial Model (84 Months)'!BH14*'Cracker Yields'!$J$5+'Cracker Yields'!$K$5*'Financial Model (84 Months)'!BH15</f>
        <v>5746.7666666666664</v>
      </c>
      <c r="BI21" s="463">
        <f>BI12*'Cracker Yields'!$H$5+'Cracker Yields'!$I$5*'Financial Model (84 Months)'!BI13+'Financial Model (84 Months)'!BI14*'Cracker Yields'!$J$5+'Cracker Yields'!$K$5*'Financial Model (84 Months)'!BI15</f>
        <v>5746.7666666666664</v>
      </c>
      <c r="BJ21" s="463">
        <f>BJ12*'Cracker Yields'!$H$5+'Cracker Yields'!$I$5*'Financial Model (84 Months)'!BJ13+'Financial Model (84 Months)'!BJ14*'Cracker Yields'!$J$5+'Cracker Yields'!$K$5*'Financial Model (84 Months)'!BJ15</f>
        <v>5746.7666666666664</v>
      </c>
      <c r="BK21" s="463">
        <f>BK12*'Cracker Yields'!$H$5+'Cracker Yields'!$I$5*'Financial Model (84 Months)'!BK13+'Financial Model (84 Months)'!BK14*'Cracker Yields'!$J$5+'Cracker Yields'!$K$5*'Financial Model (84 Months)'!BK15</f>
        <v>5746.7666666666664</v>
      </c>
      <c r="BL21" s="463">
        <f>BL12*'Cracker Yields'!$H$5+'Cracker Yields'!$I$5*'Financial Model (84 Months)'!BL13+'Financial Model (84 Months)'!BL14*'Cracker Yields'!$J$5+'Cracker Yields'!$K$5*'Financial Model (84 Months)'!BL15</f>
        <v>5746.7666666666664</v>
      </c>
      <c r="BM21" s="463">
        <f>BM12*'Cracker Yields'!$H$5+'Cracker Yields'!$I$5*'Financial Model (84 Months)'!BM13+'Financial Model (84 Months)'!BM14*'Cracker Yields'!$J$5+'Cracker Yields'!$K$5*'Financial Model (84 Months)'!BM15</f>
        <v>5746.7666666666664</v>
      </c>
      <c r="BN21" s="463">
        <f>BN12*'Cracker Yields'!$H$5+'Cracker Yields'!$I$5*'Financial Model (84 Months)'!BN13+'Financial Model (84 Months)'!BN14*'Cracker Yields'!$J$5+'Cracker Yields'!$K$5*'Financial Model (84 Months)'!BN15</f>
        <v>5746.7666666666664</v>
      </c>
      <c r="BO21" s="463">
        <f>BO12*'Cracker Yields'!$H$5+'Cracker Yields'!$I$5*'Financial Model (84 Months)'!BO13+'Financial Model (84 Months)'!BO14*'Cracker Yields'!$J$5+'Cracker Yields'!$K$5*'Financial Model (84 Months)'!BO15</f>
        <v>5746.7666666666664</v>
      </c>
      <c r="BP21" s="463">
        <f>BP12*'Cracker Yields'!$H$5+'Cracker Yields'!$I$5*'Financial Model (84 Months)'!BP13+'Financial Model (84 Months)'!BP14*'Cracker Yields'!$J$5+'Cracker Yields'!$K$5*'Financial Model (84 Months)'!BP15</f>
        <v>5746.7666666666664</v>
      </c>
      <c r="BQ21" s="463">
        <f>BQ12*'Cracker Yields'!$H$5+'Cracker Yields'!$I$5*'Financial Model (84 Months)'!BQ13+'Financial Model (84 Months)'!BQ14*'Cracker Yields'!$J$5+'Cracker Yields'!$K$5*'Financial Model (84 Months)'!BQ15</f>
        <v>5746.7666666666664</v>
      </c>
      <c r="BR21" s="463">
        <f>BR12*'Cracker Yields'!$H$5+'Cracker Yields'!$I$5*'Financial Model (84 Months)'!BR13+'Financial Model (84 Months)'!BR14*'Cracker Yields'!$J$5+'Cracker Yields'!$K$5*'Financial Model (84 Months)'!BR15</f>
        <v>5746.7666666666664</v>
      </c>
      <c r="BS21" s="463">
        <f>BS12*'Cracker Yields'!$H$5+'Cracker Yields'!$I$5*'Financial Model (84 Months)'!BS13+'Financial Model (84 Months)'!BS14*'Cracker Yields'!$J$5+'Cracker Yields'!$K$5*'Financial Model (84 Months)'!BS15</f>
        <v>5746.7666666666664</v>
      </c>
      <c r="BT21" s="463">
        <f>BT12*'Cracker Yields'!$H$5+'Cracker Yields'!$I$5*'Financial Model (84 Months)'!BT13+'Financial Model (84 Months)'!BT14*'Cracker Yields'!$J$5+'Cracker Yields'!$K$5*'Financial Model (84 Months)'!BT15</f>
        <v>5746.7666666666664</v>
      </c>
      <c r="BU21" s="463">
        <f>BU12*'Cracker Yields'!$H$5+'Cracker Yields'!$I$5*'Financial Model (84 Months)'!BU13+'Financial Model (84 Months)'!BU14*'Cracker Yields'!$J$5+'Cracker Yields'!$K$5*'Financial Model (84 Months)'!BU15</f>
        <v>5746.7666666666664</v>
      </c>
      <c r="BV21" s="463">
        <f>BV12*'Cracker Yields'!$H$5+'Cracker Yields'!$I$5*'Financial Model (84 Months)'!BV13+'Financial Model (84 Months)'!BV14*'Cracker Yields'!$J$5+'Cracker Yields'!$K$5*'Financial Model (84 Months)'!BV15</f>
        <v>5746.7666666666664</v>
      </c>
      <c r="BW21" s="463">
        <f>BW12*'Cracker Yields'!$H$5+'Cracker Yields'!$I$5*'Financial Model (84 Months)'!BW13+'Financial Model (84 Months)'!BW14*'Cracker Yields'!$J$5+'Cracker Yields'!$K$5*'Financial Model (84 Months)'!BW15</f>
        <v>5746.7666666666664</v>
      </c>
      <c r="BX21" s="463">
        <f>BX12*'Cracker Yields'!$H$5+'Cracker Yields'!$I$5*'Financial Model (84 Months)'!BX13+'Financial Model (84 Months)'!BX14*'Cracker Yields'!$J$5+'Cracker Yields'!$K$5*'Financial Model (84 Months)'!BX15</f>
        <v>5746.7666666666664</v>
      </c>
      <c r="BY21" s="463">
        <f>BY12*'Cracker Yields'!$H$5+'Cracker Yields'!$I$5*'Financial Model (84 Months)'!BY13+'Financial Model (84 Months)'!BY14*'Cracker Yields'!$J$5+'Cracker Yields'!$K$5*'Financial Model (84 Months)'!BY15</f>
        <v>5746.7666666666664</v>
      </c>
      <c r="BZ21" s="463">
        <f>BZ12*'Cracker Yields'!$H$5+'Cracker Yields'!$I$5*'Financial Model (84 Months)'!BZ13+'Financial Model (84 Months)'!BZ14*'Cracker Yields'!$J$5+'Cracker Yields'!$K$5*'Financial Model (84 Months)'!BZ15</f>
        <v>5746.7666666666664</v>
      </c>
      <c r="CA21" s="463">
        <f>CA12*'Cracker Yields'!$H$5+'Cracker Yields'!$I$5*'Financial Model (84 Months)'!CA13+'Financial Model (84 Months)'!CA14*'Cracker Yields'!$J$5+'Cracker Yields'!$K$5*'Financial Model (84 Months)'!CA15</f>
        <v>5746.7666666666664</v>
      </c>
      <c r="CB21" s="463">
        <f>CB12*'Cracker Yields'!$H$5+'Cracker Yields'!$I$5*'Financial Model (84 Months)'!CB13+'Financial Model (84 Months)'!CB14*'Cracker Yields'!$J$5+'Cracker Yields'!$K$5*'Financial Model (84 Months)'!CB15</f>
        <v>5746.7666666666664</v>
      </c>
      <c r="CC21" s="463">
        <f>CC12*'Cracker Yields'!$H$5+'Cracker Yields'!$I$5*'Financial Model (84 Months)'!CC13+'Financial Model (84 Months)'!CC14*'Cracker Yields'!$J$5+'Cracker Yields'!$K$5*'Financial Model (84 Months)'!CC15</f>
        <v>5746.7666666666664</v>
      </c>
      <c r="CD21" s="463">
        <f>CD12*'Cracker Yields'!$H$5+'Cracker Yields'!$I$5*'Financial Model (84 Months)'!CD13+'Financial Model (84 Months)'!CD14*'Cracker Yields'!$J$5+'Cracker Yields'!$K$5*'Financial Model (84 Months)'!CD15</f>
        <v>5746.7666666666664</v>
      </c>
      <c r="CE21" s="463">
        <f>CE12*'Cracker Yields'!$H$5+'Cracker Yields'!$I$5*'Financial Model (84 Months)'!CE13+'Financial Model (84 Months)'!CE14*'Cracker Yields'!$J$5+'Cracker Yields'!$K$5*'Financial Model (84 Months)'!CE15</f>
        <v>5746.7666666666664</v>
      </c>
      <c r="CF21" s="463">
        <f>CF12*'Cracker Yields'!$H$5+'Cracker Yields'!$I$5*'Financial Model (84 Months)'!CF13+'Financial Model (84 Months)'!CF14*'Cracker Yields'!$J$5+'Cracker Yields'!$K$5*'Financial Model (84 Months)'!CF15</f>
        <v>5746.7666666666664</v>
      </c>
      <c r="CG21" s="463">
        <f>CG12*'Cracker Yields'!$H$5+'Cracker Yields'!$I$5*'Financial Model (84 Months)'!CG13+'Financial Model (84 Months)'!CG14*'Cracker Yields'!$J$5+'Cracker Yields'!$K$5*'Financial Model (84 Months)'!CG15</f>
        <v>5746.7666666666664</v>
      </c>
      <c r="CH21" s="463">
        <f>CH12*'Cracker Yields'!$H$5+'Cracker Yields'!$I$5*'Financial Model (84 Months)'!CH13+'Financial Model (84 Months)'!CH14*'Cracker Yields'!$J$5+'Cracker Yields'!$K$5*'Financial Model (84 Months)'!CH15</f>
        <v>5746.7666666666664</v>
      </c>
      <c r="CI21" s="463">
        <f>CI12*'Cracker Yields'!$H$5+'Cracker Yields'!$I$5*'Financial Model (84 Months)'!CI13+'Financial Model (84 Months)'!CI14*'Cracker Yields'!$J$5+'Cracker Yields'!$K$5*'Financial Model (84 Months)'!CI15</f>
        <v>5746.7666666666664</v>
      </c>
      <c r="CJ21" s="463">
        <f>CJ12*'Cracker Yields'!$H$5+'Cracker Yields'!$I$5*'Financial Model (84 Months)'!CJ13+'Financial Model (84 Months)'!CJ14*'Cracker Yields'!$J$5+'Cracker Yields'!$K$5*'Financial Model (84 Months)'!CJ15</f>
        <v>5746.7666666666664</v>
      </c>
      <c r="CK21" s="463">
        <f>CK12*'Cracker Yields'!$H$5+'Cracker Yields'!$I$5*'Financial Model (84 Months)'!CK13+'Financial Model (84 Months)'!CK14*'Cracker Yields'!$J$5+'Cracker Yields'!$K$5*'Financial Model (84 Months)'!CK15</f>
        <v>5746.7666666666664</v>
      </c>
      <c r="CL21" s="464">
        <f>CL12*'Cracker Yields'!$H$5+'Cracker Yields'!$I$5*'Financial Model (84 Months)'!CL13+'Financial Model (84 Months)'!CL14*'Cracker Yields'!$J$5+'Cracker Yields'!$K$5*'Financial Model (84 Months)'!CL15</f>
        <v>5746.7666666666664</v>
      </c>
      <c r="CM21" s="380">
        <f t="shared" si="0"/>
        <v>5746.7666666666637</v>
      </c>
      <c r="CN21" s="435"/>
      <c r="CO21" s="435"/>
      <c r="CP21" s="435"/>
      <c r="CQ21" s="435"/>
      <c r="CR21" s="435"/>
      <c r="CS21" s="435"/>
      <c r="CT21" s="435"/>
      <c r="CU21" s="435"/>
      <c r="CV21" s="435"/>
      <c r="CW21" s="435"/>
      <c r="CX21" s="435"/>
      <c r="CY21" s="435"/>
      <c r="CZ21" s="435"/>
      <c r="DA21" s="435"/>
      <c r="DB21" s="435"/>
      <c r="DC21" s="435"/>
      <c r="DD21" s="435"/>
      <c r="DE21" s="435"/>
      <c r="DF21" s="435"/>
      <c r="DG21" s="435"/>
      <c r="DH21" s="435"/>
      <c r="DI21" s="435"/>
      <c r="DJ21" s="435"/>
      <c r="DK21" s="435"/>
      <c r="DL21" s="435"/>
      <c r="DM21" s="435"/>
      <c r="DN21" s="435"/>
      <c r="DO21" s="435"/>
      <c r="DP21" s="435"/>
      <c r="DQ21" s="435"/>
      <c r="DR21" s="435"/>
      <c r="DS21" s="435"/>
      <c r="DT21" s="435"/>
      <c r="DU21" s="435"/>
      <c r="DV21" s="435"/>
      <c r="DW21" s="435"/>
      <c r="DX21" s="435"/>
      <c r="DY21" s="435"/>
      <c r="DZ21" s="435"/>
      <c r="EA21" s="435"/>
      <c r="EB21" s="435"/>
      <c r="EC21" s="435"/>
      <c r="ED21" s="435"/>
      <c r="EE21" s="435"/>
      <c r="EF21" s="435"/>
      <c r="EG21" s="435"/>
      <c r="EH21" s="435"/>
      <c r="EI21" s="435"/>
      <c r="EJ21" s="435"/>
      <c r="EK21" s="435"/>
      <c r="EL21" s="435"/>
      <c r="EM21" s="435"/>
      <c r="EN21" s="435"/>
      <c r="EO21" s="435"/>
      <c r="EP21" s="435"/>
      <c r="EQ21" s="435"/>
      <c r="ER21" s="435"/>
      <c r="ES21" s="435"/>
      <c r="ET21" s="435"/>
      <c r="EU21" s="435"/>
      <c r="EV21" s="435"/>
      <c r="EW21" s="435"/>
      <c r="EX21" s="435"/>
      <c r="EY21" s="435"/>
      <c r="EZ21" s="435"/>
      <c r="FA21" s="435"/>
      <c r="FB21" s="435"/>
      <c r="FC21" s="435"/>
      <c r="FD21" s="435"/>
      <c r="FE21" s="435"/>
      <c r="FF21" s="435"/>
      <c r="FG21" s="435"/>
      <c r="FH21" s="435"/>
      <c r="FI21" s="435"/>
      <c r="FJ21" s="435"/>
      <c r="FK21" s="435"/>
      <c r="FL21" s="435"/>
      <c r="FM21" s="435"/>
      <c r="FN21" s="435"/>
      <c r="FO21" s="435"/>
      <c r="FP21" s="435"/>
      <c r="FQ21" s="435"/>
      <c r="FR21" s="435"/>
      <c r="FS21" s="435"/>
      <c r="FT21" s="435"/>
      <c r="FU21" s="435"/>
      <c r="FV21" s="435"/>
    </row>
    <row r="22" spans="1:178">
      <c r="A22" s="1387"/>
      <c r="B22" s="384" t="s">
        <v>403</v>
      </c>
      <c r="C22" s="385" t="s">
        <v>402</v>
      </c>
      <c r="D22" s="385"/>
      <c r="E22" s="1381"/>
      <c r="F22" s="465" t="str">
        <f>F11</f>
        <v xml:space="preserve"> C9+   </v>
      </c>
      <c r="G22" s="466">
        <f>G12*'Cracker Yields'!$H$11+'Cracker Yields'!$I$11*'Financial Model (84 Months)'!G13+'Financial Model (84 Months)'!G14*'Cracker Yields'!$J$11+'Cracker Yields'!$K$11*'Financial Model (84 Months)'!G15</f>
        <v>2614.6976399999999</v>
      </c>
      <c r="H22" s="466">
        <f>H12*'Cracker Yields'!$H$11+'Cracker Yields'!$I$11*'Financial Model (84 Months)'!H13+'Financial Model (84 Months)'!H14*'Cracker Yields'!$J$11+'Cracker Yields'!$K$11*'Financial Model (84 Months)'!H15</f>
        <v>2614.6976399999999</v>
      </c>
      <c r="I22" s="466">
        <f>I12*'Cracker Yields'!$H$11+'Cracker Yields'!$I$11*'Financial Model (84 Months)'!I13+'Financial Model (84 Months)'!I14*'Cracker Yields'!$J$11+'Cracker Yields'!$K$11*'Financial Model (84 Months)'!I15</f>
        <v>2614.6976399999999</v>
      </c>
      <c r="J22" s="466">
        <f>J12*'Cracker Yields'!$H$11+'Cracker Yields'!$I$11*'Financial Model (84 Months)'!J13+'Financial Model (84 Months)'!J14*'Cracker Yields'!$J$11+'Cracker Yields'!$K$11*'Financial Model (84 Months)'!J15</f>
        <v>2614.6976399999999</v>
      </c>
      <c r="K22" s="466">
        <f>K12*'Cracker Yields'!$H$11+'Cracker Yields'!$I$11*'Financial Model (84 Months)'!K13+'Financial Model (84 Months)'!K14*'Cracker Yields'!$J$11+'Cracker Yields'!$K$11*'Financial Model (84 Months)'!K15</f>
        <v>2614.6976399999999</v>
      </c>
      <c r="L22" s="466">
        <f>L12*'Cracker Yields'!$H$11+'Cracker Yields'!$I$11*'Financial Model (84 Months)'!L13+'Financial Model (84 Months)'!L14*'Cracker Yields'!$J$11+'Cracker Yields'!$K$11*'Financial Model (84 Months)'!L15</f>
        <v>2614.6976399999999</v>
      </c>
      <c r="M22" s="466">
        <f>M12*'Cracker Yields'!$H$11+'Cracker Yields'!$I$11*'Financial Model (84 Months)'!M13+'Financial Model (84 Months)'!M14*'Cracker Yields'!$J$11+'Cracker Yields'!$K$11*'Financial Model (84 Months)'!M15</f>
        <v>2614.6976399999999</v>
      </c>
      <c r="N22" s="466">
        <f>N12*'Cracker Yields'!$H$11+'Cracker Yields'!$I$11*'Financial Model (84 Months)'!N13+'Financial Model (84 Months)'!N14*'Cracker Yields'!$J$11+'Cracker Yields'!$K$11*'Financial Model (84 Months)'!N15</f>
        <v>2614.6976399999999</v>
      </c>
      <c r="O22" s="466">
        <f>O12*'Cracker Yields'!$H$11+'Cracker Yields'!$I$11*'Financial Model (84 Months)'!O13+'Financial Model (84 Months)'!O14*'Cracker Yields'!$J$11+'Cracker Yields'!$K$11*'Financial Model (84 Months)'!O15</f>
        <v>2614.6976399999999</v>
      </c>
      <c r="P22" s="466">
        <f>P12*'Cracker Yields'!$H$11+'Cracker Yields'!$I$11*'Financial Model (84 Months)'!P13+'Financial Model (84 Months)'!P14*'Cracker Yields'!$J$11+'Cracker Yields'!$K$11*'Financial Model (84 Months)'!P15</f>
        <v>2614.6976399999999</v>
      </c>
      <c r="Q22" s="466">
        <f>Q12*'Cracker Yields'!$H$11+'Cracker Yields'!$I$11*'Financial Model (84 Months)'!Q13+'Financial Model (84 Months)'!Q14*'Cracker Yields'!$J$11+'Cracker Yields'!$K$11*'Financial Model (84 Months)'!Q15</f>
        <v>2614.6976399999999</v>
      </c>
      <c r="R22" s="466">
        <f>R12*'Cracker Yields'!$H$11+'Cracker Yields'!$I$11*'Financial Model (84 Months)'!R13+'Financial Model (84 Months)'!R14*'Cracker Yields'!$J$11+'Cracker Yields'!$K$11*'Financial Model (84 Months)'!R15</f>
        <v>2614.6976399999999</v>
      </c>
      <c r="S22" s="466">
        <f>S12*'Cracker Yields'!$H$11+'Cracker Yields'!$I$11*'Financial Model (84 Months)'!S13+'Financial Model (84 Months)'!S14*'Cracker Yields'!$J$11+'Cracker Yields'!$K$11*'Financial Model (84 Months)'!S15</f>
        <v>2614.6976399999999</v>
      </c>
      <c r="T22" s="567">
        <f>T12*'Cracker Yields'!$H$11+'Cracker Yields'!$I$11*'Financial Model (84 Months)'!T13+'Financial Model (84 Months)'!T14*'Cracker Yields'!$J$11+'Cracker Yields'!$K$11*'Financial Model (84 Months)'!T15</f>
        <v>2614.6976399999999</v>
      </c>
      <c r="U22" s="466">
        <f>U12*'Cracker Yields'!$H$11+'Cracker Yields'!$I$11*'Financial Model (84 Months)'!U13+'Financial Model (84 Months)'!U14*'Cracker Yields'!$J$11+'Cracker Yields'!$K$11*'Financial Model (84 Months)'!U15</f>
        <v>2614.6976399999999</v>
      </c>
      <c r="V22" s="567">
        <f>V12*'Cracker Yields'!$H$11+'Cracker Yields'!$I$11*'Financial Model (84 Months)'!V13+'Financial Model (84 Months)'!V14*'Cracker Yields'!$J$11+'Cracker Yields'!$K$11*'Financial Model (84 Months)'!V15</f>
        <v>2614.6976399999999</v>
      </c>
      <c r="W22" s="466">
        <f>W12*'Cracker Yields'!$H$11+'Cracker Yields'!$I$11*'Financial Model (84 Months)'!W13+'Financial Model (84 Months)'!W14*'Cracker Yields'!$J$11+'Cracker Yields'!$K$11*'Financial Model (84 Months)'!W15</f>
        <v>2614.6976399999999</v>
      </c>
      <c r="X22" s="567">
        <f>X12*'Cracker Yields'!$H$11+'Cracker Yields'!$I$11*'Financial Model (84 Months)'!X13+'Financial Model (84 Months)'!X14*'Cracker Yields'!$J$11+'Cracker Yields'!$K$11*'Financial Model (84 Months)'!X15</f>
        <v>2614.6976399999999</v>
      </c>
      <c r="Y22" s="466">
        <f>Y12*'Cracker Yields'!$H$11+'Cracker Yields'!$I$11*'Financial Model (84 Months)'!Y13+'Financial Model (84 Months)'!Y14*'Cracker Yields'!$J$11+'Cracker Yields'!$K$11*'Financial Model (84 Months)'!Y15</f>
        <v>2614.6976399999999</v>
      </c>
      <c r="Z22" s="567">
        <f>Z12*'Cracker Yields'!$H$11+'Cracker Yields'!$I$11*'Financial Model (84 Months)'!Z13+'Financial Model (84 Months)'!Z14*'Cracker Yields'!$J$11+'Cracker Yields'!$K$11*'Financial Model (84 Months)'!Z15</f>
        <v>2614.6976399999999</v>
      </c>
      <c r="AA22" s="466">
        <f>AA12*'Cracker Yields'!$H$11+'Cracker Yields'!$I$11*'Financial Model (84 Months)'!AA13+'Financial Model (84 Months)'!AA14*'Cracker Yields'!$J$11+'Cracker Yields'!$K$11*'Financial Model (84 Months)'!AA15</f>
        <v>2614.6976399999999</v>
      </c>
      <c r="AB22" s="567">
        <f>AB12*'Cracker Yields'!$H$11+'Cracker Yields'!$I$11*'Financial Model (84 Months)'!AB13+'Financial Model (84 Months)'!AB14*'Cracker Yields'!$J$11+'Cracker Yields'!$K$11*'Financial Model (84 Months)'!AB15</f>
        <v>2614.6976399999999</v>
      </c>
      <c r="AC22" s="466">
        <f>AC12*'Cracker Yields'!$H$11+'Cracker Yields'!$I$11*'Financial Model (84 Months)'!AC13+'Financial Model (84 Months)'!AC14*'Cracker Yields'!$J$11+'Cracker Yields'!$K$11*'Financial Model (84 Months)'!AC15</f>
        <v>2614.6976399999999</v>
      </c>
      <c r="AD22" s="567">
        <f>AD12*'Cracker Yields'!$H$11+'Cracker Yields'!$I$11*'Financial Model (84 Months)'!AD13+'Financial Model (84 Months)'!AD14*'Cracker Yields'!$J$11+'Cracker Yields'!$K$11*'Financial Model (84 Months)'!AD15</f>
        <v>2614.6976399999999</v>
      </c>
      <c r="AE22" s="466">
        <f>AE12*'Cracker Yields'!$H$11+'Cracker Yields'!$I$11*'Financial Model (84 Months)'!AE13+'Financial Model (84 Months)'!AE14*'Cracker Yields'!$J$11+'Cracker Yields'!$K$11*'Financial Model (84 Months)'!AE15</f>
        <v>2614.6976399999999</v>
      </c>
      <c r="AF22" s="567">
        <f>AF12*'Cracker Yields'!$H$11+'Cracker Yields'!$I$11*'Financial Model (84 Months)'!AF13+'Financial Model (84 Months)'!AF14*'Cracker Yields'!$J$11+'Cracker Yields'!$K$11*'Financial Model (84 Months)'!AF15</f>
        <v>2614.6976399999999</v>
      </c>
      <c r="AG22" s="466">
        <f>AG12*'Cracker Yields'!$H$11+'Cracker Yields'!$I$11*'Financial Model (84 Months)'!AG13+'Financial Model (84 Months)'!AG14*'Cracker Yields'!$J$11+'Cracker Yields'!$K$11*'Financial Model (84 Months)'!AG15</f>
        <v>2614.6976399999999</v>
      </c>
      <c r="AH22" s="567">
        <f>AH12*'Cracker Yields'!$H$11+'Cracker Yields'!$I$11*'Financial Model (84 Months)'!AH13+'Financial Model (84 Months)'!AH14*'Cracker Yields'!$J$11+'Cracker Yields'!$K$11*'Financial Model (84 Months)'!AH15</f>
        <v>2614.6976399999999</v>
      </c>
      <c r="AI22" s="466">
        <f>AI12*'Cracker Yields'!$H$11+'Cracker Yields'!$I$11*'Financial Model (84 Months)'!AI13+'Financial Model (84 Months)'!AI14*'Cracker Yields'!$J$11+'Cracker Yields'!$K$11*'Financial Model (84 Months)'!AI15</f>
        <v>2614.6976399999999</v>
      </c>
      <c r="AJ22" s="567">
        <f>AJ12*'Cracker Yields'!$H$11+'Cracker Yields'!$I$11*'Financial Model (84 Months)'!AJ13+'Financial Model (84 Months)'!AJ14*'Cracker Yields'!$J$11+'Cracker Yields'!$K$11*'Financial Model (84 Months)'!AJ15</f>
        <v>2614.6976399999999</v>
      </c>
      <c r="AK22" s="466">
        <f>AK12*'Cracker Yields'!$H$11+'Cracker Yields'!$I$11*'Financial Model (84 Months)'!AK13+'Financial Model (84 Months)'!AK14*'Cracker Yields'!$J$11+'Cracker Yields'!$K$11*'Financial Model (84 Months)'!AK15</f>
        <v>2614.6976399999999</v>
      </c>
      <c r="AL22" s="567">
        <f>AL12*'Cracker Yields'!$H$11+'Cracker Yields'!$I$11*'Financial Model (84 Months)'!AL13+'Financial Model (84 Months)'!AL14*'Cracker Yields'!$J$11+'Cracker Yields'!$K$11*'Financial Model (84 Months)'!AL15</f>
        <v>2614.6976399999999</v>
      </c>
      <c r="AM22" s="466">
        <f>AM12*'Cracker Yields'!$H$11+'Cracker Yields'!$I$11*'Financial Model (84 Months)'!AM13+'Financial Model (84 Months)'!AM14*'Cracker Yields'!$J$11+'Cracker Yields'!$K$11*'Financial Model (84 Months)'!AM15</f>
        <v>2614.6976399999999</v>
      </c>
      <c r="AN22" s="567">
        <f>AN12*'Cracker Yields'!$H$11+'Cracker Yields'!$I$11*'Financial Model (84 Months)'!AN13+'Financial Model (84 Months)'!AN14*'Cracker Yields'!$J$11+'Cracker Yields'!$K$11*'Financial Model (84 Months)'!AN15</f>
        <v>2614.6976399999999</v>
      </c>
      <c r="AO22" s="466">
        <f>AO12*'Cracker Yields'!$H$11+'Cracker Yields'!$I$11*'Financial Model (84 Months)'!AO13+'Financial Model (84 Months)'!AO14*'Cracker Yields'!$J$11+'Cracker Yields'!$K$11*'Financial Model (84 Months)'!AO15</f>
        <v>2614.6976399999999</v>
      </c>
      <c r="AP22" s="567">
        <f>AP12*'Cracker Yields'!$H$11+'Cracker Yields'!$I$11*'Financial Model (84 Months)'!AP13+'Financial Model (84 Months)'!AP14*'Cracker Yields'!$J$11+'Cracker Yields'!$K$11*'Financial Model (84 Months)'!AP15</f>
        <v>2614.6976399999999</v>
      </c>
      <c r="AQ22" s="466">
        <f>AQ12*'Cracker Yields'!$H$11+'Cracker Yields'!$I$11*'Financial Model (84 Months)'!AQ13+'Financial Model (84 Months)'!AQ14*'Cracker Yields'!$J$11+'Cracker Yields'!$K$11*'Financial Model (84 Months)'!AQ15</f>
        <v>2614.6976399999999</v>
      </c>
      <c r="AR22" s="567">
        <f>AR12*'Cracker Yields'!$H$11+'Cracker Yields'!$I$11*'Financial Model (84 Months)'!AR13+'Financial Model (84 Months)'!AR14*'Cracker Yields'!$J$11+'Cracker Yields'!$K$11*'Financial Model (84 Months)'!AR15</f>
        <v>2614.6976399999999</v>
      </c>
      <c r="AS22" s="466">
        <f>AS12*'Cracker Yields'!$H$11+'Cracker Yields'!$I$11*'Financial Model (84 Months)'!AS13+'Financial Model (84 Months)'!AS14*'Cracker Yields'!$J$11+'Cracker Yields'!$K$11*'Financial Model (84 Months)'!AS15</f>
        <v>2614.6976399999999</v>
      </c>
      <c r="AT22" s="567">
        <f>AT12*'Cracker Yields'!$H$11+'Cracker Yields'!$I$11*'Financial Model (84 Months)'!AT13+'Financial Model (84 Months)'!AT14*'Cracker Yields'!$J$11+'Cracker Yields'!$K$11*'Financial Model (84 Months)'!AT15</f>
        <v>2614.6976399999999</v>
      </c>
      <c r="AU22" s="466">
        <f>AU12*'Cracker Yields'!$H$11+'Cracker Yields'!$I$11*'Financial Model (84 Months)'!AU13+'Financial Model (84 Months)'!AU14*'Cracker Yields'!$J$11+'Cracker Yields'!$K$11*'Financial Model (84 Months)'!AU15</f>
        <v>2614.6976399999999</v>
      </c>
      <c r="AV22" s="466">
        <f>AV12*'Cracker Yields'!$H$11+'Cracker Yields'!$I$11*'Financial Model (84 Months)'!AV13+'Financial Model (84 Months)'!AV14*'Cracker Yields'!$J$11+'Cracker Yields'!$K$11*'Financial Model (84 Months)'!AV15</f>
        <v>2614.6976399999999</v>
      </c>
      <c r="AW22" s="466">
        <f>AW12*'Cracker Yields'!$H$11+'Cracker Yields'!$I$11*'Financial Model (84 Months)'!AW13+'Financial Model (84 Months)'!AW14*'Cracker Yields'!$J$11+'Cracker Yields'!$K$11*'Financial Model (84 Months)'!AW15</f>
        <v>2614.6976399999999</v>
      </c>
      <c r="AX22" s="466">
        <f>AX12*'Cracker Yields'!$H$11+'Cracker Yields'!$I$11*'Financial Model (84 Months)'!AX13+'Financial Model (84 Months)'!AX14*'Cracker Yields'!$J$11+'Cracker Yields'!$K$11*'Financial Model (84 Months)'!AX15</f>
        <v>2614.6976399999999</v>
      </c>
      <c r="AY22" s="466">
        <f>AY12*'Cracker Yields'!$H$11+'Cracker Yields'!$I$11*'Financial Model (84 Months)'!AY13+'Financial Model (84 Months)'!AY14*'Cracker Yields'!$J$11+'Cracker Yields'!$K$11*'Financial Model (84 Months)'!AY15</f>
        <v>2614.6976399999999</v>
      </c>
      <c r="AZ22" s="466">
        <f>AZ12*'Cracker Yields'!$H$11+'Cracker Yields'!$I$11*'Financial Model (84 Months)'!AZ13+'Financial Model (84 Months)'!AZ14*'Cracker Yields'!$J$11+'Cracker Yields'!$K$11*'Financial Model (84 Months)'!AZ15</f>
        <v>2614.6976399999999</v>
      </c>
      <c r="BA22" s="466">
        <f>BA12*'Cracker Yields'!$H$11+'Cracker Yields'!$I$11*'Financial Model (84 Months)'!BA13+'Financial Model (84 Months)'!BA14*'Cracker Yields'!$J$11+'Cracker Yields'!$K$11*'Financial Model (84 Months)'!BA15</f>
        <v>2614.6976399999999</v>
      </c>
      <c r="BB22" s="466">
        <f>BB12*'Cracker Yields'!$H$11+'Cracker Yields'!$I$11*'Financial Model (84 Months)'!BB13+'Financial Model (84 Months)'!BB14*'Cracker Yields'!$J$11+'Cracker Yields'!$K$11*'Financial Model (84 Months)'!BB15</f>
        <v>2614.6976399999999</v>
      </c>
      <c r="BC22" s="466">
        <f>BC12*'Cracker Yields'!$H$11+'Cracker Yields'!$I$11*'Financial Model (84 Months)'!BC13+'Financial Model (84 Months)'!BC14*'Cracker Yields'!$J$11+'Cracker Yields'!$K$11*'Financial Model (84 Months)'!BC15</f>
        <v>2614.6976399999999</v>
      </c>
      <c r="BD22" s="466">
        <f>BD12*'Cracker Yields'!$H$11+'Cracker Yields'!$I$11*'Financial Model (84 Months)'!BD13+'Financial Model (84 Months)'!BD14*'Cracker Yields'!$J$11+'Cracker Yields'!$K$11*'Financial Model (84 Months)'!BD15</f>
        <v>2614.6976399999999</v>
      </c>
      <c r="BE22" s="466">
        <f>BE12*'Cracker Yields'!$H$11+'Cracker Yields'!$I$11*'Financial Model (84 Months)'!BE13+'Financial Model (84 Months)'!BE14*'Cracker Yields'!$J$11+'Cracker Yields'!$K$11*'Financial Model (84 Months)'!BE15</f>
        <v>2614.6976399999999</v>
      </c>
      <c r="BF22" s="466">
        <f>BF12*'Cracker Yields'!$H$11+'Cracker Yields'!$I$11*'Financial Model (84 Months)'!BF13+'Financial Model (84 Months)'!BF14*'Cracker Yields'!$J$11+'Cracker Yields'!$K$11*'Financial Model (84 Months)'!BF15</f>
        <v>2614.6976399999999</v>
      </c>
      <c r="BG22" s="466">
        <f>BG12*'Cracker Yields'!$H$11+'Cracker Yields'!$I$11*'Financial Model (84 Months)'!BG13+'Financial Model (84 Months)'!BG14*'Cracker Yields'!$J$11+'Cracker Yields'!$K$11*'Financial Model (84 Months)'!BG15</f>
        <v>2614.6976399999999</v>
      </c>
      <c r="BH22" s="466">
        <f>BH12*'Cracker Yields'!$H$11+'Cracker Yields'!$I$11*'Financial Model (84 Months)'!BH13+'Financial Model (84 Months)'!BH14*'Cracker Yields'!$J$11+'Cracker Yields'!$K$11*'Financial Model (84 Months)'!BH15</f>
        <v>2614.6976399999999</v>
      </c>
      <c r="BI22" s="466">
        <f>BI12*'Cracker Yields'!$H$11+'Cracker Yields'!$I$11*'Financial Model (84 Months)'!BI13+'Financial Model (84 Months)'!BI14*'Cracker Yields'!$J$11+'Cracker Yields'!$K$11*'Financial Model (84 Months)'!BI15</f>
        <v>2614.6976399999999</v>
      </c>
      <c r="BJ22" s="466">
        <f>BJ12*'Cracker Yields'!$H$11+'Cracker Yields'!$I$11*'Financial Model (84 Months)'!BJ13+'Financial Model (84 Months)'!BJ14*'Cracker Yields'!$J$11+'Cracker Yields'!$K$11*'Financial Model (84 Months)'!BJ15</f>
        <v>2614.6976399999999</v>
      </c>
      <c r="BK22" s="466">
        <f>BK12*'Cracker Yields'!$H$11+'Cracker Yields'!$I$11*'Financial Model (84 Months)'!BK13+'Financial Model (84 Months)'!BK14*'Cracker Yields'!$J$11+'Cracker Yields'!$K$11*'Financial Model (84 Months)'!BK15</f>
        <v>2614.6976399999999</v>
      </c>
      <c r="BL22" s="466">
        <f>BL12*'Cracker Yields'!$H$11+'Cracker Yields'!$I$11*'Financial Model (84 Months)'!BL13+'Financial Model (84 Months)'!BL14*'Cracker Yields'!$J$11+'Cracker Yields'!$K$11*'Financial Model (84 Months)'!BL15</f>
        <v>2614.6976399999999</v>
      </c>
      <c r="BM22" s="466">
        <f>BM12*'Cracker Yields'!$H$11+'Cracker Yields'!$I$11*'Financial Model (84 Months)'!BM13+'Financial Model (84 Months)'!BM14*'Cracker Yields'!$J$11+'Cracker Yields'!$K$11*'Financial Model (84 Months)'!BM15</f>
        <v>2614.6976399999999</v>
      </c>
      <c r="BN22" s="466">
        <f>BN12*'Cracker Yields'!$H$11+'Cracker Yields'!$I$11*'Financial Model (84 Months)'!BN13+'Financial Model (84 Months)'!BN14*'Cracker Yields'!$J$11+'Cracker Yields'!$K$11*'Financial Model (84 Months)'!BN15</f>
        <v>2614.6976399999999</v>
      </c>
      <c r="BO22" s="466">
        <f>BO12*'Cracker Yields'!$H$11+'Cracker Yields'!$I$11*'Financial Model (84 Months)'!BO13+'Financial Model (84 Months)'!BO14*'Cracker Yields'!$J$11+'Cracker Yields'!$K$11*'Financial Model (84 Months)'!BO15</f>
        <v>2614.6976399999999</v>
      </c>
      <c r="BP22" s="466">
        <f>BP12*'Cracker Yields'!$H$11+'Cracker Yields'!$I$11*'Financial Model (84 Months)'!BP13+'Financial Model (84 Months)'!BP14*'Cracker Yields'!$J$11+'Cracker Yields'!$K$11*'Financial Model (84 Months)'!BP15</f>
        <v>2614.6976399999999</v>
      </c>
      <c r="BQ22" s="466">
        <f>BQ12*'Cracker Yields'!$H$11+'Cracker Yields'!$I$11*'Financial Model (84 Months)'!BQ13+'Financial Model (84 Months)'!BQ14*'Cracker Yields'!$J$11+'Cracker Yields'!$K$11*'Financial Model (84 Months)'!BQ15</f>
        <v>2614.6976399999999</v>
      </c>
      <c r="BR22" s="466">
        <f>BR12*'Cracker Yields'!$H$11+'Cracker Yields'!$I$11*'Financial Model (84 Months)'!BR13+'Financial Model (84 Months)'!BR14*'Cracker Yields'!$J$11+'Cracker Yields'!$K$11*'Financial Model (84 Months)'!BR15</f>
        <v>2614.6976399999999</v>
      </c>
      <c r="BS22" s="466">
        <f>BS12*'Cracker Yields'!$H$11+'Cracker Yields'!$I$11*'Financial Model (84 Months)'!BS13+'Financial Model (84 Months)'!BS14*'Cracker Yields'!$J$11+'Cracker Yields'!$K$11*'Financial Model (84 Months)'!BS15</f>
        <v>2614.6976399999999</v>
      </c>
      <c r="BT22" s="466">
        <f>BT12*'Cracker Yields'!$H$11+'Cracker Yields'!$I$11*'Financial Model (84 Months)'!BT13+'Financial Model (84 Months)'!BT14*'Cracker Yields'!$J$11+'Cracker Yields'!$K$11*'Financial Model (84 Months)'!BT15</f>
        <v>2614.6976399999999</v>
      </c>
      <c r="BU22" s="466">
        <f>BU12*'Cracker Yields'!$H$11+'Cracker Yields'!$I$11*'Financial Model (84 Months)'!BU13+'Financial Model (84 Months)'!BU14*'Cracker Yields'!$J$11+'Cracker Yields'!$K$11*'Financial Model (84 Months)'!BU15</f>
        <v>2614.6976399999999</v>
      </c>
      <c r="BV22" s="466">
        <f>BV12*'Cracker Yields'!$H$11+'Cracker Yields'!$I$11*'Financial Model (84 Months)'!BV13+'Financial Model (84 Months)'!BV14*'Cracker Yields'!$J$11+'Cracker Yields'!$K$11*'Financial Model (84 Months)'!BV15</f>
        <v>2614.6976399999999</v>
      </c>
      <c r="BW22" s="466">
        <f>BW12*'Cracker Yields'!$H$11+'Cracker Yields'!$I$11*'Financial Model (84 Months)'!BW13+'Financial Model (84 Months)'!BW14*'Cracker Yields'!$J$11+'Cracker Yields'!$K$11*'Financial Model (84 Months)'!BW15</f>
        <v>2614.6976399999999</v>
      </c>
      <c r="BX22" s="466">
        <f>BX12*'Cracker Yields'!$H$11+'Cracker Yields'!$I$11*'Financial Model (84 Months)'!BX13+'Financial Model (84 Months)'!BX14*'Cracker Yields'!$J$11+'Cracker Yields'!$K$11*'Financial Model (84 Months)'!BX15</f>
        <v>2614.6976399999999</v>
      </c>
      <c r="BY22" s="466">
        <f>BY12*'Cracker Yields'!$H$11+'Cracker Yields'!$I$11*'Financial Model (84 Months)'!BY13+'Financial Model (84 Months)'!BY14*'Cracker Yields'!$J$11+'Cracker Yields'!$K$11*'Financial Model (84 Months)'!BY15</f>
        <v>2614.6976399999999</v>
      </c>
      <c r="BZ22" s="466">
        <f>BZ12*'Cracker Yields'!$H$11+'Cracker Yields'!$I$11*'Financial Model (84 Months)'!BZ13+'Financial Model (84 Months)'!BZ14*'Cracker Yields'!$J$11+'Cracker Yields'!$K$11*'Financial Model (84 Months)'!BZ15</f>
        <v>2614.6976399999999</v>
      </c>
      <c r="CA22" s="466">
        <f>CA12*'Cracker Yields'!$H$11+'Cracker Yields'!$I$11*'Financial Model (84 Months)'!CA13+'Financial Model (84 Months)'!CA14*'Cracker Yields'!$J$11+'Cracker Yields'!$K$11*'Financial Model (84 Months)'!CA15</f>
        <v>2614.6976399999999</v>
      </c>
      <c r="CB22" s="466">
        <f>CB12*'Cracker Yields'!$H$11+'Cracker Yields'!$I$11*'Financial Model (84 Months)'!CB13+'Financial Model (84 Months)'!CB14*'Cracker Yields'!$J$11+'Cracker Yields'!$K$11*'Financial Model (84 Months)'!CB15</f>
        <v>2614.6976399999999</v>
      </c>
      <c r="CC22" s="466">
        <f>CC12*'Cracker Yields'!$H$11+'Cracker Yields'!$I$11*'Financial Model (84 Months)'!CC13+'Financial Model (84 Months)'!CC14*'Cracker Yields'!$J$11+'Cracker Yields'!$K$11*'Financial Model (84 Months)'!CC15</f>
        <v>2614.6976399999999</v>
      </c>
      <c r="CD22" s="466">
        <f>CD12*'Cracker Yields'!$H$11+'Cracker Yields'!$I$11*'Financial Model (84 Months)'!CD13+'Financial Model (84 Months)'!CD14*'Cracker Yields'!$J$11+'Cracker Yields'!$K$11*'Financial Model (84 Months)'!CD15</f>
        <v>2614.6976399999999</v>
      </c>
      <c r="CE22" s="466">
        <f>CE12*'Cracker Yields'!$H$11+'Cracker Yields'!$I$11*'Financial Model (84 Months)'!CE13+'Financial Model (84 Months)'!CE14*'Cracker Yields'!$J$11+'Cracker Yields'!$K$11*'Financial Model (84 Months)'!CE15</f>
        <v>2614.6976399999999</v>
      </c>
      <c r="CF22" s="466">
        <f>CF12*'Cracker Yields'!$H$11+'Cracker Yields'!$I$11*'Financial Model (84 Months)'!CF13+'Financial Model (84 Months)'!CF14*'Cracker Yields'!$J$11+'Cracker Yields'!$K$11*'Financial Model (84 Months)'!CF15</f>
        <v>2614.6976399999999</v>
      </c>
      <c r="CG22" s="466">
        <f>CG12*'Cracker Yields'!$H$11+'Cracker Yields'!$I$11*'Financial Model (84 Months)'!CG13+'Financial Model (84 Months)'!CG14*'Cracker Yields'!$J$11+'Cracker Yields'!$K$11*'Financial Model (84 Months)'!CG15</f>
        <v>2614.6976399999999</v>
      </c>
      <c r="CH22" s="466">
        <f>CH12*'Cracker Yields'!$H$11+'Cracker Yields'!$I$11*'Financial Model (84 Months)'!CH13+'Financial Model (84 Months)'!CH14*'Cracker Yields'!$J$11+'Cracker Yields'!$K$11*'Financial Model (84 Months)'!CH15</f>
        <v>2614.6976399999999</v>
      </c>
      <c r="CI22" s="466">
        <f>CI12*'Cracker Yields'!$H$11+'Cracker Yields'!$I$11*'Financial Model (84 Months)'!CI13+'Financial Model (84 Months)'!CI14*'Cracker Yields'!$J$11+'Cracker Yields'!$K$11*'Financial Model (84 Months)'!CI15</f>
        <v>2614.6976399999999</v>
      </c>
      <c r="CJ22" s="466">
        <f>CJ12*'Cracker Yields'!$H$11+'Cracker Yields'!$I$11*'Financial Model (84 Months)'!CJ13+'Financial Model (84 Months)'!CJ14*'Cracker Yields'!$J$11+'Cracker Yields'!$K$11*'Financial Model (84 Months)'!CJ15</f>
        <v>2614.6976399999999</v>
      </c>
      <c r="CK22" s="466">
        <f>CK12*'Cracker Yields'!$H$11+'Cracker Yields'!$I$11*'Financial Model (84 Months)'!CK13+'Financial Model (84 Months)'!CK14*'Cracker Yields'!$J$11+'Cracker Yields'!$K$11*'Financial Model (84 Months)'!CK15</f>
        <v>2614.6976399999999</v>
      </c>
      <c r="CL22" s="467">
        <f>CL12*'Cracker Yields'!$H$11+'Cracker Yields'!$I$11*'Financial Model (84 Months)'!CL13+'Financial Model (84 Months)'!CL14*'Cracker Yields'!$J$11+'Cracker Yields'!$K$11*'Financial Model (84 Months)'!CL15</f>
        <v>2614.6976399999999</v>
      </c>
      <c r="CM22" s="380">
        <f t="shared" si="0"/>
        <v>2614.697639999999</v>
      </c>
      <c r="CN22" s="435"/>
      <c r="CO22" s="435"/>
      <c r="CP22" s="435"/>
      <c r="CQ22" s="435"/>
      <c r="CR22" s="435"/>
      <c r="CS22" s="435"/>
      <c r="CT22" s="435"/>
      <c r="CU22" s="435"/>
      <c r="CV22" s="435"/>
      <c r="CW22" s="435"/>
      <c r="CX22" s="435"/>
      <c r="CY22" s="435"/>
      <c r="CZ22" s="435"/>
      <c r="DA22" s="435"/>
      <c r="DB22" s="435"/>
      <c r="DC22" s="435"/>
      <c r="DD22" s="435"/>
      <c r="DE22" s="435"/>
      <c r="DF22" s="435"/>
      <c r="DG22" s="435"/>
      <c r="DH22" s="435"/>
      <c r="DI22" s="435"/>
      <c r="DJ22" s="435"/>
      <c r="DK22" s="435"/>
      <c r="DL22" s="435"/>
      <c r="DM22" s="435"/>
      <c r="DN22" s="435"/>
      <c r="DO22" s="435"/>
      <c r="DP22" s="435"/>
      <c r="DQ22" s="435"/>
      <c r="DR22" s="435"/>
      <c r="DS22" s="435"/>
      <c r="DT22" s="435"/>
      <c r="DU22" s="435"/>
      <c r="DV22" s="435"/>
      <c r="DW22" s="435"/>
      <c r="DX22" s="435"/>
      <c r="DY22" s="435"/>
      <c r="DZ22" s="435"/>
      <c r="EA22" s="435"/>
      <c r="EB22" s="435"/>
      <c r="EC22" s="435"/>
      <c r="ED22" s="435"/>
      <c r="EE22" s="435"/>
      <c r="EF22" s="435"/>
      <c r="EG22" s="435"/>
      <c r="EH22" s="435"/>
      <c r="EI22" s="435"/>
      <c r="EJ22" s="435"/>
      <c r="EK22" s="435"/>
      <c r="EL22" s="435"/>
      <c r="EM22" s="435"/>
      <c r="EN22" s="435"/>
      <c r="EO22" s="435"/>
      <c r="EP22" s="435"/>
      <c r="EQ22" s="435"/>
      <c r="ER22" s="435"/>
      <c r="ES22" s="435"/>
      <c r="ET22" s="435"/>
      <c r="EU22" s="435"/>
      <c r="EV22" s="435"/>
      <c r="EW22" s="435"/>
      <c r="EX22" s="435"/>
      <c r="EY22" s="435"/>
      <c r="EZ22" s="435"/>
      <c r="FA22" s="435"/>
      <c r="FB22" s="435"/>
      <c r="FC22" s="435"/>
      <c r="FD22" s="435"/>
      <c r="FE22" s="435"/>
      <c r="FF22" s="435"/>
      <c r="FG22" s="435"/>
      <c r="FH22" s="435"/>
      <c r="FI22" s="435"/>
      <c r="FJ22" s="435"/>
      <c r="FK22" s="435"/>
      <c r="FL22" s="435"/>
      <c r="FM22" s="435"/>
      <c r="FN22" s="435"/>
      <c r="FO22" s="435"/>
      <c r="FP22" s="435"/>
      <c r="FQ22" s="435"/>
      <c r="FR22" s="435"/>
      <c r="FS22" s="435"/>
      <c r="FT22" s="435"/>
      <c r="FU22" s="435"/>
      <c r="FV22" s="435"/>
    </row>
    <row r="23" spans="1:178">
      <c r="A23" s="1370" t="s">
        <v>404</v>
      </c>
      <c r="B23" s="372" t="s">
        <v>403</v>
      </c>
      <c r="C23" s="397" t="s">
        <v>402</v>
      </c>
      <c r="D23" s="397">
        <v>27.86</v>
      </c>
      <c r="E23" s="374"/>
      <c r="F23" s="468" t="s">
        <v>203</v>
      </c>
      <c r="G23" s="469">
        <f>$D$23*G16/1000</f>
        <v>3083.7955400000001</v>
      </c>
      <c r="H23" s="571">
        <f>$D$23*H16/1000</f>
        <v>3083.7955400000001</v>
      </c>
      <c r="I23" s="469">
        <f>$D$23*I16/1000</f>
        <v>3083.7955400000001</v>
      </c>
      <c r="J23" s="469">
        <v>3083.7955400000001</v>
      </c>
      <c r="K23" s="469">
        <v>3083.7955400000001</v>
      </c>
      <c r="L23" s="469">
        <v>3083.7955400000001</v>
      </c>
      <c r="M23" s="469">
        <v>3083.7955400000001</v>
      </c>
      <c r="N23" s="469">
        <v>3083.7955400000001</v>
      </c>
      <c r="O23" s="469">
        <v>3083.7955400000001</v>
      </c>
      <c r="P23" s="469">
        <v>3083.7955400000001</v>
      </c>
      <c r="Q23" s="469">
        <v>3083.7955400000001</v>
      </c>
      <c r="R23" s="469">
        <v>3083.7955400000001</v>
      </c>
      <c r="S23" s="469">
        <v>3083.7955400000001</v>
      </c>
      <c r="T23" s="571">
        <f t="shared" ref="T23:AS23" si="1">$D$23*T16/1000</f>
        <v>3083.7955400000001</v>
      </c>
      <c r="U23" s="469">
        <f t="shared" si="1"/>
        <v>3083.7955400000001</v>
      </c>
      <c r="V23" s="571">
        <f t="shared" si="1"/>
        <v>3083.7955400000001</v>
      </c>
      <c r="W23" s="469">
        <f t="shared" si="1"/>
        <v>3083.7955400000001</v>
      </c>
      <c r="X23" s="571">
        <f t="shared" si="1"/>
        <v>3083.7955400000001</v>
      </c>
      <c r="Y23" s="469">
        <f t="shared" si="1"/>
        <v>3083.7955400000001</v>
      </c>
      <c r="Z23" s="571">
        <f t="shared" si="1"/>
        <v>3083.7955400000001</v>
      </c>
      <c r="AA23" s="469">
        <f t="shared" si="1"/>
        <v>3083.7955400000001</v>
      </c>
      <c r="AB23" s="571">
        <f t="shared" si="1"/>
        <v>3083.7955400000001</v>
      </c>
      <c r="AC23" s="469">
        <f t="shared" si="1"/>
        <v>3083.7955400000001</v>
      </c>
      <c r="AD23" s="571">
        <f t="shared" si="1"/>
        <v>3083.7955400000001</v>
      </c>
      <c r="AE23" s="469">
        <f t="shared" si="1"/>
        <v>3083.7955400000001</v>
      </c>
      <c r="AF23" s="571">
        <f t="shared" si="1"/>
        <v>3083.7955400000001</v>
      </c>
      <c r="AG23" s="469">
        <f t="shared" si="1"/>
        <v>3083.7955400000001</v>
      </c>
      <c r="AH23" s="571">
        <f t="shared" si="1"/>
        <v>3083.7955400000001</v>
      </c>
      <c r="AI23" s="469">
        <f t="shared" si="1"/>
        <v>3083.7955400000001</v>
      </c>
      <c r="AJ23" s="571">
        <f t="shared" si="1"/>
        <v>3083.7955400000001</v>
      </c>
      <c r="AK23" s="469">
        <f t="shared" si="1"/>
        <v>3083.7955400000001</v>
      </c>
      <c r="AL23" s="571">
        <f t="shared" si="1"/>
        <v>3083.7955400000001</v>
      </c>
      <c r="AM23" s="469">
        <f t="shared" si="1"/>
        <v>3083.7955400000001</v>
      </c>
      <c r="AN23" s="571">
        <f t="shared" si="1"/>
        <v>3083.7955400000001</v>
      </c>
      <c r="AO23" s="469">
        <f t="shared" si="1"/>
        <v>3083.7955400000001</v>
      </c>
      <c r="AP23" s="571">
        <f t="shared" si="1"/>
        <v>3083.7955400000001</v>
      </c>
      <c r="AQ23" s="469">
        <f t="shared" si="1"/>
        <v>3083.7955400000001</v>
      </c>
      <c r="AR23" s="571">
        <f t="shared" si="1"/>
        <v>3083.7955400000001</v>
      </c>
      <c r="AS23" s="469">
        <f t="shared" si="1"/>
        <v>3083.7955400000001</v>
      </c>
      <c r="AT23" s="571">
        <f>$D$23*AT16/1000</f>
        <v>3083.7955400000001</v>
      </c>
      <c r="AU23" s="469">
        <f t="shared" ref="AU23:CL23" si="2">$D$23*AU16/1000</f>
        <v>3083.7955400000001</v>
      </c>
      <c r="AV23" s="469">
        <f t="shared" si="2"/>
        <v>3083.7955400000001</v>
      </c>
      <c r="AW23" s="469">
        <f t="shared" si="2"/>
        <v>3083.7955400000001</v>
      </c>
      <c r="AX23" s="469">
        <f t="shared" si="2"/>
        <v>3083.7955400000001</v>
      </c>
      <c r="AY23" s="469">
        <f t="shared" si="2"/>
        <v>3083.7955400000001</v>
      </c>
      <c r="AZ23" s="469">
        <f t="shared" si="2"/>
        <v>3083.7955400000001</v>
      </c>
      <c r="BA23" s="469">
        <f t="shared" si="2"/>
        <v>3083.7955400000001</v>
      </c>
      <c r="BB23" s="469">
        <f t="shared" si="2"/>
        <v>3083.7955400000001</v>
      </c>
      <c r="BC23" s="469">
        <f t="shared" si="2"/>
        <v>3083.7955400000001</v>
      </c>
      <c r="BD23" s="469">
        <f t="shared" si="2"/>
        <v>3083.7955400000001</v>
      </c>
      <c r="BE23" s="469">
        <f t="shared" si="2"/>
        <v>3083.7955400000001</v>
      </c>
      <c r="BF23" s="469">
        <f t="shared" si="2"/>
        <v>3083.7955400000001</v>
      </c>
      <c r="BG23" s="469">
        <f t="shared" si="2"/>
        <v>3083.7955400000001</v>
      </c>
      <c r="BH23" s="469">
        <f t="shared" si="2"/>
        <v>3083.7955400000001</v>
      </c>
      <c r="BI23" s="469">
        <f t="shared" si="2"/>
        <v>3083.7955400000001</v>
      </c>
      <c r="BJ23" s="469">
        <f t="shared" si="2"/>
        <v>3083.7955400000001</v>
      </c>
      <c r="BK23" s="469">
        <f t="shared" si="2"/>
        <v>3083.7955400000001</v>
      </c>
      <c r="BL23" s="469">
        <f t="shared" si="2"/>
        <v>3083.7955400000001</v>
      </c>
      <c r="BM23" s="469">
        <f t="shared" si="2"/>
        <v>3083.7955400000001</v>
      </c>
      <c r="BN23" s="469">
        <f t="shared" si="2"/>
        <v>3083.7955400000001</v>
      </c>
      <c r="BO23" s="469">
        <f t="shared" si="2"/>
        <v>3083.7955400000001</v>
      </c>
      <c r="BP23" s="469">
        <f t="shared" si="2"/>
        <v>3083.7955400000001</v>
      </c>
      <c r="BQ23" s="469">
        <f t="shared" si="2"/>
        <v>3083.7955400000001</v>
      </c>
      <c r="BR23" s="469">
        <f t="shared" si="2"/>
        <v>3083.7955400000001</v>
      </c>
      <c r="BS23" s="469">
        <f t="shared" si="2"/>
        <v>3083.7955400000001</v>
      </c>
      <c r="BT23" s="469">
        <f t="shared" si="2"/>
        <v>3083.7955400000001</v>
      </c>
      <c r="BU23" s="469">
        <f t="shared" si="2"/>
        <v>3083.7955400000001</v>
      </c>
      <c r="BV23" s="469">
        <f t="shared" si="2"/>
        <v>3083.7955400000001</v>
      </c>
      <c r="BW23" s="469">
        <f t="shared" si="2"/>
        <v>3083.7955400000001</v>
      </c>
      <c r="BX23" s="469">
        <f t="shared" si="2"/>
        <v>3083.7955400000001</v>
      </c>
      <c r="BY23" s="469">
        <f t="shared" si="2"/>
        <v>3083.7955400000001</v>
      </c>
      <c r="BZ23" s="469">
        <f t="shared" si="2"/>
        <v>3083.7955400000001</v>
      </c>
      <c r="CA23" s="469">
        <f t="shared" si="2"/>
        <v>3083.7955400000001</v>
      </c>
      <c r="CB23" s="469">
        <f t="shared" si="2"/>
        <v>3083.7955400000001</v>
      </c>
      <c r="CC23" s="469">
        <f t="shared" si="2"/>
        <v>3083.7955400000001</v>
      </c>
      <c r="CD23" s="469">
        <f t="shared" si="2"/>
        <v>3083.7955400000001</v>
      </c>
      <c r="CE23" s="469">
        <f t="shared" si="2"/>
        <v>3083.7955400000001</v>
      </c>
      <c r="CF23" s="469">
        <f t="shared" si="2"/>
        <v>3083.7955400000001</v>
      </c>
      <c r="CG23" s="469">
        <f t="shared" si="2"/>
        <v>3083.7955400000001</v>
      </c>
      <c r="CH23" s="469">
        <f t="shared" si="2"/>
        <v>3083.7955400000001</v>
      </c>
      <c r="CI23" s="469">
        <f t="shared" si="2"/>
        <v>3083.7955400000001</v>
      </c>
      <c r="CJ23" s="469">
        <f t="shared" si="2"/>
        <v>3083.7955400000001</v>
      </c>
      <c r="CK23" s="469">
        <f t="shared" si="2"/>
        <v>3083.7955400000001</v>
      </c>
      <c r="CL23" s="470">
        <f t="shared" si="2"/>
        <v>3083.7955400000001</v>
      </c>
      <c r="CM23" s="375">
        <f t="shared" si="0"/>
        <v>3083.7955399999973</v>
      </c>
      <c r="CN23" s="435"/>
      <c r="CO23" s="435"/>
      <c r="CP23" s="435"/>
      <c r="CQ23" s="435"/>
      <c r="CR23" s="435"/>
      <c r="CS23" s="435"/>
      <c r="CT23" s="435"/>
      <c r="CU23" s="435"/>
      <c r="CV23" s="435"/>
      <c r="CW23" s="435"/>
      <c r="CX23" s="435"/>
      <c r="CY23" s="435"/>
      <c r="CZ23" s="435"/>
      <c r="DA23" s="435"/>
      <c r="DB23" s="435"/>
      <c r="DC23" s="435"/>
      <c r="DD23" s="435"/>
      <c r="DE23" s="435"/>
      <c r="DF23" s="435"/>
      <c r="DG23" s="435"/>
      <c r="DH23" s="435"/>
      <c r="DI23" s="435"/>
      <c r="DJ23" s="435"/>
      <c r="DK23" s="435"/>
      <c r="DL23" s="435"/>
      <c r="DM23" s="435"/>
      <c r="DN23" s="435"/>
      <c r="DO23" s="435"/>
      <c r="DP23" s="435"/>
      <c r="DQ23" s="435"/>
      <c r="DR23" s="435"/>
      <c r="DS23" s="435"/>
      <c r="DT23" s="435"/>
      <c r="DU23" s="435"/>
      <c r="DV23" s="435"/>
      <c r="DW23" s="435"/>
      <c r="DX23" s="435"/>
      <c r="DY23" s="435"/>
      <c r="DZ23" s="435"/>
      <c r="EA23" s="435"/>
      <c r="EB23" s="435"/>
      <c r="EC23" s="435"/>
      <c r="ED23" s="435"/>
      <c r="EE23" s="435"/>
      <c r="EF23" s="435"/>
      <c r="EG23" s="435"/>
      <c r="EH23" s="435"/>
      <c r="EI23" s="435"/>
      <c r="EJ23" s="435"/>
      <c r="EK23" s="435"/>
      <c r="EL23" s="435"/>
      <c r="EM23" s="435"/>
      <c r="EN23" s="435"/>
      <c r="EO23" s="435"/>
      <c r="EP23" s="435"/>
      <c r="EQ23" s="435"/>
      <c r="ER23" s="435"/>
      <c r="ES23" s="435"/>
      <c r="ET23" s="435"/>
      <c r="EU23" s="435"/>
      <c r="EV23" s="435"/>
      <c r="EW23" s="435"/>
      <c r="EX23" s="435"/>
      <c r="EY23" s="435"/>
      <c r="EZ23" s="435"/>
      <c r="FA23" s="435"/>
      <c r="FB23" s="435"/>
      <c r="FC23" s="435"/>
      <c r="FD23" s="435"/>
      <c r="FE23" s="435"/>
      <c r="FF23" s="435"/>
      <c r="FG23" s="435"/>
      <c r="FH23" s="435"/>
      <c r="FI23" s="435"/>
      <c r="FJ23" s="435"/>
      <c r="FK23" s="435"/>
      <c r="FL23" s="435"/>
      <c r="FM23" s="435"/>
      <c r="FN23" s="435"/>
      <c r="FO23" s="435"/>
      <c r="FP23" s="435"/>
      <c r="FQ23" s="435"/>
      <c r="FR23" s="435"/>
      <c r="FS23" s="435"/>
      <c r="FT23" s="435"/>
      <c r="FU23" s="435"/>
      <c r="FV23" s="435"/>
    </row>
    <row r="24" spans="1:178">
      <c r="A24" s="1371"/>
      <c r="B24" s="377" t="s">
        <v>403</v>
      </c>
      <c r="C24" s="398" t="s">
        <v>402</v>
      </c>
      <c r="D24" s="398">
        <v>0.23</v>
      </c>
      <c r="E24" s="379"/>
      <c r="F24" s="471" t="s">
        <v>204</v>
      </c>
      <c r="G24" s="472">
        <v>13359.166666666668</v>
      </c>
      <c r="H24" s="472">
        <v>13359.166666666668</v>
      </c>
      <c r="I24" s="472">
        <v>13359.166666666668</v>
      </c>
      <c r="J24" s="472">
        <v>13359.166666666668</v>
      </c>
      <c r="K24" s="472">
        <v>13359.166666666668</v>
      </c>
      <c r="L24" s="472">
        <v>13359.166666666668</v>
      </c>
      <c r="M24" s="472">
        <v>13359.166666666668</v>
      </c>
      <c r="N24" s="472">
        <v>13359.166666666668</v>
      </c>
      <c r="O24" s="472">
        <v>13359.166666666668</v>
      </c>
      <c r="P24" s="472">
        <v>13359.166666666668</v>
      </c>
      <c r="Q24" s="472">
        <v>13359.166666666668</v>
      </c>
      <c r="R24" s="472">
        <v>13359.166666666668</v>
      </c>
      <c r="S24" s="472">
        <v>13359.166666666668</v>
      </c>
      <c r="T24" s="572">
        <f t="shared" ref="T24:AS24" si="3">$D$24*T13</f>
        <v>13359.166666666668</v>
      </c>
      <c r="U24" s="472">
        <f t="shared" si="3"/>
        <v>13359.166666666668</v>
      </c>
      <c r="V24" s="572">
        <f t="shared" si="3"/>
        <v>13359.166666666668</v>
      </c>
      <c r="W24" s="472">
        <f t="shared" si="3"/>
        <v>13359.166666666668</v>
      </c>
      <c r="X24" s="572">
        <f t="shared" si="3"/>
        <v>13359.166666666668</v>
      </c>
      <c r="Y24" s="472">
        <f t="shared" si="3"/>
        <v>13359.166666666668</v>
      </c>
      <c r="Z24" s="572">
        <f t="shared" si="3"/>
        <v>13359.166666666668</v>
      </c>
      <c r="AA24" s="472">
        <f t="shared" si="3"/>
        <v>13359.166666666668</v>
      </c>
      <c r="AB24" s="572">
        <f t="shared" si="3"/>
        <v>13359.166666666668</v>
      </c>
      <c r="AC24" s="472">
        <f t="shared" si="3"/>
        <v>13359.166666666668</v>
      </c>
      <c r="AD24" s="572">
        <f t="shared" si="3"/>
        <v>13359.166666666668</v>
      </c>
      <c r="AE24" s="472">
        <f t="shared" si="3"/>
        <v>13359.166666666668</v>
      </c>
      <c r="AF24" s="572">
        <f t="shared" si="3"/>
        <v>13359.166666666668</v>
      </c>
      <c r="AG24" s="472">
        <f t="shared" si="3"/>
        <v>13359.166666666668</v>
      </c>
      <c r="AH24" s="572">
        <f t="shared" si="3"/>
        <v>13359.166666666668</v>
      </c>
      <c r="AI24" s="472">
        <f t="shared" si="3"/>
        <v>13359.166666666668</v>
      </c>
      <c r="AJ24" s="572">
        <f t="shared" si="3"/>
        <v>13359.166666666668</v>
      </c>
      <c r="AK24" s="472">
        <f t="shared" si="3"/>
        <v>13359.166666666668</v>
      </c>
      <c r="AL24" s="572">
        <f t="shared" si="3"/>
        <v>13359.166666666668</v>
      </c>
      <c r="AM24" s="472">
        <f t="shared" si="3"/>
        <v>13359.166666666668</v>
      </c>
      <c r="AN24" s="572">
        <f t="shared" si="3"/>
        <v>13359.166666666668</v>
      </c>
      <c r="AO24" s="472">
        <f t="shared" si="3"/>
        <v>13359.166666666668</v>
      </c>
      <c r="AP24" s="572">
        <f t="shared" si="3"/>
        <v>13359.166666666668</v>
      </c>
      <c r="AQ24" s="472">
        <f t="shared" si="3"/>
        <v>13359.166666666668</v>
      </c>
      <c r="AR24" s="572">
        <f t="shared" si="3"/>
        <v>13359.166666666668</v>
      </c>
      <c r="AS24" s="472">
        <f t="shared" si="3"/>
        <v>13359.166666666668</v>
      </c>
      <c r="AT24" s="572">
        <f>$D$24*AT13</f>
        <v>13359.166666666668</v>
      </c>
      <c r="AU24" s="472">
        <f t="shared" ref="AU24:CL24" si="4">$D$24*AU13</f>
        <v>13359.166666666668</v>
      </c>
      <c r="AV24" s="472">
        <f t="shared" si="4"/>
        <v>13359.166666666668</v>
      </c>
      <c r="AW24" s="472">
        <f t="shared" si="4"/>
        <v>13359.166666666668</v>
      </c>
      <c r="AX24" s="472">
        <f t="shared" si="4"/>
        <v>13359.166666666668</v>
      </c>
      <c r="AY24" s="472">
        <f t="shared" si="4"/>
        <v>13359.166666666668</v>
      </c>
      <c r="AZ24" s="472">
        <f t="shared" si="4"/>
        <v>13359.166666666668</v>
      </c>
      <c r="BA24" s="472">
        <f t="shared" si="4"/>
        <v>13359.166666666668</v>
      </c>
      <c r="BB24" s="472">
        <f t="shared" si="4"/>
        <v>13359.166666666668</v>
      </c>
      <c r="BC24" s="472">
        <f t="shared" si="4"/>
        <v>13359.166666666668</v>
      </c>
      <c r="BD24" s="472">
        <f t="shared" si="4"/>
        <v>13359.166666666668</v>
      </c>
      <c r="BE24" s="472">
        <f t="shared" si="4"/>
        <v>13359.166666666668</v>
      </c>
      <c r="BF24" s="472">
        <f t="shared" si="4"/>
        <v>13359.166666666668</v>
      </c>
      <c r="BG24" s="472">
        <f t="shared" si="4"/>
        <v>13359.166666666668</v>
      </c>
      <c r="BH24" s="472">
        <f t="shared" si="4"/>
        <v>13359.166666666668</v>
      </c>
      <c r="BI24" s="472">
        <f t="shared" si="4"/>
        <v>13359.166666666668</v>
      </c>
      <c r="BJ24" s="472">
        <f t="shared" si="4"/>
        <v>13359.166666666668</v>
      </c>
      <c r="BK24" s="472">
        <f t="shared" si="4"/>
        <v>13359.166666666668</v>
      </c>
      <c r="BL24" s="472">
        <f t="shared" si="4"/>
        <v>13359.166666666668</v>
      </c>
      <c r="BM24" s="472">
        <f t="shared" si="4"/>
        <v>13359.166666666668</v>
      </c>
      <c r="BN24" s="472">
        <f t="shared" si="4"/>
        <v>13359.166666666668</v>
      </c>
      <c r="BO24" s="472">
        <f t="shared" si="4"/>
        <v>13359.166666666668</v>
      </c>
      <c r="BP24" s="472">
        <f t="shared" si="4"/>
        <v>13359.166666666668</v>
      </c>
      <c r="BQ24" s="472">
        <f t="shared" si="4"/>
        <v>13359.166666666668</v>
      </c>
      <c r="BR24" s="472">
        <f t="shared" si="4"/>
        <v>13359.166666666668</v>
      </c>
      <c r="BS24" s="472">
        <f t="shared" si="4"/>
        <v>13359.166666666668</v>
      </c>
      <c r="BT24" s="472">
        <f t="shared" si="4"/>
        <v>13359.166666666668</v>
      </c>
      <c r="BU24" s="472">
        <f t="shared" si="4"/>
        <v>13359.166666666668</v>
      </c>
      <c r="BV24" s="472">
        <f t="shared" si="4"/>
        <v>13359.166666666668</v>
      </c>
      <c r="BW24" s="472">
        <f t="shared" si="4"/>
        <v>13359.166666666668</v>
      </c>
      <c r="BX24" s="472">
        <f t="shared" si="4"/>
        <v>13359.166666666668</v>
      </c>
      <c r="BY24" s="472">
        <f t="shared" si="4"/>
        <v>13359.166666666668</v>
      </c>
      <c r="BZ24" s="472">
        <f t="shared" si="4"/>
        <v>13359.166666666668</v>
      </c>
      <c r="CA24" s="472">
        <f t="shared" si="4"/>
        <v>13359.166666666668</v>
      </c>
      <c r="CB24" s="472">
        <f t="shared" si="4"/>
        <v>13359.166666666668</v>
      </c>
      <c r="CC24" s="472">
        <f t="shared" si="4"/>
        <v>13359.166666666668</v>
      </c>
      <c r="CD24" s="472">
        <f t="shared" si="4"/>
        <v>13359.166666666668</v>
      </c>
      <c r="CE24" s="472">
        <f t="shared" si="4"/>
        <v>13359.166666666668</v>
      </c>
      <c r="CF24" s="472">
        <f t="shared" si="4"/>
        <v>13359.166666666668</v>
      </c>
      <c r="CG24" s="472">
        <f t="shared" si="4"/>
        <v>13359.166666666668</v>
      </c>
      <c r="CH24" s="472">
        <f t="shared" si="4"/>
        <v>13359.166666666668</v>
      </c>
      <c r="CI24" s="472">
        <f t="shared" si="4"/>
        <v>13359.166666666668</v>
      </c>
      <c r="CJ24" s="472">
        <f t="shared" si="4"/>
        <v>13359.166666666668</v>
      </c>
      <c r="CK24" s="472">
        <f t="shared" si="4"/>
        <v>13359.166666666668</v>
      </c>
      <c r="CL24" s="473">
        <f t="shared" si="4"/>
        <v>13359.166666666668</v>
      </c>
      <c r="CM24" s="380">
        <f t="shared" si="0"/>
        <v>13359.166666666659</v>
      </c>
      <c r="CN24" s="435"/>
      <c r="CO24" s="435"/>
      <c r="CP24" s="435"/>
      <c r="CQ24" s="435"/>
      <c r="CR24" s="435"/>
      <c r="CS24" s="435"/>
      <c r="CT24" s="435"/>
      <c r="CU24" s="435"/>
      <c r="CV24" s="435"/>
      <c r="CW24" s="435"/>
      <c r="CX24" s="435"/>
      <c r="CY24" s="435"/>
      <c r="CZ24" s="435"/>
      <c r="DA24" s="435"/>
      <c r="DB24" s="435"/>
      <c r="DC24" s="435"/>
      <c r="DD24" s="435"/>
      <c r="DE24" s="435"/>
      <c r="DF24" s="435"/>
      <c r="DG24" s="435"/>
      <c r="DH24" s="435"/>
      <c r="DI24" s="435"/>
      <c r="DJ24" s="435"/>
      <c r="DK24" s="435"/>
      <c r="DL24" s="435"/>
      <c r="DM24" s="435"/>
      <c r="DN24" s="435"/>
      <c r="DO24" s="435"/>
      <c r="DP24" s="435"/>
      <c r="DQ24" s="435"/>
      <c r="DR24" s="435"/>
      <c r="DS24" s="435"/>
      <c r="DT24" s="435"/>
      <c r="DU24" s="435"/>
      <c r="DV24" s="435"/>
      <c r="DW24" s="435"/>
      <c r="DX24" s="435"/>
      <c r="DY24" s="435"/>
      <c r="DZ24" s="435"/>
      <c r="EA24" s="435"/>
      <c r="EB24" s="435"/>
      <c r="EC24" s="435"/>
      <c r="ED24" s="435"/>
      <c r="EE24" s="435"/>
      <c r="EF24" s="435"/>
      <c r="EG24" s="435"/>
      <c r="EH24" s="435"/>
      <c r="EI24" s="435"/>
      <c r="EJ24" s="435"/>
      <c r="EK24" s="435"/>
      <c r="EL24" s="435"/>
      <c r="EM24" s="435"/>
      <c r="EN24" s="435"/>
      <c r="EO24" s="435"/>
      <c r="EP24" s="435"/>
      <c r="EQ24" s="435"/>
      <c r="ER24" s="435"/>
      <c r="ES24" s="435"/>
      <c r="ET24" s="435"/>
      <c r="EU24" s="435"/>
      <c r="EV24" s="435"/>
      <c r="EW24" s="435"/>
      <c r="EX24" s="435"/>
      <c r="EY24" s="435"/>
      <c r="EZ24" s="435"/>
      <c r="FA24" s="435"/>
      <c r="FB24" s="435"/>
      <c r="FC24" s="435"/>
      <c r="FD24" s="435"/>
      <c r="FE24" s="435"/>
      <c r="FF24" s="435"/>
      <c r="FG24" s="435"/>
      <c r="FH24" s="435"/>
      <c r="FI24" s="435"/>
      <c r="FJ24" s="435"/>
      <c r="FK24" s="435"/>
      <c r="FL24" s="435"/>
      <c r="FM24" s="435"/>
      <c r="FN24" s="435"/>
      <c r="FO24" s="435"/>
      <c r="FP24" s="435"/>
      <c r="FQ24" s="435"/>
      <c r="FR24" s="435"/>
      <c r="FS24" s="435"/>
      <c r="FT24" s="435"/>
      <c r="FU24" s="435"/>
      <c r="FV24" s="435"/>
    </row>
    <row r="25" spans="1:178">
      <c r="A25" s="1371"/>
      <c r="B25" s="377" t="s">
        <v>403</v>
      </c>
      <c r="C25" s="398" t="s">
        <v>402</v>
      </c>
      <c r="D25" s="398">
        <v>0.26500000000000001</v>
      </c>
      <c r="E25" s="379"/>
      <c r="F25" s="471" t="s">
        <v>205</v>
      </c>
      <c r="G25" s="472">
        <v>3003.3333333333335</v>
      </c>
      <c r="H25" s="472">
        <v>3003.3333333333335</v>
      </c>
      <c r="I25" s="472">
        <v>3003.3333333333335</v>
      </c>
      <c r="J25" s="472">
        <v>3003.3333333333335</v>
      </c>
      <c r="K25" s="472">
        <v>3003.3333333333335</v>
      </c>
      <c r="L25" s="472">
        <v>3003.3333333333335</v>
      </c>
      <c r="M25" s="472">
        <v>3003.3333333333335</v>
      </c>
      <c r="N25" s="472">
        <v>3003.3333333333335</v>
      </c>
      <c r="O25" s="472">
        <v>3003.3333333333335</v>
      </c>
      <c r="P25" s="472">
        <v>3003.3333333333335</v>
      </c>
      <c r="Q25" s="472">
        <v>3003.3333333333335</v>
      </c>
      <c r="R25" s="472">
        <v>3003.3333333333335</v>
      </c>
      <c r="S25" s="472">
        <v>3003.3333333333335</v>
      </c>
      <c r="T25" s="572">
        <f t="shared" ref="T25:AS25" si="5">$D$25*T14</f>
        <v>3003.3333333333335</v>
      </c>
      <c r="U25" s="472">
        <f t="shared" si="5"/>
        <v>3003.3333333333335</v>
      </c>
      <c r="V25" s="572">
        <f t="shared" si="5"/>
        <v>3003.3333333333335</v>
      </c>
      <c r="W25" s="472">
        <f t="shared" si="5"/>
        <v>3003.3333333333335</v>
      </c>
      <c r="X25" s="572">
        <f t="shared" si="5"/>
        <v>3003.3333333333335</v>
      </c>
      <c r="Y25" s="472">
        <f t="shared" si="5"/>
        <v>3003.3333333333335</v>
      </c>
      <c r="Z25" s="572">
        <f t="shared" si="5"/>
        <v>3003.3333333333335</v>
      </c>
      <c r="AA25" s="472">
        <f t="shared" si="5"/>
        <v>3003.3333333333335</v>
      </c>
      <c r="AB25" s="572">
        <f t="shared" si="5"/>
        <v>3003.3333333333335</v>
      </c>
      <c r="AC25" s="472">
        <f t="shared" si="5"/>
        <v>3003.3333333333335</v>
      </c>
      <c r="AD25" s="572">
        <f t="shared" si="5"/>
        <v>3003.3333333333335</v>
      </c>
      <c r="AE25" s="472">
        <f t="shared" si="5"/>
        <v>3003.3333333333335</v>
      </c>
      <c r="AF25" s="572">
        <f t="shared" si="5"/>
        <v>3003.3333333333335</v>
      </c>
      <c r="AG25" s="472">
        <f t="shared" si="5"/>
        <v>3003.3333333333335</v>
      </c>
      <c r="AH25" s="572">
        <f t="shared" si="5"/>
        <v>3003.3333333333335</v>
      </c>
      <c r="AI25" s="472">
        <f t="shared" si="5"/>
        <v>3003.3333333333335</v>
      </c>
      <c r="AJ25" s="572">
        <f t="shared" si="5"/>
        <v>3003.3333333333335</v>
      </c>
      <c r="AK25" s="472">
        <f t="shared" si="5"/>
        <v>3003.3333333333335</v>
      </c>
      <c r="AL25" s="572">
        <f t="shared" si="5"/>
        <v>3003.3333333333335</v>
      </c>
      <c r="AM25" s="472">
        <f t="shared" si="5"/>
        <v>3003.3333333333335</v>
      </c>
      <c r="AN25" s="572">
        <f t="shared" si="5"/>
        <v>3003.3333333333335</v>
      </c>
      <c r="AO25" s="472">
        <f t="shared" si="5"/>
        <v>3003.3333333333335</v>
      </c>
      <c r="AP25" s="572">
        <f t="shared" si="5"/>
        <v>3003.3333333333335</v>
      </c>
      <c r="AQ25" s="472">
        <f t="shared" si="5"/>
        <v>3003.3333333333335</v>
      </c>
      <c r="AR25" s="572">
        <f t="shared" si="5"/>
        <v>3003.3333333333335</v>
      </c>
      <c r="AS25" s="472">
        <f t="shared" si="5"/>
        <v>3003.3333333333335</v>
      </c>
      <c r="AT25" s="572">
        <f>$D$25*AT14</f>
        <v>3003.3333333333335</v>
      </c>
      <c r="AU25" s="472">
        <f t="shared" ref="AU25:CL25" si="6">$D$25*AU14</f>
        <v>3003.3333333333335</v>
      </c>
      <c r="AV25" s="472">
        <f t="shared" si="6"/>
        <v>3003.3333333333335</v>
      </c>
      <c r="AW25" s="472">
        <f t="shared" si="6"/>
        <v>3003.3333333333335</v>
      </c>
      <c r="AX25" s="472">
        <f t="shared" si="6"/>
        <v>3003.3333333333335</v>
      </c>
      <c r="AY25" s="472">
        <f t="shared" si="6"/>
        <v>3003.3333333333335</v>
      </c>
      <c r="AZ25" s="472">
        <f t="shared" si="6"/>
        <v>3003.3333333333335</v>
      </c>
      <c r="BA25" s="472">
        <f t="shared" si="6"/>
        <v>3003.3333333333335</v>
      </c>
      <c r="BB25" s="472">
        <f t="shared" si="6"/>
        <v>3003.3333333333335</v>
      </c>
      <c r="BC25" s="472">
        <f t="shared" si="6"/>
        <v>3003.3333333333335</v>
      </c>
      <c r="BD25" s="472">
        <f t="shared" si="6"/>
        <v>3003.3333333333335</v>
      </c>
      <c r="BE25" s="472">
        <f t="shared" si="6"/>
        <v>3003.3333333333335</v>
      </c>
      <c r="BF25" s="472">
        <f t="shared" si="6"/>
        <v>3003.3333333333335</v>
      </c>
      <c r="BG25" s="472">
        <f t="shared" si="6"/>
        <v>3003.3333333333335</v>
      </c>
      <c r="BH25" s="472">
        <f t="shared" si="6"/>
        <v>3003.3333333333335</v>
      </c>
      <c r="BI25" s="472">
        <f t="shared" si="6"/>
        <v>3003.3333333333335</v>
      </c>
      <c r="BJ25" s="472">
        <f t="shared" si="6"/>
        <v>3003.3333333333335</v>
      </c>
      <c r="BK25" s="472">
        <f t="shared" si="6"/>
        <v>3003.3333333333335</v>
      </c>
      <c r="BL25" s="472">
        <f t="shared" si="6"/>
        <v>3003.3333333333335</v>
      </c>
      <c r="BM25" s="472">
        <f t="shared" si="6"/>
        <v>3003.3333333333335</v>
      </c>
      <c r="BN25" s="472">
        <f t="shared" si="6"/>
        <v>3003.3333333333335</v>
      </c>
      <c r="BO25" s="472">
        <f t="shared" si="6"/>
        <v>3003.3333333333335</v>
      </c>
      <c r="BP25" s="472">
        <f t="shared" si="6"/>
        <v>3003.3333333333335</v>
      </c>
      <c r="BQ25" s="472">
        <f t="shared" si="6"/>
        <v>3003.3333333333335</v>
      </c>
      <c r="BR25" s="472">
        <f t="shared" si="6"/>
        <v>3003.3333333333335</v>
      </c>
      <c r="BS25" s="472">
        <f t="shared" si="6"/>
        <v>3003.3333333333335</v>
      </c>
      <c r="BT25" s="472">
        <f t="shared" si="6"/>
        <v>3003.3333333333335</v>
      </c>
      <c r="BU25" s="472">
        <f t="shared" si="6"/>
        <v>3003.3333333333335</v>
      </c>
      <c r="BV25" s="472">
        <f t="shared" si="6"/>
        <v>3003.3333333333335</v>
      </c>
      <c r="BW25" s="472">
        <f t="shared" si="6"/>
        <v>3003.3333333333335</v>
      </c>
      <c r="BX25" s="472">
        <f t="shared" si="6"/>
        <v>3003.3333333333335</v>
      </c>
      <c r="BY25" s="472">
        <f t="shared" si="6"/>
        <v>3003.3333333333335</v>
      </c>
      <c r="BZ25" s="472">
        <f t="shared" si="6"/>
        <v>3003.3333333333335</v>
      </c>
      <c r="CA25" s="472">
        <f t="shared" si="6"/>
        <v>3003.3333333333335</v>
      </c>
      <c r="CB25" s="472">
        <f t="shared" si="6"/>
        <v>3003.3333333333335</v>
      </c>
      <c r="CC25" s="472">
        <f t="shared" si="6"/>
        <v>3003.3333333333335</v>
      </c>
      <c r="CD25" s="472">
        <f t="shared" si="6"/>
        <v>3003.3333333333335</v>
      </c>
      <c r="CE25" s="472">
        <f t="shared" si="6"/>
        <v>3003.3333333333335</v>
      </c>
      <c r="CF25" s="472">
        <f t="shared" si="6"/>
        <v>3003.3333333333335</v>
      </c>
      <c r="CG25" s="472">
        <f t="shared" si="6"/>
        <v>3003.3333333333335</v>
      </c>
      <c r="CH25" s="472">
        <f t="shared" si="6"/>
        <v>3003.3333333333335</v>
      </c>
      <c r="CI25" s="472">
        <f t="shared" si="6"/>
        <v>3003.3333333333335</v>
      </c>
      <c r="CJ25" s="472">
        <f t="shared" si="6"/>
        <v>3003.3333333333335</v>
      </c>
      <c r="CK25" s="472">
        <f t="shared" si="6"/>
        <v>3003.3333333333335</v>
      </c>
      <c r="CL25" s="473">
        <f t="shared" si="6"/>
        <v>3003.3333333333335</v>
      </c>
      <c r="CM25" s="380">
        <f t="shared" si="0"/>
        <v>3003.3333333333371</v>
      </c>
      <c r="CN25" s="435"/>
      <c r="CO25" s="435"/>
      <c r="CP25" s="435"/>
      <c r="CQ25" s="435"/>
      <c r="CR25" s="435"/>
      <c r="CS25" s="435"/>
      <c r="CT25" s="435"/>
      <c r="CU25" s="435"/>
      <c r="CV25" s="435"/>
      <c r="CW25" s="435"/>
      <c r="CX25" s="435"/>
      <c r="CY25" s="435"/>
      <c r="CZ25" s="435"/>
      <c r="DA25" s="435"/>
      <c r="DB25" s="435"/>
      <c r="DC25" s="435"/>
      <c r="DD25" s="435"/>
      <c r="DE25" s="435"/>
      <c r="DF25" s="435"/>
      <c r="DG25" s="435"/>
      <c r="DH25" s="435"/>
      <c r="DI25" s="435"/>
      <c r="DJ25" s="435"/>
      <c r="DK25" s="435"/>
      <c r="DL25" s="435"/>
      <c r="DM25" s="435"/>
      <c r="DN25" s="435"/>
      <c r="DO25" s="435"/>
      <c r="DP25" s="435"/>
      <c r="DQ25" s="435"/>
      <c r="DR25" s="435"/>
      <c r="DS25" s="435"/>
      <c r="DT25" s="435"/>
      <c r="DU25" s="435"/>
      <c r="DV25" s="435"/>
      <c r="DW25" s="435"/>
      <c r="DX25" s="435"/>
      <c r="DY25" s="435"/>
      <c r="DZ25" s="435"/>
      <c r="EA25" s="435"/>
      <c r="EB25" s="435"/>
      <c r="EC25" s="435"/>
      <c r="ED25" s="435"/>
      <c r="EE25" s="435"/>
      <c r="EF25" s="435"/>
      <c r="EG25" s="435"/>
      <c r="EH25" s="435"/>
      <c r="EI25" s="435"/>
      <c r="EJ25" s="435"/>
      <c r="EK25" s="435"/>
      <c r="EL25" s="435"/>
      <c r="EM25" s="435"/>
      <c r="EN25" s="435"/>
      <c r="EO25" s="435"/>
      <c r="EP25" s="435"/>
      <c r="EQ25" s="435"/>
      <c r="ER25" s="435"/>
      <c r="ES25" s="435"/>
      <c r="ET25" s="435"/>
      <c r="EU25" s="435"/>
      <c r="EV25" s="435"/>
      <c r="EW25" s="435"/>
      <c r="EX25" s="435"/>
      <c r="EY25" s="435"/>
      <c r="EZ25" s="435"/>
      <c r="FA25" s="435"/>
      <c r="FB25" s="435"/>
      <c r="FC25" s="435"/>
      <c r="FD25" s="435"/>
      <c r="FE25" s="435"/>
      <c r="FF25" s="435"/>
      <c r="FG25" s="435"/>
      <c r="FH25" s="435"/>
      <c r="FI25" s="435"/>
      <c r="FJ25" s="435"/>
      <c r="FK25" s="435"/>
      <c r="FL25" s="435"/>
      <c r="FM25" s="435"/>
      <c r="FN25" s="435"/>
      <c r="FO25" s="435"/>
      <c r="FP25" s="435"/>
      <c r="FQ25" s="435"/>
      <c r="FR25" s="435"/>
      <c r="FS25" s="435"/>
      <c r="FT25" s="435"/>
      <c r="FU25" s="435"/>
      <c r="FV25" s="435"/>
    </row>
    <row r="26" spans="1:178">
      <c r="A26" s="1371"/>
      <c r="B26" s="377" t="s">
        <v>403</v>
      </c>
      <c r="C26" s="398" t="s">
        <v>402</v>
      </c>
      <c r="D26" s="398">
        <v>0.18049999999999999</v>
      </c>
      <c r="E26" s="379"/>
      <c r="F26" s="471" t="s">
        <v>206</v>
      </c>
      <c r="G26" s="472">
        <v>24232.125</v>
      </c>
      <c r="H26" s="472">
        <v>24232.125</v>
      </c>
      <c r="I26" s="472">
        <v>24232.125</v>
      </c>
      <c r="J26" s="472">
        <v>24232.125</v>
      </c>
      <c r="K26" s="472">
        <v>24232.125</v>
      </c>
      <c r="L26" s="472">
        <v>24232.125</v>
      </c>
      <c r="M26" s="472">
        <v>24232.125</v>
      </c>
      <c r="N26" s="472">
        <v>24232.125</v>
      </c>
      <c r="O26" s="472">
        <v>24232.125</v>
      </c>
      <c r="P26" s="472">
        <v>24232.125</v>
      </c>
      <c r="Q26" s="472">
        <v>24232.125</v>
      </c>
      <c r="R26" s="472">
        <v>24232.125</v>
      </c>
      <c r="S26" s="472">
        <v>24232.125</v>
      </c>
      <c r="T26" s="572">
        <f t="shared" ref="T26:AS26" si="7">$D$26*T15</f>
        <v>24232.125</v>
      </c>
      <c r="U26" s="472">
        <f t="shared" si="7"/>
        <v>24232.125</v>
      </c>
      <c r="V26" s="572">
        <f t="shared" si="7"/>
        <v>24232.125</v>
      </c>
      <c r="W26" s="472">
        <f t="shared" si="7"/>
        <v>24232.125</v>
      </c>
      <c r="X26" s="572">
        <f t="shared" si="7"/>
        <v>24232.125</v>
      </c>
      <c r="Y26" s="472">
        <f t="shared" si="7"/>
        <v>24232.125</v>
      </c>
      <c r="Z26" s="572">
        <f t="shared" si="7"/>
        <v>24232.125</v>
      </c>
      <c r="AA26" s="472">
        <f t="shared" si="7"/>
        <v>24232.125</v>
      </c>
      <c r="AB26" s="572">
        <f t="shared" si="7"/>
        <v>24232.125</v>
      </c>
      <c r="AC26" s="472">
        <f t="shared" si="7"/>
        <v>24232.125</v>
      </c>
      <c r="AD26" s="572">
        <f t="shared" si="7"/>
        <v>24232.125</v>
      </c>
      <c r="AE26" s="472">
        <f t="shared" si="7"/>
        <v>24232.125</v>
      </c>
      <c r="AF26" s="572">
        <f t="shared" si="7"/>
        <v>24232.125</v>
      </c>
      <c r="AG26" s="472">
        <f t="shared" si="7"/>
        <v>24232.125</v>
      </c>
      <c r="AH26" s="572">
        <f t="shared" si="7"/>
        <v>24232.125</v>
      </c>
      <c r="AI26" s="472">
        <f t="shared" si="7"/>
        <v>24232.125</v>
      </c>
      <c r="AJ26" s="572">
        <f t="shared" si="7"/>
        <v>24232.125</v>
      </c>
      <c r="AK26" s="472">
        <f t="shared" si="7"/>
        <v>24232.125</v>
      </c>
      <c r="AL26" s="572">
        <f t="shared" si="7"/>
        <v>24232.125</v>
      </c>
      <c r="AM26" s="472">
        <f t="shared" si="7"/>
        <v>24232.125</v>
      </c>
      <c r="AN26" s="572">
        <f t="shared" si="7"/>
        <v>24232.125</v>
      </c>
      <c r="AO26" s="472">
        <f t="shared" si="7"/>
        <v>24232.125</v>
      </c>
      <c r="AP26" s="572">
        <f t="shared" si="7"/>
        <v>24232.125</v>
      </c>
      <c r="AQ26" s="472">
        <f t="shared" si="7"/>
        <v>24232.125</v>
      </c>
      <c r="AR26" s="572">
        <f t="shared" si="7"/>
        <v>24232.125</v>
      </c>
      <c r="AS26" s="472">
        <f t="shared" si="7"/>
        <v>24232.125</v>
      </c>
      <c r="AT26" s="572">
        <f>$D$26*AT15</f>
        <v>24232.125</v>
      </c>
      <c r="AU26" s="472">
        <f t="shared" ref="AU26:CL26" si="8">$D$26*AU15</f>
        <v>24232.125</v>
      </c>
      <c r="AV26" s="472">
        <f t="shared" si="8"/>
        <v>24232.125</v>
      </c>
      <c r="AW26" s="472">
        <f t="shared" si="8"/>
        <v>24232.125</v>
      </c>
      <c r="AX26" s="472">
        <f t="shared" si="8"/>
        <v>24232.125</v>
      </c>
      <c r="AY26" s="472">
        <f t="shared" si="8"/>
        <v>24232.125</v>
      </c>
      <c r="AZ26" s="472">
        <f t="shared" si="8"/>
        <v>24232.125</v>
      </c>
      <c r="BA26" s="472">
        <f t="shared" si="8"/>
        <v>24232.125</v>
      </c>
      <c r="BB26" s="472">
        <f t="shared" si="8"/>
        <v>24232.125</v>
      </c>
      <c r="BC26" s="472">
        <f t="shared" si="8"/>
        <v>24232.125</v>
      </c>
      <c r="BD26" s="472">
        <f t="shared" si="8"/>
        <v>24232.125</v>
      </c>
      <c r="BE26" s="472">
        <f t="shared" si="8"/>
        <v>24232.125</v>
      </c>
      <c r="BF26" s="472">
        <f t="shared" si="8"/>
        <v>24232.125</v>
      </c>
      <c r="BG26" s="472">
        <f t="shared" si="8"/>
        <v>24232.125</v>
      </c>
      <c r="BH26" s="472">
        <f t="shared" si="8"/>
        <v>24232.125</v>
      </c>
      <c r="BI26" s="472">
        <f t="shared" si="8"/>
        <v>24232.125</v>
      </c>
      <c r="BJ26" s="472">
        <f t="shared" si="8"/>
        <v>24232.125</v>
      </c>
      <c r="BK26" s="472">
        <f t="shared" si="8"/>
        <v>24232.125</v>
      </c>
      <c r="BL26" s="472">
        <f t="shared" si="8"/>
        <v>24232.125</v>
      </c>
      <c r="BM26" s="472">
        <f t="shared" si="8"/>
        <v>24232.125</v>
      </c>
      <c r="BN26" s="472">
        <f t="shared" si="8"/>
        <v>24232.125</v>
      </c>
      <c r="BO26" s="472">
        <f t="shared" si="8"/>
        <v>24232.125</v>
      </c>
      <c r="BP26" s="472">
        <f t="shared" si="8"/>
        <v>24232.125</v>
      </c>
      <c r="BQ26" s="472">
        <f t="shared" si="8"/>
        <v>24232.125</v>
      </c>
      <c r="BR26" s="472">
        <f t="shared" si="8"/>
        <v>24232.125</v>
      </c>
      <c r="BS26" s="472">
        <f t="shared" si="8"/>
        <v>24232.125</v>
      </c>
      <c r="BT26" s="472">
        <f t="shared" si="8"/>
        <v>24232.125</v>
      </c>
      <c r="BU26" s="472">
        <f t="shared" si="8"/>
        <v>24232.125</v>
      </c>
      <c r="BV26" s="472">
        <f t="shared" si="8"/>
        <v>24232.125</v>
      </c>
      <c r="BW26" s="472">
        <f t="shared" si="8"/>
        <v>24232.125</v>
      </c>
      <c r="BX26" s="472">
        <f t="shared" si="8"/>
        <v>24232.125</v>
      </c>
      <c r="BY26" s="472">
        <f t="shared" si="8"/>
        <v>24232.125</v>
      </c>
      <c r="BZ26" s="472">
        <f t="shared" si="8"/>
        <v>24232.125</v>
      </c>
      <c r="CA26" s="472">
        <f t="shared" si="8"/>
        <v>24232.125</v>
      </c>
      <c r="CB26" s="472">
        <f t="shared" si="8"/>
        <v>24232.125</v>
      </c>
      <c r="CC26" s="472">
        <f t="shared" si="8"/>
        <v>24232.125</v>
      </c>
      <c r="CD26" s="472">
        <f t="shared" si="8"/>
        <v>24232.125</v>
      </c>
      <c r="CE26" s="472">
        <f t="shared" si="8"/>
        <v>24232.125</v>
      </c>
      <c r="CF26" s="472">
        <f t="shared" si="8"/>
        <v>24232.125</v>
      </c>
      <c r="CG26" s="472">
        <f t="shared" si="8"/>
        <v>24232.125</v>
      </c>
      <c r="CH26" s="472">
        <f t="shared" si="8"/>
        <v>24232.125</v>
      </c>
      <c r="CI26" s="472">
        <f t="shared" si="8"/>
        <v>24232.125</v>
      </c>
      <c r="CJ26" s="472">
        <f t="shared" si="8"/>
        <v>24232.125</v>
      </c>
      <c r="CK26" s="472">
        <f t="shared" si="8"/>
        <v>24232.125</v>
      </c>
      <c r="CL26" s="473">
        <f t="shared" si="8"/>
        <v>24232.125</v>
      </c>
      <c r="CM26" s="380">
        <f t="shared" si="0"/>
        <v>24232.125</v>
      </c>
      <c r="CN26" s="435"/>
      <c r="CO26" s="435"/>
      <c r="CP26" s="435"/>
      <c r="CQ26" s="435"/>
      <c r="CR26" s="435"/>
      <c r="CS26" s="435"/>
      <c r="CT26" s="435"/>
      <c r="CU26" s="435"/>
      <c r="CV26" s="435"/>
      <c r="CW26" s="435"/>
      <c r="CX26" s="435"/>
      <c r="CY26" s="435"/>
      <c r="CZ26" s="435"/>
      <c r="DA26" s="435"/>
      <c r="DB26" s="435"/>
      <c r="DC26" s="435"/>
      <c r="DD26" s="435"/>
      <c r="DE26" s="435"/>
      <c r="DF26" s="435"/>
      <c r="DG26" s="435"/>
      <c r="DH26" s="435"/>
      <c r="DI26" s="435"/>
      <c r="DJ26" s="435"/>
      <c r="DK26" s="435"/>
      <c r="DL26" s="435"/>
      <c r="DM26" s="435"/>
      <c r="DN26" s="435"/>
      <c r="DO26" s="435"/>
      <c r="DP26" s="435"/>
      <c r="DQ26" s="435"/>
      <c r="DR26" s="435"/>
      <c r="DS26" s="435"/>
      <c r="DT26" s="435"/>
      <c r="DU26" s="435"/>
      <c r="DV26" s="435"/>
      <c r="DW26" s="435"/>
      <c r="DX26" s="435"/>
      <c r="DY26" s="435"/>
      <c r="DZ26" s="435"/>
      <c r="EA26" s="435"/>
      <c r="EB26" s="435"/>
      <c r="EC26" s="435"/>
      <c r="ED26" s="435"/>
      <c r="EE26" s="435"/>
      <c r="EF26" s="435"/>
      <c r="EG26" s="435"/>
      <c r="EH26" s="435"/>
      <c r="EI26" s="435"/>
      <c r="EJ26" s="435"/>
      <c r="EK26" s="435"/>
      <c r="EL26" s="435"/>
      <c r="EM26" s="435"/>
      <c r="EN26" s="435"/>
      <c r="EO26" s="435"/>
      <c r="EP26" s="435"/>
      <c r="EQ26" s="435"/>
      <c r="ER26" s="435"/>
      <c r="ES26" s="435"/>
      <c r="ET26" s="435"/>
      <c r="EU26" s="435"/>
      <c r="EV26" s="435"/>
      <c r="EW26" s="435"/>
      <c r="EX26" s="435"/>
      <c r="EY26" s="435"/>
      <c r="EZ26" s="435"/>
      <c r="FA26" s="435"/>
      <c r="FB26" s="435"/>
      <c r="FC26" s="435"/>
      <c r="FD26" s="435"/>
      <c r="FE26" s="435"/>
      <c r="FF26" s="435"/>
      <c r="FG26" s="435"/>
      <c r="FH26" s="435"/>
      <c r="FI26" s="435"/>
      <c r="FJ26" s="435"/>
      <c r="FK26" s="435"/>
      <c r="FL26" s="435"/>
      <c r="FM26" s="435"/>
      <c r="FN26" s="435"/>
      <c r="FO26" s="435"/>
      <c r="FP26" s="435"/>
      <c r="FQ26" s="435"/>
      <c r="FR26" s="435"/>
      <c r="FS26" s="435"/>
      <c r="FT26" s="435"/>
      <c r="FU26" s="435"/>
      <c r="FV26" s="435"/>
    </row>
    <row r="27" spans="1:178">
      <c r="A27" s="1371"/>
      <c r="B27" s="377" t="s">
        <v>403</v>
      </c>
      <c r="C27" s="398" t="s">
        <v>402</v>
      </c>
      <c r="D27" s="398">
        <v>1.8104</v>
      </c>
      <c r="E27" s="379"/>
      <c r="F27" s="471" t="s">
        <v>207</v>
      </c>
      <c r="G27" s="472">
        <v>200391.36559999999</v>
      </c>
      <c r="H27" s="472">
        <v>200391.36559999999</v>
      </c>
      <c r="I27" s="472">
        <v>200391.36559999999</v>
      </c>
      <c r="J27" s="472">
        <v>200391.36559999999</v>
      </c>
      <c r="K27" s="472">
        <v>200391.36559999999</v>
      </c>
      <c r="L27" s="472">
        <v>200391.36559999999</v>
      </c>
      <c r="M27" s="472">
        <v>200391.36559999999</v>
      </c>
      <c r="N27" s="472">
        <v>200391.36559999999</v>
      </c>
      <c r="O27" s="472">
        <v>200391.36559999999</v>
      </c>
      <c r="P27" s="472">
        <v>200391.36559999999</v>
      </c>
      <c r="Q27" s="472">
        <v>200391.36559999999</v>
      </c>
      <c r="R27" s="472">
        <v>200391.36559999999</v>
      </c>
      <c r="S27" s="472">
        <v>200391.36559999999</v>
      </c>
      <c r="T27" s="572">
        <f t="shared" ref="T27:AS27" si="9">$D$27*T16</f>
        <v>200391.36559999999</v>
      </c>
      <c r="U27" s="472">
        <f t="shared" si="9"/>
        <v>200391.36559999999</v>
      </c>
      <c r="V27" s="572">
        <f t="shared" si="9"/>
        <v>200391.36559999999</v>
      </c>
      <c r="W27" s="472">
        <f t="shared" si="9"/>
        <v>200391.36559999999</v>
      </c>
      <c r="X27" s="572">
        <f t="shared" si="9"/>
        <v>200391.36559999999</v>
      </c>
      <c r="Y27" s="472">
        <f t="shared" si="9"/>
        <v>200391.36559999999</v>
      </c>
      <c r="Z27" s="572">
        <f t="shared" si="9"/>
        <v>200391.36559999999</v>
      </c>
      <c r="AA27" s="472">
        <f t="shared" si="9"/>
        <v>200391.36559999999</v>
      </c>
      <c r="AB27" s="572">
        <f t="shared" si="9"/>
        <v>200391.36559999999</v>
      </c>
      <c r="AC27" s="472">
        <f t="shared" si="9"/>
        <v>200391.36559999999</v>
      </c>
      <c r="AD27" s="572">
        <f t="shared" si="9"/>
        <v>200391.36559999999</v>
      </c>
      <c r="AE27" s="472">
        <f t="shared" si="9"/>
        <v>200391.36559999999</v>
      </c>
      <c r="AF27" s="572">
        <f t="shared" si="9"/>
        <v>200391.36559999999</v>
      </c>
      <c r="AG27" s="472">
        <f t="shared" si="9"/>
        <v>200391.36559999999</v>
      </c>
      <c r="AH27" s="572">
        <f t="shared" si="9"/>
        <v>200391.36559999999</v>
      </c>
      <c r="AI27" s="472">
        <f t="shared" si="9"/>
        <v>200391.36559999999</v>
      </c>
      <c r="AJ27" s="572">
        <f t="shared" si="9"/>
        <v>200391.36559999999</v>
      </c>
      <c r="AK27" s="472">
        <f t="shared" si="9"/>
        <v>200391.36559999999</v>
      </c>
      <c r="AL27" s="572">
        <f t="shared" si="9"/>
        <v>200391.36559999999</v>
      </c>
      <c r="AM27" s="472">
        <f t="shared" si="9"/>
        <v>200391.36559999999</v>
      </c>
      <c r="AN27" s="572">
        <f t="shared" si="9"/>
        <v>200391.36559999999</v>
      </c>
      <c r="AO27" s="472">
        <f t="shared" si="9"/>
        <v>200391.36559999999</v>
      </c>
      <c r="AP27" s="572">
        <f t="shared" si="9"/>
        <v>200391.36559999999</v>
      </c>
      <c r="AQ27" s="472">
        <f t="shared" si="9"/>
        <v>200391.36559999999</v>
      </c>
      <c r="AR27" s="572">
        <f t="shared" si="9"/>
        <v>200391.36559999999</v>
      </c>
      <c r="AS27" s="472">
        <f t="shared" si="9"/>
        <v>200391.36559999999</v>
      </c>
      <c r="AT27" s="572">
        <f>$D$27*AT16</f>
        <v>200391.36559999999</v>
      </c>
      <c r="AU27" s="472">
        <f t="shared" ref="AU27:CL27" si="10">$D$27*AU16</f>
        <v>200391.36559999999</v>
      </c>
      <c r="AV27" s="472">
        <f t="shared" si="10"/>
        <v>200391.36559999999</v>
      </c>
      <c r="AW27" s="472">
        <f t="shared" si="10"/>
        <v>200391.36559999999</v>
      </c>
      <c r="AX27" s="472">
        <f t="shared" si="10"/>
        <v>200391.36559999999</v>
      </c>
      <c r="AY27" s="472">
        <f t="shared" si="10"/>
        <v>200391.36559999999</v>
      </c>
      <c r="AZ27" s="472">
        <f t="shared" si="10"/>
        <v>200391.36559999999</v>
      </c>
      <c r="BA27" s="472">
        <f t="shared" si="10"/>
        <v>200391.36559999999</v>
      </c>
      <c r="BB27" s="472">
        <f t="shared" si="10"/>
        <v>200391.36559999999</v>
      </c>
      <c r="BC27" s="472">
        <f t="shared" si="10"/>
        <v>200391.36559999999</v>
      </c>
      <c r="BD27" s="472">
        <f t="shared" si="10"/>
        <v>200391.36559999999</v>
      </c>
      <c r="BE27" s="472">
        <f t="shared" si="10"/>
        <v>200391.36559999999</v>
      </c>
      <c r="BF27" s="472">
        <f t="shared" si="10"/>
        <v>200391.36559999999</v>
      </c>
      <c r="BG27" s="472">
        <f t="shared" si="10"/>
        <v>200391.36559999999</v>
      </c>
      <c r="BH27" s="472">
        <f t="shared" si="10"/>
        <v>200391.36559999999</v>
      </c>
      <c r="BI27" s="472">
        <f t="shared" si="10"/>
        <v>200391.36559999999</v>
      </c>
      <c r="BJ27" s="472">
        <f t="shared" si="10"/>
        <v>200391.36559999999</v>
      </c>
      <c r="BK27" s="472">
        <f t="shared" si="10"/>
        <v>200391.36559999999</v>
      </c>
      <c r="BL27" s="472">
        <f t="shared" si="10"/>
        <v>200391.36559999999</v>
      </c>
      <c r="BM27" s="472">
        <f t="shared" si="10"/>
        <v>200391.36559999999</v>
      </c>
      <c r="BN27" s="472">
        <f t="shared" si="10"/>
        <v>200391.36559999999</v>
      </c>
      <c r="BO27" s="472">
        <f t="shared" si="10"/>
        <v>200391.36559999999</v>
      </c>
      <c r="BP27" s="472">
        <f t="shared" si="10"/>
        <v>200391.36559999999</v>
      </c>
      <c r="BQ27" s="472">
        <f t="shared" si="10"/>
        <v>200391.36559999999</v>
      </c>
      <c r="BR27" s="472">
        <f t="shared" si="10"/>
        <v>200391.36559999999</v>
      </c>
      <c r="BS27" s="472">
        <f t="shared" si="10"/>
        <v>200391.36559999999</v>
      </c>
      <c r="BT27" s="472">
        <f t="shared" si="10"/>
        <v>200391.36559999999</v>
      </c>
      <c r="BU27" s="472">
        <f t="shared" si="10"/>
        <v>200391.36559999999</v>
      </c>
      <c r="BV27" s="472">
        <f t="shared" si="10"/>
        <v>200391.36559999999</v>
      </c>
      <c r="BW27" s="472">
        <f t="shared" si="10"/>
        <v>200391.36559999999</v>
      </c>
      <c r="BX27" s="472">
        <f t="shared" si="10"/>
        <v>200391.36559999999</v>
      </c>
      <c r="BY27" s="472">
        <f t="shared" si="10"/>
        <v>200391.36559999999</v>
      </c>
      <c r="BZ27" s="472">
        <f t="shared" si="10"/>
        <v>200391.36559999999</v>
      </c>
      <c r="CA27" s="472">
        <f t="shared" si="10"/>
        <v>200391.36559999999</v>
      </c>
      <c r="CB27" s="472">
        <f t="shared" si="10"/>
        <v>200391.36559999999</v>
      </c>
      <c r="CC27" s="472">
        <f t="shared" si="10"/>
        <v>200391.36559999999</v>
      </c>
      <c r="CD27" s="472">
        <f t="shared" si="10"/>
        <v>200391.36559999999</v>
      </c>
      <c r="CE27" s="472">
        <f t="shared" si="10"/>
        <v>200391.36559999999</v>
      </c>
      <c r="CF27" s="472">
        <f t="shared" si="10"/>
        <v>200391.36559999999</v>
      </c>
      <c r="CG27" s="472">
        <f t="shared" si="10"/>
        <v>200391.36559999999</v>
      </c>
      <c r="CH27" s="472">
        <f t="shared" si="10"/>
        <v>200391.36559999999</v>
      </c>
      <c r="CI27" s="472">
        <f t="shared" si="10"/>
        <v>200391.36559999999</v>
      </c>
      <c r="CJ27" s="472">
        <f t="shared" si="10"/>
        <v>200391.36559999999</v>
      </c>
      <c r="CK27" s="472">
        <f t="shared" si="10"/>
        <v>200391.36559999999</v>
      </c>
      <c r="CL27" s="473">
        <f t="shared" si="10"/>
        <v>200391.36559999999</v>
      </c>
      <c r="CM27" s="380">
        <f t="shared" si="0"/>
        <v>200391.36559999964</v>
      </c>
      <c r="CN27" s="435"/>
      <c r="CO27" s="435"/>
      <c r="CP27" s="435"/>
      <c r="CQ27" s="435"/>
      <c r="CR27" s="435"/>
      <c r="CS27" s="435"/>
      <c r="CT27" s="435"/>
      <c r="CU27" s="435"/>
      <c r="CV27" s="435"/>
      <c r="CW27" s="435"/>
      <c r="CX27" s="435"/>
      <c r="CY27" s="435"/>
      <c r="CZ27" s="435"/>
      <c r="DA27" s="435"/>
      <c r="DB27" s="435"/>
      <c r="DC27" s="435"/>
      <c r="DD27" s="435"/>
      <c r="DE27" s="435"/>
      <c r="DF27" s="435"/>
      <c r="DG27" s="435"/>
      <c r="DH27" s="435"/>
      <c r="DI27" s="435"/>
      <c r="DJ27" s="435"/>
      <c r="DK27" s="435"/>
      <c r="DL27" s="435"/>
      <c r="DM27" s="435"/>
      <c r="DN27" s="435"/>
      <c r="DO27" s="435"/>
      <c r="DP27" s="435"/>
      <c r="DQ27" s="435"/>
      <c r="DR27" s="435"/>
      <c r="DS27" s="435"/>
      <c r="DT27" s="435"/>
      <c r="DU27" s="435"/>
      <c r="DV27" s="435"/>
      <c r="DW27" s="435"/>
      <c r="DX27" s="435"/>
      <c r="DY27" s="435"/>
      <c r="DZ27" s="435"/>
      <c r="EA27" s="435"/>
      <c r="EB27" s="435"/>
      <c r="EC27" s="435"/>
      <c r="ED27" s="435"/>
      <c r="EE27" s="435"/>
      <c r="EF27" s="435"/>
      <c r="EG27" s="435"/>
      <c r="EH27" s="435"/>
      <c r="EI27" s="435"/>
      <c r="EJ27" s="435"/>
      <c r="EK27" s="435"/>
      <c r="EL27" s="435"/>
      <c r="EM27" s="435"/>
      <c r="EN27" s="435"/>
      <c r="EO27" s="435"/>
      <c r="EP27" s="435"/>
      <c r="EQ27" s="435"/>
      <c r="ER27" s="435"/>
      <c r="ES27" s="435"/>
      <c r="ET27" s="435"/>
      <c r="EU27" s="435"/>
      <c r="EV27" s="435"/>
      <c r="EW27" s="435"/>
      <c r="EX27" s="435"/>
      <c r="EY27" s="435"/>
      <c r="EZ27" s="435"/>
      <c r="FA27" s="435"/>
      <c r="FB27" s="435"/>
      <c r="FC27" s="435"/>
      <c r="FD27" s="435"/>
      <c r="FE27" s="435"/>
      <c r="FF27" s="435"/>
      <c r="FG27" s="435"/>
      <c r="FH27" s="435"/>
      <c r="FI27" s="435"/>
      <c r="FJ27" s="435"/>
      <c r="FK27" s="435"/>
      <c r="FL27" s="435"/>
      <c r="FM27" s="435"/>
      <c r="FN27" s="435"/>
      <c r="FO27" s="435"/>
      <c r="FP27" s="435"/>
      <c r="FQ27" s="435"/>
      <c r="FR27" s="435"/>
      <c r="FS27" s="435"/>
      <c r="FT27" s="435"/>
      <c r="FU27" s="435"/>
      <c r="FV27" s="435"/>
    </row>
    <row r="28" spans="1:178">
      <c r="A28" s="1371"/>
      <c r="B28" s="377" t="s">
        <v>403</v>
      </c>
      <c r="C28" s="378" t="s">
        <v>151</v>
      </c>
      <c r="D28" s="378"/>
      <c r="E28" s="379"/>
      <c r="F28" s="474" t="s">
        <v>406</v>
      </c>
      <c r="G28" s="573">
        <v>32343.773583749997</v>
      </c>
      <c r="H28" s="573">
        <v>32343.773583749997</v>
      </c>
      <c r="I28" s="573">
        <v>32343.773583749997</v>
      </c>
      <c r="J28" s="573">
        <v>32343.773583749997</v>
      </c>
      <c r="K28" s="573">
        <v>32343.773583749997</v>
      </c>
      <c r="L28" s="573">
        <v>32343.773583749997</v>
      </c>
      <c r="M28" s="573">
        <v>32343.773583749997</v>
      </c>
      <c r="N28" s="573">
        <v>32343.773583749997</v>
      </c>
      <c r="O28" s="573">
        <v>32343.773583749997</v>
      </c>
      <c r="P28" s="573">
        <v>32343.773583749997</v>
      </c>
      <c r="Q28" s="573">
        <v>32343.773583749997</v>
      </c>
      <c r="R28" s="573">
        <v>32343.773583749997</v>
      </c>
      <c r="S28" s="573">
        <v>32343.773583749997</v>
      </c>
      <c r="T28" s="573">
        <f t="shared" ref="T28:AS28" si="11">SUM(T29:T33)</f>
        <v>32343.773583749997</v>
      </c>
      <c r="U28" s="573">
        <f t="shared" si="11"/>
        <v>32343.773583749997</v>
      </c>
      <c r="V28" s="573">
        <f t="shared" si="11"/>
        <v>32343.773583749997</v>
      </c>
      <c r="W28" s="573">
        <f t="shared" si="11"/>
        <v>32343.773583749997</v>
      </c>
      <c r="X28" s="573">
        <f t="shared" si="11"/>
        <v>32343.773583749997</v>
      </c>
      <c r="Y28" s="573">
        <f t="shared" si="11"/>
        <v>32343.773583749997</v>
      </c>
      <c r="Z28" s="573">
        <f t="shared" si="11"/>
        <v>32343.773583749997</v>
      </c>
      <c r="AA28" s="573">
        <f t="shared" si="11"/>
        <v>32343.773583749997</v>
      </c>
      <c r="AB28" s="573">
        <f t="shared" si="11"/>
        <v>32343.773583749997</v>
      </c>
      <c r="AC28" s="573">
        <f t="shared" si="11"/>
        <v>32343.773583749997</v>
      </c>
      <c r="AD28" s="573">
        <f t="shared" si="11"/>
        <v>32343.773583749997</v>
      </c>
      <c r="AE28" s="573">
        <f t="shared" si="11"/>
        <v>32343.773583749997</v>
      </c>
      <c r="AF28" s="573">
        <f t="shared" si="11"/>
        <v>32343.773583749997</v>
      </c>
      <c r="AG28" s="573">
        <f t="shared" si="11"/>
        <v>32343.773583749997</v>
      </c>
      <c r="AH28" s="573">
        <f t="shared" si="11"/>
        <v>32343.773583749997</v>
      </c>
      <c r="AI28" s="573">
        <f t="shared" si="11"/>
        <v>32343.773583749997</v>
      </c>
      <c r="AJ28" s="573">
        <f t="shared" si="11"/>
        <v>32343.773583749997</v>
      </c>
      <c r="AK28" s="573">
        <f t="shared" si="11"/>
        <v>32343.773583749997</v>
      </c>
      <c r="AL28" s="573">
        <f t="shared" si="11"/>
        <v>32343.773583749997</v>
      </c>
      <c r="AM28" s="573">
        <f t="shared" si="11"/>
        <v>32343.773583749997</v>
      </c>
      <c r="AN28" s="573">
        <f t="shared" si="11"/>
        <v>32343.773583749997</v>
      </c>
      <c r="AO28" s="573">
        <f t="shared" si="11"/>
        <v>32343.773583749997</v>
      </c>
      <c r="AP28" s="573">
        <f t="shared" si="11"/>
        <v>32343.773583749997</v>
      </c>
      <c r="AQ28" s="573">
        <f t="shared" si="11"/>
        <v>32343.773583749997</v>
      </c>
      <c r="AR28" s="573">
        <f t="shared" si="11"/>
        <v>32343.773583749997</v>
      </c>
      <c r="AS28" s="573">
        <f t="shared" si="11"/>
        <v>32343.773583749997</v>
      </c>
      <c r="AT28" s="573">
        <f>SUM(AT29:AT33)</f>
        <v>32343.773583749997</v>
      </c>
      <c r="AU28" s="399">
        <f t="shared" ref="AU28:CL28" si="12">SUM(AU29:AU33)</f>
        <v>32343.773583749997</v>
      </c>
      <c r="AV28" s="399">
        <f t="shared" si="12"/>
        <v>32343.773583749997</v>
      </c>
      <c r="AW28" s="399">
        <f t="shared" si="12"/>
        <v>32343.773583749997</v>
      </c>
      <c r="AX28" s="399">
        <f t="shared" si="12"/>
        <v>32343.773583749997</v>
      </c>
      <c r="AY28" s="399">
        <f t="shared" si="12"/>
        <v>32343.773583749997</v>
      </c>
      <c r="AZ28" s="399">
        <f t="shared" si="12"/>
        <v>32343.773583749997</v>
      </c>
      <c r="BA28" s="399">
        <f t="shared" si="12"/>
        <v>32343.773583749997</v>
      </c>
      <c r="BB28" s="399">
        <f t="shared" si="12"/>
        <v>32343.773583749997</v>
      </c>
      <c r="BC28" s="399">
        <f t="shared" si="12"/>
        <v>32343.773583749997</v>
      </c>
      <c r="BD28" s="399">
        <f t="shared" si="12"/>
        <v>32343.773583749997</v>
      </c>
      <c r="BE28" s="399">
        <f t="shared" si="12"/>
        <v>32343.773583749997</v>
      </c>
      <c r="BF28" s="399">
        <f t="shared" si="12"/>
        <v>32343.773583749997</v>
      </c>
      <c r="BG28" s="399">
        <f t="shared" si="12"/>
        <v>32343.773583749997</v>
      </c>
      <c r="BH28" s="399">
        <f t="shared" si="12"/>
        <v>32343.773583749997</v>
      </c>
      <c r="BI28" s="399">
        <f t="shared" si="12"/>
        <v>32343.773583749997</v>
      </c>
      <c r="BJ28" s="399">
        <f t="shared" si="12"/>
        <v>32343.773583749997</v>
      </c>
      <c r="BK28" s="399">
        <f t="shared" si="12"/>
        <v>32343.773583749997</v>
      </c>
      <c r="BL28" s="399">
        <f t="shared" si="12"/>
        <v>32343.773583749997</v>
      </c>
      <c r="BM28" s="399">
        <f t="shared" si="12"/>
        <v>32343.773583749997</v>
      </c>
      <c r="BN28" s="399">
        <f t="shared" si="12"/>
        <v>32343.773583749997</v>
      </c>
      <c r="BO28" s="399">
        <f t="shared" si="12"/>
        <v>32343.773583749997</v>
      </c>
      <c r="BP28" s="399">
        <f t="shared" si="12"/>
        <v>32343.773583749997</v>
      </c>
      <c r="BQ28" s="399">
        <f t="shared" si="12"/>
        <v>32343.773583749997</v>
      </c>
      <c r="BR28" s="399">
        <f t="shared" si="12"/>
        <v>32343.773583749997</v>
      </c>
      <c r="BS28" s="399">
        <f t="shared" si="12"/>
        <v>32343.773583749997</v>
      </c>
      <c r="BT28" s="399">
        <f t="shared" si="12"/>
        <v>32343.773583749997</v>
      </c>
      <c r="BU28" s="399">
        <f t="shared" si="12"/>
        <v>32343.773583749997</v>
      </c>
      <c r="BV28" s="399">
        <f t="shared" si="12"/>
        <v>32343.773583749997</v>
      </c>
      <c r="BW28" s="399">
        <f t="shared" si="12"/>
        <v>32343.773583749997</v>
      </c>
      <c r="BX28" s="399">
        <f t="shared" si="12"/>
        <v>32343.773583749997</v>
      </c>
      <c r="BY28" s="399">
        <f t="shared" si="12"/>
        <v>32343.773583749997</v>
      </c>
      <c r="BZ28" s="399">
        <f t="shared" si="12"/>
        <v>32343.773583749997</v>
      </c>
      <c r="CA28" s="399">
        <f t="shared" si="12"/>
        <v>32343.773583749997</v>
      </c>
      <c r="CB28" s="399">
        <f t="shared" si="12"/>
        <v>32343.773583749997</v>
      </c>
      <c r="CC28" s="399">
        <f t="shared" si="12"/>
        <v>32343.773583749997</v>
      </c>
      <c r="CD28" s="399">
        <f t="shared" si="12"/>
        <v>32343.773583749997</v>
      </c>
      <c r="CE28" s="399">
        <f t="shared" si="12"/>
        <v>32343.773583749997</v>
      </c>
      <c r="CF28" s="399">
        <f t="shared" si="12"/>
        <v>32343.773583749997</v>
      </c>
      <c r="CG28" s="399">
        <f t="shared" si="12"/>
        <v>32343.773583749997</v>
      </c>
      <c r="CH28" s="399">
        <f t="shared" si="12"/>
        <v>32343.773583749997</v>
      </c>
      <c r="CI28" s="399">
        <f t="shared" si="12"/>
        <v>32343.773583749997</v>
      </c>
      <c r="CJ28" s="399">
        <f t="shared" si="12"/>
        <v>32343.773583749997</v>
      </c>
      <c r="CK28" s="399">
        <f t="shared" si="12"/>
        <v>32343.773583749997</v>
      </c>
      <c r="CL28" s="475">
        <f t="shared" si="12"/>
        <v>32343.773583749997</v>
      </c>
      <c r="CM28" s="430">
        <f t="shared" si="0"/>
        <v>32343.773583749953</v>
      </c>
      <c r="CN28" s="435"/>
      <c r="CO28" s="435"/>
      <c r="CP28" s="435"/>
      <c r="CQ28" s="435"/>
      <c r="CR28" s="435"/>
      <c r="CS28" s="435"/>
      <c r="CT28" s="435"/>
      <c r="CU28" s="435"/>
      <c r="CV28" s="435"/>
      <c r="CW28" s="435"/>
      <c r="CX28" s="435"/>
      <c r="CY28" s="435"/>
      <c r="CZ28" s="435"/>
      <c r="DA28" s="435"/>
      <c r="DB28" s="435"/>
      <c r="DC28" s="435"/>
      <c r="DD28" s="435"/>
      <c r="DE28" s="435"/>
      <c r="DF28" s="435"/>
      <c r="DG28" s="435"/>
      <c r="DH28" s="435"/>
      <c r="DI28" s="435"/>
      <c r="DJ28" s="435"/>
      <c r="DK28" s="435"/>
      <c r="DL28" s="435"/>
      <c r="DM28" s="435"/>
      <c r="DN28" s="435"/>
      <c r="DO28" s="435"/>
      <c r="DP28" s="435"/>
      <c r="DQ28" s="435"/>
      <c r="DR28" s="435"/>
      <c r="DS28" s="435"/>
      <c r="DT28" s="435"/>
      <c r="DU28" s="435"/>
      <c r="DV28" s="435"/>
      <c r="DW28" s="435"/>
      <c r="DX28" s="435"/>
      <c r="DY28" s="435"/>
      <c r="DZ28" s="435"/>
      <c r="EA28" s="435"/>
      <c r="EB28" s="435"/>
      <c r="EC28" s="435"/>
      <c r="ED28" s="435"/>
      <c r="EE28" s="435"/>
      <c r="EF28" s="435"/>
      <c r="EG28" s="435"/>
      <c r="EH28" s="435"/>
      <c r="EI28" s="435"/>
      <c r="EJ28" s="435"/>
      <c r="EK28" s="435"/>
      <c r="EL28" s="435"/>
      <c r="EM28" s="435"/>
      <c r="EN28" s="435"/>
      <c r="EO28" s="435"/>
      <c r="EP28" s="435"/>
      <c r="EQ28" s="435"/>
      <c r="ER28" s="435"/>
      <c r="ES28" s="435"/>
      <c r="ET28" s="435"/>
      <c r="EU28" s="435"/>
      <c r="EV28" s="435"/>
      <c r="EW28" s="435"/>
      <c r="EX28" s="435"/>
      <c r="EY28" s="435"/>
      <c r="EZ28" s="435"/>
      <c r="FA28" s="435"/>
      <c r="FB28" s="435"/>
      <c r="FC28" s="435"/>
      <c r="FD28" s="435"/>
      <c r="FE28" s="435"/>
      <c r="FF28" s="435"/>
      <c r="FG28" s="435"/>
      <c r="FH28" s="435"/>
      <c r="FI28" s="435"/>
      <c r="FJ28" s="435"/>
      <c r="FK28" s="435"/>
      <c r="FL28" s="435"/>
      <c r="FM28" s="435"/>
      <c r="FN28" s="435"/>
      <c r="FO28" s="435"/>
      <c r="FP28" s="435"/>
      <c r="FQ28" s="435"/>
      <c r="FR28" s="435"/>
      <c r="FS28" s="435"/>
      <c r="FT28" s="435"/>
      <c r="FU28" s="435"/>
      <c r="FV28" s="435"/>
    </row>
    <row r="29" spans="1:178">
      <c r="A29" s="1371"/>
      <c r="B29" s="377" t="s">
        <v>403</v>
      </c>
      <c r="C29" s="398" t="s">
        <v>402</v>
      </c>
      <c r="D29" s="378">
        <v>0.622</v>
      </c>
      <c r="E29" s="379"/>
      <c r="F29" s="476" t="s">
        <v>450</v>
      </c>
      <c r="G29" s="572">
        <v>29493.166666666664</v>
      </c>
      <c r="H29" s="572">
        <v>29493.166666666664</v>
      </c>
      <c r="I29" s="572">
        <v>29493.166666666664</v>
      </c>
      <c r="J29" s="572">
        <v>29493.166666666664</v>
      </c>
      <c r="K29" s="572">
        <v>29493.166666666664</v>
      </c>
      <c r="L29" s="572">
        <v>29493.166666666664</v>
      </c>
      <c r="M29" s="572">
        <v>29493.166666666664</v>
      </c>
      <c r="N29" s="572">
        <v>29493.166666666664</v>
      </c>
      <c r="O29" s="572">
        <v>29493.166666666664</v>
      </c>
      <c r="P29" s="572">
        <v>29493.166666666664</v>
      </c>
      <c r="Q29" s="572">
        <v>29493.166666666664</v>
      </c>
      <c r="R29" s="572">
        <v>29493.166666666664</v>
      </c>
      <c r="S29" s="572">
        <v>29493.166666666664</v>
      </c>
      <c r="T29" s="572">
        <f t="shared" ref="T29:AS29" si="13">$D$29*T12</f>
        <v>29493.166666666664</v>
      </c>
      <c r="U29" s="572">
        <f t="shared" si="13"/>
        <v>29493.166666666664</v>
      </c>
      <c r="V29" s="572">
        <f t="shared" si="13"/>
        <v>29493.166666666664</v>
      </c>
      <c r="W29" s="572">
        <f t="shared" si="13"/>
        <v>29493.166666666664</v>
      </c>
      <c r="X29" s="572">
        <f t="shared" si="13"/>
        <v>29493.166666666664</v>
      </c>
      <c r="Y29" s="572">
        <f t="shared" si="13"/>
        <v>29493.166666666664</v>
      </c>
      <c r="Z29" s="572">
        <f t="shared" si="13"/>
        <v>29493.166666666664</v>
      </c>
      <c r="AA29" s="572">
        <f t="shared" si="13"/>
        <v>29493.166666666664</v>
      </c>
      <c r="AB29" s="572">
        <f t="shared" si="13"/>
        <v>29493.166666666664</v>
      </c>
      <c r="AC29" s="572">
        <f t="shared" si="13"/>
        <v>29493.166666666664</v>
      </c>
      <c r="AD29" s="572">
        <f t="shared" si="13"/>
        <v>29493.166666666664</v>
      </c>
      <c r="AE29" s="572">
        <f t="shared" si="13"/>
        <v>29493.166666666664</v>
      </c>
      <c r="AF29" s="572">
        <f t="shared" si="13"/>
        <v>29493.166666666664</v>
      </c>
      <c r="AG29" s="572">
        <f t="shared" si="13"/>
        <v>29493.166666666664</v>
      </c>
      <c r="AH29" s="572">
        <f t="shared" si="13"/>
        <v>29493.166666666664</v>
      </c>
      <c r="AI29" s="572">
        <f t="shared" si="13"/>
        <v>29493.166666666664</v>
      </c>
      <c r="AJ29" s="572">
        <f t="shared" si="13"/>
        <v>29493.166666666664</v>
      </c>
      <c r="AK29" s="572">
        <f t="shared" si="13"/>
        <v>29493.166666666664</v>
      </c>
      <c r="AL29" s="572">
        <f t="shared" si="13"/>
        <v>29493.166666666664</v>
      </c>
      <c r="AM29" s="572">
        <f t="shared" si="13"/>
        <v>29493.166666666664</v>
      </c>
      <c r="AN29" s="572">
        <f t="shared" si="13"/>
        <v>29493.166666666664</v>
      </c>
      <c r="AO29" s="572">
        <f t="shared" si="13"/>
        <v>29493.166666666664</v>
      </c>
      <c r="AP29" s="572">
        <f t="shared" si="13"/>
        <v>29493.166666666664</v>
      </c>
      <c r="AQ29" s="572">
        <f t="shared" si="13"/>
        <v>29493.166666666664</v>
      </c>
      <c r="AR29" s="572">
        <f t="shared" si="13"/>
        <v>29493.166666666664</v>
      </c>
      <c r="AS29" s="572">
        <f t="shared" si="13"/>
        <v>29493.166666666664</v>
      </c>
      <c r="AT29" s="572">
        <f>$D$29*AT12</f>
        <v>29493.166666666664</v>
      </c>
      <c r="AU29" s="472">
        <f t="shared" ref="AU29:CL29" si="14">$D$29*AU12</f>
        <v>29493.166666666664</v>
      </c>
      <c r="AV29" s="472">
        <f t="shared" si="14"/>
        <v>29493.166666666664</v>
      </c>
      <c r="AW29" s="472">
        <f t="shared" si="14"/>
        <v>29493.166666666664</v>
      </c>
      <c r="AX29" s="472">
        <f t="shared" si="14"/>
        <v>29493.166666666664</v>
      </c>
      <c r="AY29" s="472">
        <f t="shared" si="14"/>
        <v>29493.166666666664</v>
      </c>
      <c r="AZ29" s="472">
        <f t="shared" si="14"/>
        <v>29493.166666666664</v>
      </c>
      <c r="BA29" s="472">
        <f t="shared" si="14"/>
        <v>29493.166666666664</v>
      </c>
      <c r="BB29" s="472">
        <f t="shared" si="14"/>
        <v>29493.166666666664</v>
      </c>
      <c r="BC29" s="472">
        <f t="shared" si="14"/>
        <v>29493.166666666664</v>
      </c>
      <c r="BD29" s="472">
        <f t="shared" si="14"/>
        <v>29493.166666666664</v>
      </c>
      <c r="BE29" s="472">
        <f t="shared" si="14"/>
        <v>29493.166666666664</v>
      </c>
      <c r="BF29" s="472">
        <f t="shared" si="14"/>
        <v>29493.166666666664</v>
      </c>
      <c r="BG29" s="472">
        <f t="shared" si="14"/>
        <v>29493.166666666664</v>
      </c>
      <c r="BH29" s="472">
        <f t="shared" si="14"/>
        <v>29493.166666666664</v>
      </c>
      <c r="BI29" s="472">
        <f t="shared" si="14"/>
        <v>29493.166666666664</v>
      </c>
      <c r="BJ29" s="472">
        <f t="shared" si="14"/>
        <v>29493.166666666664</v>
      </c>
      <c r="BK29" s="472">
        <f t="shared" si="14"/>
        <v>29493.166666666664</v>
      </c>
      <c r="BL29" s="472">
        <f t="shared" si="14"/>
        <v>29493.166666666664</v>
      </c>
      <c r="BM29" s="472">
        <f t="shared" si="14"/>
        <v>29493.166666666664</v>
      </c>
      <c r="BN29" s="472">
        <f t="shared" si="14"/>
        <v>29493.166666666664</v>
      </c>
      <c r="BO29" s="472">
        <f t="shared" si="14"/>
        <v>29493.166666666664</v>
      </c>
      <c r="BP29" s="472">
        <f t="shared" si="14"/>
        <v>29493.166666666664</v>
      </c>
      <c r="BQ29" s="472">
        <f t="shared" si="14"/>
        <v>29493.166666666664</v>
      </c>
      <c r="BR29" s="472">
        <f t="shared" si="14"/>
        <v>29493.166666666664</v>
      </c>
      <c r="BS29" s="472">
        <f t="shared" si="14"/>
        <v>29493.166666666664</v>
      </c>
      <c r="BT29" s="472">
        <f t="shared" si="14"/>
        <v>29493.166666666664</v>
      </c>
      <c r="BU29" s="472">
        <f t="shared" si="14"/>
        <v>29493.166666666664</v>
      </c>
      <c r="BV29" s="472">
        <f t="shared" si="14"/>
        <v>29493.166666666664</v>
      </c>
      <c r="BW29" s="472">
        <f t="shared" si="14"/>
        <v>29493.166666666664</v>
      </c>
      <c r="BX29" s="472">
        <f t="shared" si="14"/>
        <v>29493.166666666664</v>
      </c>
      <c r="BY29" s="472">
        <f t="shared" si="14"/>
        <v>29493.166666666664</v>
      </c>
      <c r="BZ29" s="472">
        <f t="shared" si="14"/>
        <v>29493.166666666664</v>
      </c>
      <c r="CA29" s="472">
        <f t="shared" si="14"/>
        <v>29493.166666666664</v>
      </c>
      <c r="CB29" s="472">
        <f t="shared" si="14"/>
        <v>29493.166666666664</v>
      </c>
      <c r="CC29" s="472">
        <f t="shared" si="14"/>
        <v>29493.166666666664</v>
      </c>
      <c r="CD29" s="472">
        <f t="shared" si="14"/>
        <v>29493.166666666664</v>
      </c>
      <c r="CE29" s="472">
        <f t="shared" si="14"/>
        <v>29493.166666666664</v>
      </c>
      <c r="CF29" s="472">
        <f t="shared" si="14"/>
        <v>29493.166666666664</v>
      </c>
      <c r="CG29" s="472">
        <f t="shared" si="14"/>
        <v>29493.166666666664</v>
      </c>
      <c r="CH29" s="472">
        <f t="shared" si="14"/>
        <v>29493.166666666664</v>
      </c>
      <c r="CI29" s="472">
        <f t="shared" si="14"/>
        <v>29493.166666666664</v>
      </c>
      <c r="CJ29" s="472">
        <f t="shared" si="14"/>
        <v>29493.166666666664</v>
      </c>
      <c r="CK29" s="472">
        <f t="shared" si="14"/>
        <v>29493.166666666664</v>
      </c>
      <c r="CL29" s="473">
        <f t="shared" si="14"/>
        <v>29493.166666666664</v>
      </c>
      <c r="CM29" s="380">
        <f t="shared" si="0"/>
        <v>29493.166666666672</v>
      </c>
      <c r="CN29" s="435"/>
      <c r="CO29" s="435"/>
      <c r="CP29" s="435"/>
      <c r="CQ29" s="435"/>
      <c r="CR29" s="435"/>
      <c r="CS29" s="435"/>
      <c r="CT29" s="435"/>
      <c r="CU29" s="435"/>
      <c r="CV29" s="435"/>
      <c r="CW29" s="435"/>
      <c r="CX29" s="435"/>
      <c r="CY29" s="435"/>
      <c r="CZ29" s="435"/>
      <c r="DA29" s="435"/>
      <c r="DB29" s="435"/>
      <c r="DC29" s="435"/>
      <c r="DD29" s="435"/>
      <c r="DE29" s="435"/>
      <c r="DF29" s="435"/>
      <c r="DG29" s="435"/>
      <c r="DH29" s="435"/>
      <c r="DI29" s="435"/>
      <c r="DJ29" s="435"/>
      <c r="DK29" s="435"/>
      <c r="DL29" s="435"/>
      <c r="DM29" s="435"/>
      <c r="DN29" s="435"/>
      <c r="DO29" s="435"/>
      <c r="DP29" s="435"/>
      <c r="DQ29" s="435"/>
      <c r="DR29" s="435"/>
      <c r="DS29" s="435"/>
      <c r="DT29" s="435"/>
      <c r="DU29" s="435"/>
      <c r="DV29" s="435"/>
      <c r="DW29" s="435"/>
      <c r="DX29" s="435"/>
      <c r="DY29" s="435"/>
      <c r="DZ29" s="435"/>
      <c r="EA29" s="435"/>
      <c r="EB29" s="435"/>
      <c r="EC29" s="435"/>
      <c r="ED29" s="435"/>
      <c r="EE29" s="435"/>
      <c r="EF29" s="435"/>
      <c r="EG29" s="435"/>
      <c r="EH29" s="435"/>
      <c r="EI29" s="435"/>
      <c r="EJ29" s="435"/>
      <c r="EK29" s="435"/>
      <c r="EL29" s="435"/>
      <c r="EM29" s="435"/>
      <c r="EN29" s="435"/>
      <c r="EO29" s="435"/>
      <c r="EP29" s="435"/>
      <c r="EQ29" s="435"/>
      <c r="ER29" s="435"/>
      <c r="ES29" s="435"/>
      <c r="ET29" s="435"/>
      <c r="EU29" s="435"/>
      <c r="EV29" s="435"/>
      <c r="EW29" s="435"/>
      <c r="EX29" s="435"/>
      <c r="EY29" s="435"/>
      <c r="EZ29" s="435"/>
      <c r="FA29" s="435"/>
      <c r="FB29" s="435"/>
      <c r="FC29" s="435"/>
      <c r="FD29" s="435"/>
      <c r="FE29" s="435"/>
      <c r="FF29" s="435"/>
      <c r="FG29" s="435"/>
      <c r="FH29" s="435"/>
      <c r="FI29" s="435"/>
      <c r="FJ29" s="435"/>
      <c r="FK29" s="435"/>
      <c r="FL29" s="435"/>
      <c r="FM29" s="435"/>
      <c r="FN29" s="435"/>
      <c r="FO29" s="435"/>
      <c r="FP29" s="435"/>
      <c r="FQ29" s="435"/>
      <c r="FR29" s="435"/>
      <c r="FS29" s="435"/>
      <c r="FT29" s="435"/>
      <c r="FU29" s="435"/>
      <c r="FV29" s="435"/>
    </row>
    <row r="30" spans="1:178">
      <c r="A30" s="1371"/>
      <c r="B30" s="377" t="s">
        <v>403</v>
      </c>
      <c r="C30" s="398" t="s">
        <v>402</v>
      </c>
      <c r="D30" s="378">
        <v>1.4999999999999999E-2</v>
      </c>
      <c r="E30" s="379"/>
      <c r="F30" s="476" t="s">
        <v>451</v>
      </c>
      <c r="G30" s="572">
        <v>871.25</v>
      </c>
      <c r="H30" s="572">
        <v>871.25</v>
      </c>
      <c r="I30" s="572">
        <v>871.25</v>
      </c>
      <c r="J30" s="572">
        <v>871.25</v>
      </c>
      <c r="K30" s="572">
        <v>871.25</v>
      </c>
      <c r="L30" s="572">
        <v>871.25</v>
      </c>
      <c r="M30" s="572">
        <v>871.25</v>
      </c>
      <c r="N30" s="572">
        <v>871.25</v>
      </c>
      <c r="O30" s="572">
        <v>871.25</v>
      </c>
      <c r="P30" s="572">
        <v>871.25</v>
      </c>
      <c r="Q30" s="572">
        <v>871.25</v>
      </c>
      <c r="R30" s="572">
        <v>871.25</v>
      </c>
      <c r="S30" s="572">
        <v>871.25</v>
      </c>
      <c r="T30" s="572">
        <f t="shared" ref="T30:AS30" si="15">$D$30*T13</f>
        <v>871.25</v>
      </c>
      <c r="U30" s="572">
        <f t="shared" si="15"/>
        <v>871.25</v>
      </c>
      <c r="V30" s="572">
        <f t="shared" si="15"/>
        <v>871.25</v>
      </c>
      <c r="W30" s="572">
        <f t="shared" si="15"/>
        <v>871.25</v>
      </c>
      <c r="X30" s="572">
        <f t="shared" si="15"/>
        <v>871.25</v>
      </c>
      <c r="Y30" s="572">
        <f t="shared" si="15"/>
        <v>871.25</v>
      </c>
      <c r="Z30" s="572">
        <f t="shared" si="15"/>
        <v>871.25</v>
      </c>
      <c r="AA30" s="572">
        <f t="shared" si="15"/>
        <v>871.25</v>
      </c>
      <c r="AB30" s="572">
        <f t="shared" si="15"/>
        <v>871.25</v>
      </c>
      <c r="AC30" s="572">
        <f t="shared" si="15"/>
        <v>871.25</v>
      </c>
      <c r="AD30" s="572">
        <f t="shared" si="15"/>
        <v>871.25</v>
      </c>
      <c r="AE30" s="572">
        <f t="shared" si="15"/>
        <v>871.25</v>
      </c>
      <c r="AF30" s="572">
        <f t="shared" si="15"/>
        <v>871.25</v>
      </c>
      <c r="AG30" s="572">
        <f t="shared" si="15"/>
        <v>871.25</v>
      </c>
      <c r="AH30" s="572">
        <f t="shared" si="15"/>
        <v>871.25</v>
      </c>
      <c r="AI30" s="572">
        <f t="shared" si="15"/>
        <v>871.25</v>
      </c>
      <c r="AJ30" s="572">
        <f t="shared" si="15"/>
        <v>871.25</v>
      </c>
      <c r="AK30" s="572">
        <f t="shared" si="15"/>
        <v>871.25</v>
      </c>
      <c r="AL30" s="572">
        <f t="shared" si="15"/>
        <v>871.25</v>
      </c>
      <c r="AM30" s="572">
        <f t="shared" si="15"/>
        <v>871.25</v>
      </c>
      <c r="AN30" s="572">
        <f t="shared" si="15"/>
        <v>871.25</v>
      </c>
      <c r="AO30" s="572">
        <f t="shared" si="15"/>
        <v>871.25</v>
      </c>
      <c r="AP30" s="572">
        <f t="shared" si="15"/>
        <v>871.25</v>
      </c>
      <c r="AQ30" s="572">
        <f t="shared" si="15"/>
        <v>871.25</v>
      </c>
      <c r="AR30" s="572">
        <f t="shared" si="15"/>
        <v>871.25</v>
      </c>
      <c r="AS30" s="572">
        <f t="shared" si="15"/>
        <v>871.25</v>
      </c>
      <c r="AT30" s="572">
        <f>$D$30*AT13</f>
        <v>871.25</v>
      </c>
      <c r="AU30" s="472">
        <f t="shared" ref="AU30:CL30" si="16">$D$30*AU13</f>
        <v>871.25</v>
      </c>
      <c r="AV30" s="472">
        <f t="shared" si="16"/>
        <v>871.25</v>
      </c>
      <c r="AW30" s="472">
        <f t="shared" si="16"/>
        <v>871.25</v>
      </c>
      <c r="AX30" s="472">
        <f t="shared" si="16"/>
        <v>871.25</v>
      </c>
      <c r="AY30" s="472">
        <f t="shared" si="16"/>
        <v>871.25</v>
      </c>
      <c r="AZ30" s="472">
        <f t="shared" si="16"/>
        <v>871.25</v>
      </c>
      <c r="BA30" s="472">
        <f t="shared" si="16"/>
        <v>871.25</v>
      </c>
      <c r="BB30" s="472">
        <f t="shared" si="16"/>
        <v>871.25</v>
      </c>
      <c r="BC30" s="472">
        <f t="shared" si="16"/>
        <v>871.25</v>
      </c>
      <c r="BD30" s="472">
        <f t="shared" si="16"/>
        <v>871.25</v>
      </c>
      <c r="BE30" s="472">
        <f t="shared" si="16"/>
        <v>871.25</v>
      </c>
      <c r="BF30" s="472">
        <f t="shared" si="16"/>
        <v>871.25</v>
      </c>
      <c r="BG30" s="472">
        <f t="shared" si="16"/>
        <v>871.25</v>
      </c>
      <c r="BH30" s="472">
        <f t="shared" si="16"/>
        <v>871.25</v>
      </c>
      <c r="BI30" s="472">
        <f t="shared" si="16"/>
        <v>871.25</v>
      </c>
      <c r="BJ30" s="472">
        <f t="shared" si="16"/>
        <v>871.25</v>
      </c>
      <c r="BK30" s="472">
        <f t="shared" si="16"/>
        <v>871.25</v>
      </c>
      <c r="BL30" s="472">
        <f t="shared" si="16"/>
        <v>871.25</v>
      </c>
      <c r="BM30" s="472">
        <f t="shared" si="16"/>
        <v>871.25</v>
      </c>
      <c r="BN30" s="472">
        <f t="shared" si="16"/>
        <v>871.25</v>
      </c>
      <c r="BO30" s="472">
        <f t="shared" si="16"/>
        <v>871.25</v>
      </c>
      <c r="BP30" s="472">
        <f t="shared" si="16"/>
        <v>871.25</v>
      </c>
      <c r="BQ30" s="472">
        <f t="shared" si="16"/>
        <v>871.25</v>
      </c>
      <c r="BR30" s="472">
        <f t="shared" si="16"/>
        <v>871.25</v>
      </c>
      <c r="BS30" s="472">
        <f t="shared" si="16"/>
        <v>871.25</v>
      </c>
      <c r="BT30" s="472">
        <f t="shared" si="16"/>
        <v>871.25</v>
      </c>
      <c r="BU30" s="472">
        <f t="shared" si="16"/>
        <v>871.25</v>
      </c>
      <c r="BV30" s="472">
        <f t="shared" si="16"/>
        <v>871.25</v>
      </c>
      <c r="BW30" s="472">
        <f t="shared" si="16"/>
        <v>871.25</v>
      </c>
      <c r="BX30" s="472">
        <f t="shared" si="16"/>
        <v>871.25</v>
      </c>
      <c r="BY30" s="472">
        <f t="shared" si="16"/>
        <v>871.25</v>
      </c>
      <c r="BZ30" s="472">
        <f t="shared" si="16"/>
        <v>871.25</v>
      </c>
      <c r="CA30" s="472">
        <f t="shared" si="16"/>
        <v>871.25</v>
      </c>
      <c r="CB30" s="472">
        <f t="shared" si="16"/>
        <v>871.25</v>
      </c>
      <c r="CC30" s="472">
        <f t="shared" si="16"/>
        <v>871.25</v>
      </c>
      <c r="CD30" s="472">
        <f t="shared" si="16"/>
        <v>871.25</v>
      </c>
      <c r="CE30" s="472">
        <f t="shared" si="16"/>
        <v>871.25</v>
      </c>
      <c r="CF30" s="472">
        <f t="shared" si="16"/>
        <v>871.25</v>
      </c>
      <c r="CG30" s="472">
        <f t="shared" si="16"/>
        <v>871.25</v>
      </c>
      <c r="CH30" s="472">
        <f t="shared" si="16"/>
        <v>871.25</v>
      </c>
      <c r="CI30" s="472">
        <f t="shared" si="16"/>
        <v>871.25</v>
      </c>
      <c r="CJ30" s="472">
        <f t="shared" si="16"/>
        <v>871.25</v>
      </c>
      <c r="CK30" s="472">
        <f t="shared" si="16"/>
        <v>871.25</v>
      </c>
      <c r="CL30" s="473">
        <f t="shared" si="16"/>
        <v>871.25</v>
      </c>
      <c r="CM30" s="380">
        <f t="shared" si="0"/>
        <v>871.25</v>
      </c>
      <c r="CN30" s="435"/>
      <c r="CO30" s="435"/>
      <c r="CP30" s="435"/>
      <c r="CQ30" s="435"/>
      <c r="CR30" s="435"/>
      <c r="CS30" s="435"/>
      <c r="CT30" s="435"/>
      <c r="CU30" s="435"/>
      <c r="CV30" s="435"/>
      <c r="CW30" s="435"/>
      <c r="CX30" s="435"/>
      <c r="CY30" s="435"/>
      <c r="CZ30" s="435"/>
      <c r="DA30" s="435"/>
      <c r="DB30" s="435"/>
      <c r="DC30" s="435"/>
      <c r="DD30" s="435"/>
      <c r="DE30" s="435"/>
      <c r="DF30" s="435"/>
      <c r="DG30" s="435"/>
      <c r="DH30" s="435"/>
      <c r="DI30" s="435"/>
      <c r="DJ30" s="435"/>
      <c r="DK30" s="435"/>
      <c r="DL30" s="435"/>
      <c r="DM30" s="435"/>
      <c r="DN30" s="435"/>
      <c r="DO30" s="435"/>
      <c r="DP30" s="435"/>
      <c r="DQ30" s="435"/>
      <c r="DR30" s="435"/>
      <c r="DS30" s="435"/>
      <c r="DT30" s="435"/>
      <c r="DU30" s="435"/>
      <c r="DV30" s="435"/>
      <c r="DW30" s="435"/>
      <c r="DX30" s="435"/>
      <c r="DY30" s="435"/>
      <c r="DZ30" s="435"/>
      <c r="EA30" s="435"/>
      <c r="EB30" s="435"/>
      <c r="EC30" s="435"/>
      <c r="ED30" s="435"/>
      <c r="EE30" s="435"/>
      <c r="EF30" s="435"/>
      <c r="EG30" s="435"/>
      <c r="EH30" s="435"/>
      <c r="EI30" s="435"/>
      <c r="EJ30" s="435"/>
      <c r="EK30" s="435"/>
      <c r="EL30" s="435"/>
      <c r="EM30" s="435"/>
      <c r="EN30" s="435"/>
      <c r="EO30" s="435"/>
      <c r="EP30" s="435"/>
      <c r="EQ30" s="435"/>
      <c r="ER30" s="435"/>
      <c r="ES30" s="435"/>
      <c r="ET30" s="435"/>
      <c r="EU30" s="435"/>
      <c r="EV30" s="435"/>
      <c r="EW30" s="435"/>
      <c r="EX30" s="435"/>
      <c r="EY30" s="435"/>
      <c r="EZ30" s="435"/>
      <c r="FA30" s="435"/>
      <c r="FB30" s="435"/>
      <c r="FC30" s="435"/>
      <c r="FD30" s="435"/>
      <c r="FE30" s="435"/>
      <c r="FF30" s="435"/>
      <c r="FG30" s="435"/>
      <c r="FH30" s="435"/>
      <c r="FI30" s="435"/>
      <c r="FJ30" s="435"/>
      <c r="FK30" s="435"/>
      <c r="FL30" s="435"/>
      <c r="FM30" s="435"/>
      <c r="FN30" s="435"/>
      <c r="FO30" s="435"/>
      <c r="FP30" s="435"/>
      <c r="FQ30" s="435"/>
      <c r="FR30" s="435"/>
      <c r="FS30" s="435"/>
      <c r="FT30" s="435"/>
      <c r="FU30" s="435"/>
      <c r="FV30" s="435"/>
    </row>
    <row r="31" spans="1:178">
      <c r="A31" s="1371"/>
      <c r="B31" s="377" t="s">
        <v>403</v>
      </c>
      <c r="C31" s="398" t="s">
        <v>402</v>
      </c>
      <c r="D31" s="378">
        <v>1.9E-2</v>
      </c>
      <c r="E31" s="379"/>
      <c r="F31" s="476" t="s">
        <v>452</v>
      </c>
      <c r="G31" s="572">
        <v>215.33333333333334</v>
      </c>
      <c r="H31" s="572">
        <v>215.33333333333334</v>
      </c>
      <c r="I31" s="572">
        <v>215.33333333333334</v>
      </c>
      <c r="J31" s="572">
        <v>215.33333333333334</v>
      </c>
      <c r="K31" s="572">
        <v>215.33333333333334</v>
      </c>
      <c r="L31" s="572">
        <v>215.33333333333334</v>
      </c>
      <c r="M31" s="572">
        <v>215.33333333333334</v>
      </c>
      <c r="N31" s="572">
        <v>215.33333333333334</v>
      </c>
      <c r="O31" s="572">
        <v>215.33333333333334</v>
      </c>
      <c r="P31" s="572">
        <v>215.33333333333334</v>
      </c>
      <c r="Q31" s="572">
        <v>215.33333333333334</v>
      </c>
      <c r="R31" s="572">
        <v>215.33333333333334</v>
      </c>
      <c r="S31" s="572">
        <v>215.33333333333334</v>
      </c>
      <c r="T31" s="572">
        <f t="shared" ref="T31:AS31" si="17">$D$31*T14</f>
        <v>215.33333333333334</v>
      </c>
      <c r="U31" s="572">
        <f t="shared" si="17"/>
        <v>215.33333333333334</v>
      </c>
      <c r="V31" s="572">
        <f t="shared" si="17"/>
        <v>215.33333333333334</v>
      </c>
      <c r="W31" s="572">
        <f t="shared" si="17"/>
        <v>215.33333333333334</v>
      </c>
      <c r="X31" s="572">
        <f t="shared" si="17"/>
        <v>215.33333333333334</v>
      </c>
      <c r="Y31" s="572">
        <f t="shared" si="17"/>
        <v>215.33333333333334</v>
      </c>
      <c r="Z31" s="572">
        <f t="shared" si="17"/>
        <v>215.33333333333334</v>
      </c>
      <c r="AA31" s="572">
        <f t="shared" si="17"/>
        <v>215.33333333333334</v>
      </c>
      <c r="AB31" s="572">
        <f t="shared" si="17"/>
        <v>215.33333333333334</v>
      </c>
      <c r="AC31" s="572">
        <f t="shared" si="17"/>
        <v>215.33333333333334</v>
      </c>
      <c r="AD31" s="572">
        <f t="shared" si="17"/>
        <v>215.33333333333334</v>
      </c>
      <c r="AE31" s="572">
        <f t="shared" si="17"/>
        <v>215.33333333333334</v>
      </c>
      <c r="AF31" s="572">
        <f t="shared" si="17"/>
        <v>215.33333333333334</v>
      </c>
      <c r="AG31" s="572">
        <f t="shared" si="17"/>
        <v>215.33333333333334</v>
      </c>
      <c r="AH31" s="572">
        <f t="shared" si="17"/>
        <v>215.33333333333334</v>
      </c>
      <c r="AI31" s="572">
        <f t="shared" si="17"/>
        <v>215.33333333333334</v>
      </c>
      <c r="AJ31" s="572">
        <f t="shared" si="17"/>
        <v>215.33333333333334</v>
      </c>
      <c r="AK31" s="572">
        <f t="shared" si="17"/>
        <v>215.33333333333334</v>
      </c>
      <c r="AL31" s="572">
        <f t="shared" si="17"/>
        <v>215.33333333333334</v>
      </c>
      <c r="AM31" s="572">
        <f t="shared" si="17"/>
        <v>215.33333333333334</v>
      </c>
      <c r="AN31" s="572">
        <f t="shared" si="17"/>
        <v>215.33333333333334</v>
      </c>
      <c r="AO31" s="572">
        <f t="shared" si="17"/>
        <v>215.33333333333334</v>
      </c>
      <c r="AP31" s="572">
        <f t="shared" si="17"/>
        <v>215.33333333333334</v>
      </c>
      <c r="AQ31" s="572">
        <f t="shared" si="17"/>
        <v>215.33333333333334</v>
      </c>
      <c r="AR31" s="572">
        <f t="shared" si="17"/>
        <v>215.33333333333334</v>
      </c>
      <c r="AS31" s="572">
        <f t="shared" si="17"/>
        <v>215.33333333333334</v>
      </c>
      <c r="AT31" s="572">
        <f>$D$31*AT14</f>
        <v>215.33333333333334</v>
      </c>
      <c r="AU31" s="472">
        <f t="shared" ref="AU31:CL31" si="18">$D$31*AU14</f>
        <v>215.33333333333334</v>
      </c>
      <c r="AV31" s="472">
        <f t="shared" si="18"/>
        <v>215.33333333333334</v>
      </c>
      <c r="AW31" s="472">
        <f t="shared" si="18"/>
        <v>215.33333333333334</v>
      </c>
      <c r="AX31" s="472">
        <f t="shared" si="18"/>
        <v>215.33333333333334</v>
      </c>
      <c r="AY31" s="472">
        <f t="shared" si="18"/>
        <v>215.33333333333334</v>
      </c>
      <c r="AZ31" s="472">
        <f t="shared" si="18"/>
        <v>215.33333333333334</v>
      </c>
      <c r="BA31" s="472">
        <f t="shared" si="18"/>
        <v>215.33333333333334</v>
      </c>
      <c r="BB31" s="472">
        <f t="shared" si="18"/>
        <v>215.33333333333334</v>
      </c>
      <c r="BC31" s="472">
        <f t="shared" si="18"/>
        <v>215.33333333333334</v>
      </c>
      <c r="BD31" s="472">
        <f t="shared" si="18"/>
        <v>215.33333333333334</v>
      </c>
      <c r="BE31" s="472">
        <f t="shared" si="18"/>
        <v>215.33333333333334</v>
      </c>
      <c r="BF31" s="472">
        <f t="shared" si="18"/>
        <v>215.33333333333334</v>
      </c>
      <c r="BG31" s="472">
        <f t="shared" si="18"/>
        <v>215.33333333333334</v>
      </c>
      <c r="BH31" s="472">
        <f t="shared" si="18"/>
        <v>215.33333333333334</v>
      </c>
      <c r="BI31" s="472">
        <f t="shared" si="18"/>
        <v>215.33333333333334</v>
      </c>
      <c r="BJ31" s="472">
        <f t="shared" si="18"/>
        <v>215.33333333333334</v>
      </c>
      <c r="BK31" s="472">
        <f t="shared" si="18"/>
        <v>215.33333333333334</v>
      </c>
      <c r="BL31" s="472">
        <f t="shared" si="18"/>
        <v>215.33333333333334</v>
      </c>
      <c r="BM31" s="472">
        <f t="shared" si="18"/>
        <v>215.33333333333334</v>
      </c>
      <c r="BN31" s="472">
        <f t="shared" si="18"/>
        <v>215.33333333333334</v>
      </c>
      <c r="BO31" s="472">
        <f t="shared" si="18"/>
        <v>215.33333333333334</v>
      </c>
      <c r="BP31" s="472">
        <f t="shared" si="18"/>
        <v>215.33333333333334</v>
      </c>
      <c r="BQ31" s="472">
        <f t="shared" si="18"/>
        <v>215.33333333333334</v>
      </c>
      <c r="BR31" s="472">
        <f t="shared" si="18"/>
        <v>215.33333333333334</v>
      </c>
      <c r="BS31" s="472">
        <f t="shared" si="18"/>
        <v>215.33333333333334</v>
      </c>
      <c r="BT31" s="472">
        <f t="shared" si="18"/>
        <v>215.33333333333334</v>
      </c>
      <c r="BU31" s="472">
        <f t="shared" si="18"/>
        <v>215.33333333333334</v>
      </c>
      <c r="BV31" s="472">
        <f t="shared" si="18"/>
        <v>215.33333333333334</v>
      </c>
      <c r="BW31" s="472">
        <f t="shared" si="18"/>
        <v>215.33333333333334</v>
      </c>
      <c r="BX31" s="472">
        <f t="shared" si="18"/>
        <v>215.33333333333334</v>
      </c>
      <c r="BY31" s="472">
        <f t="shared" si="18"/>
        <v>215.33333333333334</v>
      </c>
      <c r="BZ31" s="472">
        <f t="shared" si="18"/>
        <v>215.33333333333334</v>
      </c>
      <c r="CA31" s="472">
        <f t="shared" si="18"/>
        <v>215.33333333333334</v>
      </c>
      <c r="CB31" s="472">
        <f t="shared" si="18"/>
        <v>215.33333333333334</v>
      </c>
      <c r="CC31" s="472">
        <f t="shared" si="18"/>
        <v>215.33333333333334</v>
      </c>
      <c r="CD31" s="472">
        <f t="shared" si="18"/>
        <v>215.33333333333334</v>
      </c>
      <c r="CE31" s="472">
        <f t="shared" si="18"/>
        <v>215.33333333333334</v>
      </c>
      <c r="CF31" s="472">
        <f t="shared" si="18"/>
        <v>215.33333333333334</v>
      </c>
      <c r="CG31" s="472">
        <f t="shared" si="18"/>
        <v>215.33333333333334</v>
      </c>
      <c r="CH31" s="472">
        <f t="shared" si="18"/>
        <v>215.33333333333334</v>
      </c>
      <c r="CI31" s="472">
        <f t="shared" si="18"/>
        <v>215.33333333333334</v>
      </c>
      <c r="CJ31" s="472">
        <f t="shared" si="18"/>
        <v>215.33333333333334</v>
      </c>
      <c r="CK31" s="472">
        <f t="shared" si="18"/>
        <v>215.33333333333334</v>
      </c>
      <c r="CL31" s="473">
        <f t="shared" si="18"/>
        <v>215.33333333333334</v>
      </c>
      <c r="CM31" s="380">
        <f t="shared" si="0"/>
        <v>215.33333333333346</v>
      </c>
      <c r="CN31" s="435"/>
      <c r="CO31" s="435"/>
      <c r="CP31" s="435"/>
      <c r="CQ31" s="435"/>
      <c r="CR31" s="435"/>
      <c r="CS31" s="435"/>
      <c r="CT31" s="435"/>
      <c r="CU31" s="435"/>
      <c r="CV31" s="435"/>
      <c r="CW31" s="435"/>
      <c r="CX31" s="435"/>
      <c r="CY31" s="435"/>
      <c r="CZ31" s="435"/>
      <c r="DA31" s="435"/>
      <c r="DB31" s="435"/>
      <c r="DC31" s="435"/>
      <c r="DD31" s="435"/>
      <c r="DE31" s="435"/>
      <c r="DF31" s="435"/>
      <c r="DG31" s="435"/>
      <c r="DH31" s="435"/>
      <c r="DI31" s="435"/>
      <c r="DJ31" s="435"/>
      <c r="DK31" s="435"/>
      <c r="DL31" s="435"/>
      <c r="DM31" s="435"/>
      <c r="DN31" s="435"/>
      <c r="DO31" s="435"/>
      <c r="DP31" s="435"/>
      <c r="DQ31" s="435"/>
      <c r="DR31" s="435"/>
      <c r="DS31" s="435"/>
      <c r="DT31" s="435"/>
      <c r="DU31" s="435"/>
      <c r="DV31" s="435"/>
      <c r="DW31" s="435"/>
      <c r="DX31" s="435"/>
      <c r="DY31" s="435"/>
      <c r="DZ31" s="435"/>
      <c r="EA31" s="435"/>
      <c r="EB31" s="435"/>
      <c r="EC31" s="435"/>
      <c r="ED31" s="435"/>
      <c r="EE31" s="435"/>
      <c r="EF31" s="435"/>
      <c r="EG31" s="435"/>
      <c r="EH31" s="435"/>
      <c r="EI31" s="435"/>
      <c r="EJ31" s="435"/>
      <c r="EK31" s="435"/>
      <c r="EL31" s="435"/>
      <c r="EM31" s="435"/>
      <c r="EN31" s="435"/>
      <c r="EO31" s="435"/>
      <c r="EP31" s="435"/>
      <c r="EQ31" s="435"/>
      <c r="ER31" s="435"/>
      <c r="ES31" s="435"/>
      <c r="ET31" s="435"/>
      <c r="EU31" s="435"/>
      <c r="EV31" s="435"/>
      <c r="EW31" s="435"/>
      <c r="EX31" s="435"/>
      <c r="EY31" s="435"/>
      <c r="EZ31" s="435"/>
      <c r="FA31" s="435"/>
      <c r="FB31" s="435"/>
      <c r="FC31" s="435"/>
      <c r="FD31" s="435"/>
      <c r="FE31" s="435"/>
      <c r="FF31" s="435"/>
      <c r="FG31" s="435"/>
      <c r="FH31" s="435"/>
      <c r="FI31" s="435"/>
      <c r="FJ31" s="435"/>
      <c r="FK31" s="435"/>
      <c r="FL31" s="435"/>
      <c r="FM31" s="435"/>
      <c r="FN31" s="435"/>
      <c r="FO31" s="435"/>
      <c r="FP31" s="435"/>
      <c r="FQ31" s="435"/>
      <c r="FR31" s="435"/>
      <c r="FS31" s="435"/>
      <c r="FT31" s="435"/>
      <c r="FU31" s="435"/>
      <c r="FV31" s="435"/>
    </row>
    <row r="32" spans="1:178">
      <c r="A32" s="1371"/>
      <c r="B32" s="377" t="s">
        <v>403</v>
      </c>
      <c r="C32" s="398" t="s">
        <v>402</v>
      </c>
      <c r="D32" s="378">
        <v>1.1900000000000001E-2</v>
      </c>
      <c r="E32" s="379"/>
      <c r="F32" s="476" t="s">
        <v>453</v>
      </c>
      <c r="G32" s="572">
        <v>1597.575</v>
      </c>
      <c r="H32" s="572">
        <v>1597.575</v>
      </c>
      <c r="I32" s="572">
        <v>1597.575</v>
      </c>
      <c r="J32" s="572">
        <v>1597.575</v>
      </c>
      <c r="K32" s="572">
        <v>1597.575</v>
      </c>
      <c r="L32" s="572">
        <v>1597.575</v>
      </c>
      <c r="M32" s="572">
        <v>1597.575</v>
      </c>
      <c r="N32" s="572">
        <v>1597.575</v>
      </c>
      <c r="O32" s="572">
        <v>1597.575</v>
      </c>
      <c r="P32" s="572">
        <v>1597.575</v>
      </c>
      <c r="Q32" s="572">
        <v>1597.575</v>
      </c>
      <c r="R32" s="572">
        <v>1597.575</v>
      </c>
      <c r="S32" s="572">
        <v>1597.575</v>
      </c>
      <c r="T32" s="572">
        <f t="shared" ref="T32:AS32" si="19">$D$32*T15</f>
        <v>1597.575</v>
      </c>
      <c r="U32" s="572">
        <f t="shared" si="19"/>
        <v>1597.575</v>
      </c>
      <c r="V32" s="572">
        <f t="shared" si="19"/>
        <v>1597.575</v>
      </c>
      <c r="W32" s="572">
        <f t="shared" si="19"/>
        <v>1597.575</v>
      </c>
      <c r="X32" s="572">
        <f t="shared" si="19"/>
        <v>1597.575</v>
      </c>
      <c r="Y32" s="572">
        <f t="shared" si="19"/>
        <v>1597.575</v>
      </c>
      <c r="Z32" s="572">
        <f t="shared" si="19"/>
        <v>1597.575</v>
      </c>
      <c r="AA32" s="572">
        <f t="shared" si="19"/>
        <v>1597.575</v>
      </c>
      <c r="AB32" s="572">
        <f t="shared" si="19"/>
        <v>1597.575</v>
      </c>
      <c r="AC32" s="572">
        <f t="shared" si="19"/>
        <v>1597.575</v>
      </c>
      <c r="AD32" s="572">
        <f t="shared" si="19"/>
        <v>1597.575</v>
      </c>
      <c r="AE32" s="572">
        <f t="shared" si="19"/>
        <v>1597.575</v>
      </c>
      <c r="AF32" s="572">
        <f t="shared" si="19"/>
        <v>1597.575</v>
      </c>
      <c r="AG32" s="572">
        <f t="shared" si="19"/>
        <v>1597.575</v>
      </c>
      <c r="AH32" s="572">
        <f t="shared" si="19"/>
        <v>1597.575</v>
      </c>
      <c r="AI32" s="572">
        <f t="shared" si="19"/>
        <v>1597.575</v>
      </c>
      <c r="AJ32" s="572">
        <f t="shared" si="19"/>
        <v>1597.575</v>
      </c>
      <c r="AK32" s="572">
        <f t="shared" si="19"/>
        <v>1597.575</v>
      </c>
      <c r="AL32" s="572">
        <f t="shared" si="19"/>
        <v>1597.575</v>
      </c>
      <c r="AM32" s="572">
        <f t="shared" si="19"/>
        <v>1597.575</v>
      </c>
      <c r="AN32" s="572">
        <f t="shared" si="19"/>
        <v>1597.575</v>
      </c>
      <c r="AO32" s="572">
        <f t="shared" si="19"/>
        <v>1597.575</v>
      </c>
      <c r="AP32" s="572">
        <f t="shared" si="19"/>
        <v>1597.575</v>
      </c>
      <c r="AQ32" s="572">
        <f t="shared" si="19"/>
        <v>1597.575</v>
      </c>
      <c r="AR32" s="572">
        <f t="shared" si="19"/>
        <v>1597.575</v>
      </c>
      <c r="AS32" s="572">
        <f t="shared" si="19"/>
        <v>1597.575</v>
      </c>
      <c r="AT32" s="572">
        <f>$D$32*AT15</f>
        <v>1597.575</v>
      </c>
      <c r="AU32" s="472">
        <f t="shared" ref="AU32:CL32" si="20">$D$32*AU15</f>
        <v>1597.575</v>
      </c>
      <c r="AV32" s="472">
        <f t="shared" si="20"/>
        <v>1597.575</v>
      </c>
      <c r="AW32" s="472">
        <f t="shared" si="20"/>
        <v>1597.575</v>
      </c>
      <c r="AX32" s="472">
        <f t="shared" si="20"/>
        <v>1597.575</v>
      </c>
      <c r="AY32" s="472">
        <f t="shared" si="20"/>
        <v>1597.575</v>
      </c>
      <c r="AZ32" s="472">
        <f t="shared" si="20"/>
        <v>1597.575</v>
      </c>
      <c r="BA32" s="472">
        <f t="shared" si="20"/>
        <v>1597.575</v>
      </c>
      <c r="BB32" s="472">
        <f t="shared" si="20"/>
        <v>1597.575</v>
      </c>
      <c r="BC32" s="472">
        <f t="shared" si="20"/>
        <v>1597.575</v>
      </c>
      <c r="BD32" s="472">
        <f t="shared" si="20"/>
        <v>1597.575</v>
      </c>
      <c r="BE32" s="472">
        <f t="shared" si="20"/>
        <v>1597.575</v>
      </c>
      <c r="BF32" s="472">
        <f t="shared" si="20"/>
        <v>1597.575</v>
      </c>
      <c r="BG32" s="472">
        <f t="shared" si="20"/>
        <v>1597.575</v>
      </c>
      <c r="BH32" s="472">
        <f t="shared" si="20"/>
        <v>1597.575</v>
      </c>
      <c r="BI32" s="472">
        <f t="shared" si="20"/>
        <v>1597.575</v>
      </c>
      <c r="BJ32" s="472">
        <f t="shared" si="20"/>
        <v>1597.575</v>
      </c>
      <c r="BK32" s="472">
        <f t="shared" si="20"/>
        <v>1597.575</v>
      </c>
      <c r="BL32" s="472">
        <f t="shared" si="20"/>
        <v>1597.575</v>
      </c>
      <c r="BM32" s="472">
        <f t="shared" si="20"/>
        <v>1597.575</v>
      </c>
      <c r="BN32" s="472">
        <f t="shared" si="20"/>
        <v>1597.575</v>
      </c>
      <c r="BO32" s="472">
        <f t="shared" si="20"/>
        <v>1597.575</v>
      </c>
      <c r="BP32" s="472">
        <f t="shared" si="20"/>
        <v>1597.575</v>
      </c>
      <c r="BQ32" s="472">
        <f t="shared" si="20"/>
        <v>1597.575</v>
      </c>
      <c r="BR32" s="472">
        <f t="shared" si="20"/>
        <v>1597.575</v>
      </c>
      <c r="BS32" s="472">
        <f t="shared" si="20"/>
        <v>1597.575</v>
      </c>
      <c r="BT32" s="472">
        <f t="shared" si="20"/>
        <v>1597.575</v>
      </c>
      <c r="BU32" s="472">
        <f t="shared" si="20"/>
        <v>1597.575</v>
      </c>
      <c r="BV32" s="472">
        <f t="shared" si="20"/>
        <v>1597.575</v>
      </c>
      <c r="BW32" s="472">
        <f t="shared" si="20"/>
        <v>1597.575</v>
      </c>
      <c r="BX32" s="472">
        <f t="shared" si="20"/>
        <v>1597.575</v>
      </c>
      <c r="BY32" s="472">
        <f t="shared" si="20"/>
        <v>1597.575</v>
      </c>
      <c r="BZ32" s="472">
        <f t="shared" si="20"/>
        <v>1597.575</v>
      </c>
      <c r="CA32" s="472">
        <f t="shared" si="20"/>
        <v>1597.575</v>
      </c>
      <c r="CB32" s="472">
        <f t="shared" si="20"/>
        <v>1597.575</v>
      </c>
      <c r="CC32" s="472">
        <f t="shared" si="20"/>
        <v>1597.575</v>
      </c>
      <c r="CD32" s="472">
        <f t="shared" si="20"/>
        <v>1597.575</v>
      </c>
      <c r="CE32" s="472">
        <f t="shared" si="20"/>
        <v>1597.575</v>
      </c>
      <c r="CF32" s="472">
        <f t="shared" si="20"/>
        <v>1597.575</v>
      </c>
      <c r="CG32" s="472">
        <f t="shared" si="20"/>
        <v>1597.575</v>
      </c>
      <c r="CH32" s="472">
        <f t="shared" si="20"/>
        <v>1597.575</v>
      </c>
      <c r="CI32" s="472">
        <f t="shared" si="20"/>
        <v>1597.575</v>
      </c>
      <c r="CJ32" s="472">
        <f t="shared" si="20"/>
        <v>1597.575</v>
      </c>
      <c r="CK32" s="472">
        <f t="shared" si="20"/>
        <v>1597.575</v>
      </c>
      <c r="CL32" s="473">
        <f t="shared" si="20"/>
        <v>1597.575</v>
      </c>
      <c r="CM32" s="380">
        <f t="shared" si="0"/>
        <v>1597.5749999999982</v>
      </c>
      <c r="CN32" s="435"/>
      <c r="CO32" s="435"/>
      <c r="CP32" s="435"/>
      <c r="CQ32" s="435"/>
      <c r="CR32" s="435"/>
      <c r="CS32" s="435"/>
      <c r="CT32" s="435"/>
      <c r="CU32" s="435"/>
      <c r="CV32" s="435"/>
      <c r="CW32" s="435"/>
      <c r="CX32" s="435"/>
      <c r="CY32" s="435"/>
      <c r="CZ32" s="435"/>
      <c r="DA32" s="435"/>
      <c r="DB32" s="435"/>
      <c r="DC32" s="435"/>
      <c r="DD32" s="435"/>
      <c r="DE32" s="435"/>
      <c r="DF32" s="435"/>
      <c r="DG32" s="435"/>
      <c r="DH32" s="435"/>
      <c r="DI32" s="435"/>
      <c r="DJ32" s="435"/>
      <c r="DK32" s="435"/>
      <c r="DL32" s="435"/>
      <c r="DM32" s="435"/>
      <c r="DN32" s="435"/>
      <c r="DO32" s="435"/>
      <c r="DP32" s="435"/>
      <c r="DQ32" s="435"/>
      <c r="DR32" s="435"/>
      <c r="DS32" s="435"/>
      <c r="DT32" s="435"/>
      <c r="DU32" s="435"/>
      <c r="DV32" s="435"/>
      <c r="DW32" s="435"/>
      <c r="DX32" s="435"/>
      <c r="DY32" s="435"/>
      <c r="DZ32" s="435"/>
      <c r="EA32" s="435"/>
      <c r="EB32" s="435"/>
      <c r="EC32" s="435"/>
      <c r="ED32" s="435"/>
      <c r="EE32" s="435"/>
      <c r="EF32" s="435"/>
      <c r="EG32" s="435"/>
      <c r="EH32" s="435"/>
      <c r="EI32" s="435"/>
      <c r="EJ32" s="435"/>
      <c r="EK32" s="435"/>
      <c r="EL32" s="435"/>
      <c r="EM32" s="435"/>
      <c r="EN32" s="435"/>
      <c r="EO32" s="435"/>
      <c r="EP32" s="435"/>
      <c r="EQ32" s="435"/>
      <c r="ER32" s="435"/>
      <c r="ES32" s="435"/>
      <c r="ET32" s="435"/>
      <c r="EU32" s="435"/>
      <c r="EV32" s="435"/>
      <c r="EW32" s="435"/>
      <c r="EX32" s="435"/>
      <c r="EY32" s="435"/>
      <c r="EZ32" s="435"/>
      <c r="FA32" s="435"/>
      <c r="FB32" s="435"/>
      <c r="FC32" s="435"/>
      <c r="FD32" s="435"/>
      <c r="FE32" s="435"/>
      <c r="FF32" s="435"/>
      <c r="FG32" s="435"/>
      <c r="FH32" s="435"/>
      <c r="FI32" s="435"/>
      <c r="FJ32" s="435"/>
      <c r="FK32" s="435"/>
      <c r="FL32" s="435"/>
      <c r="FM32" s="435"/>
      <c r="FN32" s="435"/>
      <c r="FO32" s="435"/>
      <c r="FP32" s="435"/>
      <c r="FQ32" s="435"/>
      <c r="FR32" s="435"/>
      <c r="FS32" s="435"/>
      <c r="FT32" s="435"/>
      <c r="FU32" s="435"/>
      <c r="FV32" s="435"/>
    </row>
    <row r="33" spans="1:179">
      <c r="A33" s="1372"/>
      <c r="B33" s="384" t="s">
        <v>403</v>
      </c>
      <c r="C33" s="400" t="s">
        <v>402</v>
      </c>
      <c r="D33" s="401">
        <f>1.50375/1000</f>
        <v>1.5037499999999999E-3</v>
      </c>
      <c r="E33" s="386"/>
      <c r="F33" s="477" t="s">
        <v>454</v>
      </c>
      <c r="G33" s="574">
        <v>166.44858374999998</v>
      </c>
      <c r="H33" s="574">
        <v>166.44858374999998</v>
      </c>
      <c r="I33" s="574">
        <v>166.44858374999998</v>
      </c>
      <c r="J33" s="574">
        <v>166.44858374999998</v>
      </c>
      <c r="K33" s="574">
        <v>166.44858374999998</v>
      </c>
      <c r="L33" s="574">
        <v>166.44858374999998</v>
      </c>
      <c r="M33" s="574">
        <v>166.44858374999998</v>
      </c>
      <c r="N33" s="574">
        <v>166.44858374999998</v>
      </c>
      <c r="O33" s="574">
        <v>166.44858374999998</v>
      </c>
      <c r="P33" s="574">
        <v>166.44858374999998</v>
      </c>
      <c r="Q33" s="574">
        <v>166.44858374999998</v>
      </c>
      <c r="R33" s="574">
        <v>166.44858374999998</v>
      </c>
      <c r="S33" s="574">
        <v>166.44858374999998</v>
      </c>
      <c r="T33" s="574">
        <f t="shared" ref="T33:AS33" si="21">T16*$D$33</f>
        <v>166.44858374999998</v>
      </c>
      <c r="U33" s="574">
        <f t="shared" si="21"/>
        <v>166.44858374999998</v>
      </c>
      <c r="V33" s="574">
        <f t="shared" si="21"/>
        <v>166.44858374999998</v>
      </c>
      <c r="W33" s="574">
        <f t="shared" si="21"/>
        <v>166.44858374999998</v>
      </c>
      <c r="X33" s="574">
        <f t="shared" si="21"/>
        <v>166.44858374999998</v>
      </c>
      <c r="Y33" s="574">
        <f t="shared" si="21"/>
        <v>166.44858374999998</v>
      </c>
      <c r="Z33" s="574">
        <f t="shared" si="21"/>
        <v>166.44858374999998</v>
      </c>
      <c r="AA33" s="574">
        <f t="shared" si="21"/>
        <v>166.44858374999998</v>
      </c>
      <c r="AB33" s="574">
        <f t="shared" si="21"/>
        <v>166.44858374999998</v>
      </c>
      <c r="AC33" s="574">
        <f t="shared" si="21"/>
        <v>166.44858374999998</v>
      </c>
      <c r="AD33" s="574">
        <f t="shared" si="21"/>
        <v>166.44858374999998</v>
      </c>
      <c r="AE33" s="574">
        <f t="shared" si="21"/>
        <v>166.44858374999998</v>
      </c>
      <c r="AF33" s="574">
        <f t="shared" si="21"/>
        <v>166.44858374999998</v>
      </c>
      <c r="AG33" s="574">
        <f t="shared" si="21"/>
        <v>166.44858374999998</v>
      </c>
      <c r="AH33" s="574">
        <f t="shared" si="21"/>
        <v>166.44858374999998</v>
      </c>
      <c r="AI33" s="574">
        <f t="shared" si="21"/>
        <v>166.44858374999998</v>
      </c>
      <c r="AJ33" s="574">
        <f t="shared" si="21"/>
        <v>166.44858374999998</v>
      </c>
      <c r="AK33" s="574">
        <f t="shared" si="21"/>
        <v>166.44858374999998</v>
      </c>
      <c r="AL33" s="574">
        <f t="shared" si="21"/>
        <v>166.44858374999998</v>
      </c>
      <c r="AM33" s="574">
        <f t="shared" si="21"/>
        <v>166.44858374999998</v>
      </c>
      <c r="AN33" s="574">
        <f t="shared" si="21"/>
        <v>166.44858374999998</v>
      </c>
      <c r="AO33" s="574">
        <f t="shared" si="21"/>
        <v>166.44858374999998</v>
      </c>
      <c r="AP33" s="574">
        <f t="shared" si="21"/>
        <v>166.44858374999998</v>
      </c>
      <c r="AQ33" s="574">
        <f t="shared" si="21"/>
        <v>166.44858374999998</v>
      </c>
      <c r="AR33" s="574">
        <f t="shared" si="21"/>
        <v>166.44858374999998</v>
      </c>
      <c r="AS33" s="574">
        <f t="shared" si="21"/>
        <v>166.44858374999998</v>
      </c>
      <c r="AT33" s="574">
        <f>AT16*$D$33</f>
        <v>166.44858374999998</v>
      </c>
      <c r="AU33" s="478">
        <f t="shared" ref="AU33:CL33" si="22">AU16*$D$33</f>
        <v>166.44858374999998</v>
      </c>
      <c r="AV33" s="478">
        <f t="shared" si="22"/>
        <v>166.44858374999998</v>
      </c>
      <c r="AW33" s="478">
        <f t="shared" si="22"/>
        <v>166.44858374999998</v>
      </c>
      <c r="AX33" s="478">
        <f t="shared" si="22"/>
        <v>166.44858374999998</v>
      </c>
      <c r="AY33" s="478">
        <f t="shared" si="22"/>
        <v>166.44858374999998</v>
      </c>
      <c r="AZ33" s="478">
        <f t="shared" si="22"/>
        <v>166.44858374999998</v>
      </c>
      <c r="BA33" s="478">
        <f t="shared" si="22"/>
        <v>166.44858374999998</v>
      </c>
      <c r="BB33" s="478">
        <f t="shared" si="22"/>
        <v>166.44858374999998</v>
      </c>
      <c r="BC33" s="478">
        <f t="shared" si="22"/>
        <v>166.44858374999998</v>
      </c>
      <c r="BD33" s="478">
        <f t="shared" si="22"/>
        <v>166.44858374999998</v>
      </c>
      <c r="BE33" s="478">
        <f t="shared" si="22"/>
        <v>166.44858374999998</v>
      </c>
      <c r="BF33" s="478">
        <f t="shared" si="22"/>
        <v>166.44858374999998</v>
      </c>
      <c r="BG33" s="478">
        <f t="shared" si="22"/>
        <v>166.44858374999998</v>
      </c>
      <c r="BH33" s="478">
        <f t="shared" si="22"/>
        <v>166.44858374999998</v>
      </c>
      <c r="BI33" s="478">
        <f t="shared" si="22"/>
        <v>166.44858374999998</v>
      </c>
      <c r="BJ33" s="478">
        <f t="shared" si="22"/>
        <v>166.44858374999998</v>
      </c>
      <c r="BK33" s="478">
        <f t="shared" si="22"/>
        <v>166.44858374999998</v>
      </c>
      <c r="BL33" s="478">
        <f t="shared" si="22"/>
        <v>166.44858374999998</v>
      </c>
      <c r="BM33" s="478">
        <f t="shared" si="22"/>
        <v>166.44858374999998</v>
      </c>
      <c r="BN33" s="478">
        <f t="shared" si="22"/>
        <v>166.44858374999998</v>
      </c>
      <c r="BO33" s="478">
        <f t="shared" si="22"/>
        <v>166.44858374999998</v>
      </c>
      <c r="BP33" s="478">
        <f t="shared" si="22"/>
        <v>166.44858374999998</v>
      </c>
      <c r="BQ33" s="478">
        <f t="shared" si="22"/>
        <v>166.44858374999998</v>
      </c>
      <c r="BR33" s="478">
        <f t="shared" si="22"/>
        <v>166.44858374999998</v>
      </c>
      <c r="BS33" s="478">
        <f t="shared" si="22"/>
        <v>166.44858374999998</v>
      </c>
      <c r="BT33" s="478">
        <f t="shared" si="22"/>
        <v>166.44858374999998</v>
      </c>
      <c r="BU33" s="478">
        <f t="shared" si="22"/>
        <v>166.44858374999998</v>
      </c>
      <c r="BV33" s="478">
        <f t="shared" si="22"/>
        <v>166.44858374999998</v>
      </c>
      <c r="BW33" s="478">
        <f t="shared" si="22"/>
        <v>166.44858374999998</v>
      </c>
      <c r="BX33" s="478">
        <f t="shared" si="22"/>
        <v>166.44858374999998</v>
      </c>
      <c r="BY33" s="478">
        <f t="shared" si="22"/>
        <v>166.44858374999998</v>
      </c>
      <c r="BZ33" s="478">
        <f t="shared" si="22"/>
        <v>166.44858374999998</v>
      </c>
      <c r="CA33" s="478">
        <f t="shared" si="22"/>
        <v>166.44858374999998</v>
      </c>
      <c r="CB33" s="478">
        <f t="shared" si="22"/>
        <v>166.44858374999998</v>
      </c>
      <c r="CC33" s="478">
        <f t="shared" si="22"/>
        <v>166.44858374999998</v>
      </c>
      <c r="CD33" s="478">
        <f t="shared" si="22"/>
        <v>166.44858374999998</v>
      </c>
      <c r="CE33" s="478">
        <f t="shared" si="22"/>
        <v>166.44858374999998</v>
      </c>
      <c r="CF33" s="478">
        <f t="shared" si="22"/>
        <v>166.44858374999998</v>
      </c>
      <c r="CG33" s="478">
        <f t="shared" si="22"/>
        <v>166.44858374999998</v>
      </c>
      <c r="CH33" s="478">
        <f t="shared" si="22"/>
        <v>166.44858374999998</v>
      </c>
      <c r="CI33" s="478">
        <f t="shared" si="22"/>
        <v>166.44858374999998</v>
      </c>
      <c r="CJ33" s="478">
        <f t="shared" si="22"/>
        <v>166.44858374999998</v>
      </c>
      <c r="CK33" s="478">
        <f t="shared" si="22"/>
        <v>166.44858374999998</v>
      </c>
      <c r="CL33" s="479">
        <f t="shared" si="22"/>
        <v>166.44858374999998</v>
      </c>
      <c r="CM33" s="380">
        <f t="shared" si="0"/>
        <v>166.44858374999978</v>
      </c>
      <c r="CN33" s="374"/>
      <c r="CO33" s="402">
        <v>41883</v>
      </c>
      <c r="CP33" s="402">
        <v>41913</v>
      </c>
      <c r="CQ33" s="402">
        <v>41944</v>
      </c>
      <c r="CR33" s="402">
        <v>41974</v>
      </c>
      <c r="CS33" s="402">
        <v>42005</v>
      </c>
      <c r="CT33" s="402">
        <v>42036</v>
      </c>
      <c r="CU33" s="402">
        <v>42064</v>
      </c>
      <c r="CV33" s="402">
        <v>42095</v>
      </c>
      <c r="CW33" s="402">
        <v>42125</v>
      </c>
      <c r="CX33" s="402">
        <v>42156</v>
      </c>
      <c r="CY33" s="402">
        <v>42186</v>
      </c>
      <c r="CZ33" s="402">
        <v>42217</v>
      </c>
      <c r="DA33" s="402">
        <v>42248</v>
      </c>
      <c r="DB33" s="402">
        <v>42278</v>
      </c>
      <c r="DC33" s="402">
        <v>42309</v>
      </c>
      <c r="DD33" s="402">
        <v>42339</v>
      </c>
      <c r="DE33" s="402">
        <v>42370</v>
      </c>
      <c r="DF33" s="402">
        <v>42401</v>
      </c>
      <c r="DG33" s="402">
        <v>42430</v>
      </c>
      <c r="DH33" s="402">
        <v>42461</v>
      </c>
      <c r="DI33" s="402">
        <v>42491</v>
      </c>
      <c r="DJ33" s="402">
        <v>42522</v>
      </c>
      <c r="DK33" s="402">
        <v>42552</v>
      </c>
      <c r="DL33" s="402">
        <v>42583</v>
      </c>
      <c r="DM33" s="402">
        <v>42614</v>
      </c>
      <c r="DN33" s="402">
        <v>42644</v>
      </c>
      <c r="DO33" s="402">
        <v>42675</v>
      </c>
      <c r="DP33" s="402">
        <v>42705</v>
      </c>
      <c r="DQ33" s="402">
        <v>42736</v>
      </c>
      <c r="DR33" s="402">
        <v>42767</v>
      </c>
      <c r="DS33" s="402">
        <v>42795</v>
      </c>
      <c r="DT33" s="402">
        <v>42826</v>
      </c>
      <c r="DU33" s="402">
        <v>42856</v>
      </c>
      <c r="DV33" s="402">
        <v>42887</v>
      </c>
      <c r="DW33" s="402">
        <v>42917</v>
      </c>
      <c r="DX33" s="402">
        <v>42948</v>
      </c>
      <c r="DY33" s="402">
        <v>42979</v>
      </c>
      <c r="DZ33" s="402">
        <v>43009</v>
      </c>
      <c r="EA33" s="402">
        <v>43040</v>
      </c>
      <c r="EB33" s="402">
        <v>43070</v>
      </c>
      <c r="EC33" s="402">
        <v>43101</v>
      </c>
      <c r="ED33" s="402">
        <v>43132</v>
      </c>
      <c r="EE33" s="402">
        <v>43160</v>
      </c>
      <c r="EF33" s="402">
        <v>43191</v>
      </c>
      <c r="EG33" s="402">
        <v>43221</v>
      </c>
      <c r="EH33" s="402">
        <v>43252</v>
      </c>
      <c r="EI33" s="402">
        <v>43282</v>
      </c>
      <c r="EJ33" s="402">
        <v>43313</v>
      </c>
      <c r="EK33" s="402">
        <v>43344</v>
      </c>
      <c r="EL33" s="402">
        <v>43374</v>
      </c>
      <c r="EM33" s="402">
        <v>43405</v>
      </c>
      <c r="EN33" s="402">
        <v>43435</v>
      </c>
      <c r="EO33" s="402">
        <v>43466</v>
      </c>
      <c r="EP33" s="402">
        <v>43497</v>
      </c>
      <c r="EQ33" s="402">
        <v>43525</v>
      </c>
      <c r="ER33" s="402">
        <v>43556</v>
      </c>
      <c r="ES33" s="402">
        <v>43586</v>
      </c>
      <c r="ET33" s="402">
        <v>43617</v>
      </c>
      <c r="EU33" s="402">
        <v>43647</v>
      </c>
      <c r="EV33" s="402">
        <v>43678</v>
      </c>
      <c r="EW33" s="402">
        <v>43709</v>
      </c>
      <c r="EX33" s="402">
        <v>43739</v>
      </c>
      <c r="EY33" s="402">
        <v>43770</v>
      </c>
      <c r="EZ33" s="402">
        <v>43800</v>
      </c>
      <c r="FA33" s="402">
        <v>43831</v>
      </c>
      <c r="FB33" s="402">
        <v>43862</v>
      </c>
      <c r="FC33" s="402">
        <v>43891</v>
      </c>
      <c r="FD33" s="402">
        <v>43922</v>
      </c>
      <c r="FE33" s="402">
        <v>43952</v>
      </c>
      <c r="FF33" s="402">
        <v>43983</v>
      </c>
      <c r="FG33" s="402">
        <v>44013</v>
      </c>
      <c r="FH33" s="402">
        <v>44044</v>
      </c>
      <c r="FI33" s="402">
        <v>44075</v>
      </c>
      <c r="FJ33" s="402">
        <v>44105</v>
      </c>
      <c r="FK33" s="402">
        <v>44136</v>
      </c>
      <c r="FL33" s="402">
        <v>44166</v>
      </c>
      <c r="FM33" s="402">
        <v>44197</v>
      </c>
      <c r="FN33" s="402">
        <v>44228</v>
      </c>
      <c r="FO33" s="402">
        <v>44256</v>
      </c>
      <c r="FP33" s="402">
        <v>44287</v>
      </c>
      <c r="FQ33" s="402">
        <v>44317</v>
      </c>
      <c r="FR33" s="402">
        <v>44348</v>
      </c>
      <c r="FS33" s="402">
        <v>44378</v>
      </c>
      <c r="FT33" s="402">
        <v>44409</v>
      </c>
      <c r="FU33" s="402">
        <v>44440</v>
      </c>
      <c r="FV33" s="388"/>
    </row>
    <row r="34" spans="1:179" ht="15" customHeight="1">
      <c r="A34" s="1388" t="s">
        <v>111</v>
      </c>
      <c r="B34" s="393" t="s">
        <v>399</v>
      </c>
      <c r="C34" s="394" t="s">
        <v>402</v>
      </c>
      <c r="D34" s="394">
        <v>1.61</v>
      </c>
      <c r="E34" s="1383" t="s">
        <v>449</v>
      </c>
      <c r="F34" s="480" t="s">
        <v>148</v>
      </c>
      <c r="G34" s="569">
        <f t="shared" ref="G34:R34" si="23">$D$34*G16</f>
        <v>178209.29</v>
      </c>
      <c r="H34" s="569">
        <f t="shared" si="23"/>
        <v>178209.29</v>
      </c>
      <c r="I34" s="569">
        <f t="shared" si="23"/>
        <v>178209.29</v>
      </c>
      <c r="J34" s="569">
        <f t="shared" si="23"/>
        <v>178209.29</v>
      </c>
      <c r="K34" s="569">
        <f t="shared" si="23"/>
        <v>178209.29</v>
      </c>
      <c r="L34" s="569">
        <f t="shared" si="23"/>
        <v>178209.29</v>
      </c>
      <c r="M34" s="569">
        <f t="shared" si="23"/>
        <v>178209.29</v>
      </c>
      <c r="N34" s="569">
        <f t="shared" si="23"/>
        <v>178209.29</v>
      </c>
      <c r="O34" s="569">
        <f t="shared" si="23"/>
        <v>178209.29</v>
      </c>
      <c r="P34" s="569">
        <f t="shared" si="23"/>
        <v>178209.29</v>
      </c>
      <c r="Q34" s="569">
        <f t="shared" si="23"/>
        <v>178209.29</v>
      </c>
      <c r="R34" s="569">
        <f t="shared" si="23"/>
        <v>178209.29</v>
      </c>
      <c r="S34" s="569">
        <f>$D$34*S16</f>
        <v>178209.29</v>
      </c>
      <c r="T34" s="569">
        <f t="shared" ref="T34:AS34" si="24">$D$34*T16</f>
        <v>178209.29</v>
      </c>
      <c r="U34" s="569">
        <f t="shared" si="24"/>
        <v>178209.29</v>
      </c>
      <c r="V34" s="569">
        <f t="shared" si="24"/>
        <v>178209.29</v>
      </c>
      <c r="W34" s="569">
        <f t="shared" si="24"/>
        <v>178209.29</v>
      </c>
      <c r="X34" s="569">
        <f t="shared" si="24"/>
        <v>178209.29</v>
      </c>
      <c r="Y34" s="569">
        <f t="shared" si="24"/>
        <v>178209.29</v>
      </c>
      <c r="Z34" s="569">
        <f t="shared" si="24"/>
        <v>178209.29</v>
      </c>
      <c r="AA34" s="569">
        <f t="shared" si="24"/>
        <v>178209.29</v>
      </c>
      <c r="AB34" s="569">
        <f t="shared" si="24"/>
        <v>178209.29</v>
      </c>
      <c r="AC34" s="569">
        <f t="shared" si="24"/>
        <v>178209.29</v>
      </c>
      <c r="AD34" s="569">
        <f t="shared" si="24"/>
        <v>178209.29</v>
      </c>
      <c r="AE34" s="569">
        <f t="shared" si="24"/>
        <v>178209.29</v>
      </c>
      <c r="AF34" s="569">
        <f t="shared" si="24"/>
        <v>178209.29</v>
      </c>
      <c r="AG34" s="569">
        <f t="shared" si="24"/>
        <v>178209.29</v>
      </c>
      <c r="AH34" s="569">
        <f t="shared" si="24"/>
        <v>178209.29</v>
      </c>
      <c r="AI34" s="569">
        <f t="shared" si="24"/>
        <v>178209.29</v>
      </c>
      <c r="AJ34" s="569">
        <f t="shared" si="24"/>
        <v>178209.29</v>
      </c>
      <c r="AK34" s="569">
        <f t="shared" si="24"/>
        <v>178209.29</v>
      </c>
      <c r="AL34" s="569">
        <f t="shared" si="24"/>
        <v>178209.29</v>
      </c>
      <c r="AM34" s="569">
        <f t="shared" si="24"/>
        <v>178209.29</v>
      </c>
      <c r="AN34" s="569">
        <f t="shared" si="24"/>
        <v>178209.29</v>
      </c>
      <c r="AO34" s="569">
        <f t="shared" si="24"/>
        <v>178209.29</v>
      </c>
      <c r="AP34" s="569">
        <f t="shared" si="24"/>
        <v>178209.29</v>
      </c>
      <c r="AQ34" s="569">
        <f t="shared" si="24"/>
        <v>178209.29</v>
      </c>
      <c r="AR34" s="569">
        <f t="shared" si="24"/>
        <v>178209.29</v>
      </c>
      <c r="AS34" s="569">
        <f t="shared" si="24"/>
        <v>178209.29</v>
      </c>
      <c r="AT34" s="569">
        <f t="shared" ref="AT34:CL34" si="25">$D$34*AT16</f>
        <v>178209.29</v>
      </c>
      <c r="AU34" s="409">
        <f t="shared" si="25"/>
        <v>178209.29</v>
      </c>
      <c r="AV34" s="409">
        <f t="shared" si="25"/>
        <v>178209.29</v>
      </c>
      <c r="AW34" s="409">
        <f t="shared" si="25"/>
        <v>178209.29</v>
      </c>
      <c r="AX34" s="409">
        <f t="shared" si="25"/>
        <v>178209.29</v>
      </c>
      <c r="AY34" s="409">
        <f t="shared" si="25"/>
        <v>178209.29</v>
      </c>
      <c r="AZ34" s="409">
        <f t="shared" si="25"/>
        <v>178209.29</v>
      </c>
      <c r="BA34" s="409">
        <f t="shared" si="25"/>
        <v>178209.29</v>
      </c>
      <c r="BB34" s="409">
        <f t="shared" si="25"/>
        <v>178209.29</v>
      </c>
      <c r="BC34" s="409">
        <f t="shared" si="25"/>
        <v>178209.29</v>
      </c>
      <c r="BD34" s="409">
        <f t="shared" si="25"/>
        <v>178209.29</v>
      </c>
      <c r="BE34" s="409">
        <f t="shared" si="25"/>
        <v>178209.29</v>
      </c>
      <c r="BF34" s="409">
        <f t="shared" si="25"/>
        <v>178209.29</v>
      </c>
      <c r="BG34" s="409">
        <f t="shared" si="25"/>
        <v>178209.29</v>
      </c>
      <c r="BH34" s="409">
        <f t="shared" si="25"/>
        <v>178209.29</v>
      </c>
      <c r="BI34" s="409">
        <f t="shared" si="25"/>
        <v>178209.29</v>
      </c>
      <c r="BJ34" s="409">
        <f t="shared" si="25"/>
        <v>178209.29</v>
      </c>
      <c r="BK34" s="409">
        <f t="shared" si="25"/>
        <v>178209.29</v>
      </c>
      <c r="BL34" s="409">
        <f t="shared" si="25"/>
        <v>178209.29</v>
      </c>
      <c r="BM34" s="409">
        <f t="shared" si="25"/>
        <v>178209.29</v>
      </c>
      <c r="BN34" s="409">
        <f t="shared" si="25"/>
        <v>178209.29</v>
      </c>
      <c r="BO34" s="409">
        <f t="shared" si="25"/>
        <v>178209.29</v>
      </c>
      <c r="BP34" s="409">
        <f t="shared" si="25"/>
        <v>178209.29</v>
      </c>
      <c r="BQ34" s="409">
        <f t="shared" si="25"/>
        <v>178209.29</v>
      </c>
      <c r="BR34" s="409">
        <f t="shared" si="25"/>
        <v>178209.29</v>
      </c>
      <c r="BS34" s="409">
        <f t="shared" si="25"/>
        <v>178209.29</v>
      </c>
      <c r="BT34" s="409">
        <f t="shared" si="25"/>
        <v>178209.29</v>
      </c>
      <c r="BU34" s="409">
        <f t="shared" si="25"/>
        <v>178209.29</v>
      </c>
      <c r="BV34" s="409">
        <f t="shared" si="25"/>
        <v>178209.29</v>
      </c>
      <c r="BW34" s="409">
        <f t="shared" si="25"/>
        <v>178209.29</v>
      </c>
      <c r="BX34" s="409">
        <f t="shared" si="25"/>
        <v>178209.29</v>
      </c>
      <c r="BY34" s="409">
        <f t="shared" si="25"/>
        <v>178209.29</v>
      </c>
      <c r="BZ34" s="409">
        <f t="shared" si="25"/>
        <v>178209.29</v>
      </c>
      <c r="CA34" s="409">
        <f t="shared" si="25"/>
        <v>178209.29</v>
      </c>
      <c r="CB34" s="409">
        <f t="shared" si="25"/>
        <v>178209.29</v>
      </c>
      <c r="CC34" s="409">
        <f t="shared" si="25"/>
        <v>178209.29</v>
      </c>
      <c r="CD34" s="409">
        <f t="shared" si="25"/>
        <v>178209.29</v>
      </c>
      <c r="CE34" s="409">
        <f t="shared" si="25"/>
        <v>178209.29</v>
      </c>
      <c r="CF34" s="409">
        <f t="shared" si="25"/>
        <v>178209.29</v>
      </c>
      <c r="CG34" s="409">
        <f t="shared" si="25"/>
        <v>178209.29</v>
      </c>
      <c r="CH34" s="409">
        <f t="shared" si="25"/>
        <v>178209.29</v>
      </c>
      <c r="CI34" s="409">
        <f t="shared" si="25"/>
        <v>178209.29</v>
      </c>
      <c r="CJ34" s="409">
        <f t="shared" si="25"/>
        <v>178209.29</v>
      </c>
      <c r="CK34" s="409">
        <f t="shared" si="25"/>
        <v>178209.29</v>
      </c>
      <c r="CL34" s="480">
        <f t="shared" si="25"/>
        <v>178209.29</v>
      </c>
      <c r="CM34" s="403">
        <f t="shared" ref="CM34:CM57" si="26">AVERAGE(G34:CL34)</f>
        <v>178209.28999999963</v>
      </c>
      <c r="CN34" s="404" t="s">
        <v>437</v>
      </c>
      <c r="CO34" s="404">
        <v>6.12</v>
      </c>
      <c r="CP34" s="404">
        <v>6.12</v>
      </c>
      <c r="CQ34" s="404">
        <v>6.12</v>
      </c>
      <c r="CR34" s="404">
        <v>6.12</v>
      </c>
      <c r="CS34" s="404">
        <v>6.24</v>
      </c>
      <c r="CT34" s="404">
        <v>6.24</v>
      </c>
      <c r="CU34" s="404">
        <v>6.28</v>
      </c>
      <c r="CV34" s="404">
        <v>6.28</v>
      </c>
      <c r="CW34" s="404">
        <v>6.32</v>
      </c>
      <c r="CX34" s="404">
        <v>6.32</v>
      </c>
      <c r="CY34" s="404">
        <v>6.47</v>
      </c>
      <c r="CZ34" s="404">
        <v>6.47</v>
      </c>
      <c r="DA34" s="404">
        <v>6.47</v>
      </c>
      <c r="DB34" s="404">
        <v>6.51</v>
      </c>
      <c r="DC34" s="404">
        <v>6.6447253073219397</v>
      </c>
      <c r="DD34" s="404">
        <v>6.6592391374311397</v>
      </c>
      <c r="DE34" s="404">
        <v>6.6737529675403398</v>
      </c>
      <c r="DF34" s="404">
        <v>6.6882667976495496</v>
      </c>
      <c r="DG34" s="404">
        <v>6.7027806277587496</v>
      </c>
      <c r="DH34" s="404">
        <v>6.7172944578679497</v>
      </c>
      <c r="DI34" s="404">
        <v>6.7318082879771604</v>
      </c>
      <c r="DJ34" s="404">
        <v>6.7463221180863604</v>
      </c>
      <c r="DK34" s="404">
        <v>6.7608359481955604</v>
      </c>
      <c r="DL34" s="404">
        <v>6.7753497783047703</v>
      </c>
      <c r="DM34" s="404">
        <v>6.7898636084139703</v>
      </c>
      <c r="DN34" s="404">
        <v>6.91</v>
      </c>
      <c r="DO34" s="404">
        <v>6.8188912686323802</v>
      </c>
      <c r="DP34" s="404">
        <v>6.86</v>
      </c>
      <c r="DQ34" s="404">
        <v>6.8479189288507802</v>
      </c>
      <c r="DR34" s="404">
        <v>6.8624327589599803</v>
      </c>
      <c r="DS34" s="404">
        <v>6.8769465890691901</v>
      </c>
      <c r="DT34" s="404">
        <v>6.8914604191783901</v>
      </c>
      <c r="DU34" s="404">
        <v>6.9059742492875902</v>
      </c>
      <c r="DV34" s="404">
        <v>6.9204880793968</v>
      </c>
      <c r="DW34" s="404">
        <v>6.935001909506</v>
      </c>
      <c r="DX34" s="404">
        <v>6.9495157396152001</v>
      </c>
      <c r="DY34" s="404">
        <v>6.9640295697244099</v>
      </c>
      <c r="DZ34" s="404">
        <v>6.9785433998336099</v>
      </c>
      <c r="EA34" s="404">
        <v>6.99305722994281</v>
      </c>
      <c r="EB34" s="404">
        <v>7.0075710600520198</v>
      </c>
      <c r="EC34" s="404">
        <v>5.2450000000000001</v>
      </c>
      <c r="ED34" s="404">
        <v>7.48</v>
      </c>
      <c r="EE34" s="404">
        <v>7.6002255138846202</v>
      </c>
      <c r="EF34" s="404">
        <v>6.65</v>
      </c>
      <c r="EG34" s="404">
        <v>6.77</v>
      </c>
      <c r="EH34" s="404">
        <v>6.83</v>
      </c>
      <c r="EI34" s="404">
        <v>8.23</v>
      </c>
      <c r="EJ34" s="404">
        <v>8.2200000000000006</v>
      </c>
      <c r="EK34" s="404">
        <v>7.32</v>
      </c>
      <c r="EL34" s="404">
        <v>8.18</v>
      </c>
      <c r="EM34" s="404">
        <v>7.53</v>
      </c>
      <c r="EN34" s="404">
        <v>7.13</v>
      </c>
      <c r="EO34" s="404">
        <v>6.42</v>
      </c>
      <c r="EP34" s="404">
        <v>7.18</v>
      </c>
      <c r="EQ34" s="404">
        <v>6.07</v>
      </c>
      <c r="ER34" s="404">
        <v>4.8415999999999997</v>
      </c>
      <c r="ES34" s="404">
        <v>4.8899999999999997</v>
      </c>
      <c r="ET34" s="404">
        <v>5.4</v>
      </c>
      <c r="EU34" s="404">
        <v>5.84</v>
      </c>
      <c r="EV34" s="404">
        <v>5.76</v>
      </c>
      <c r="EW34" s="404">
        <v>5.46</v>
      </c>
      <c r="EX34" s="404">
        <v>6.36</v>
      </c>
      <c r="EY34" s="404">
        <v>6.17</v>
      </c>
      <c r="EZ34" s="404">
        <v>6.84</v>
      </c>
      <c r="FA34" s="404">
        <v>5.67</v>
      </c>
      <c r="FB34" s="404">
        <v>5.33</v>
      </c>
      <c r="FC34" s="404">
        <v>3.69</v>
      </c>
      <c r="FD34" s="404">
        <v>4.9800000000000004</v>
      </c>
      <c r="FE34" s="404">
        <v>4.4800000000000004</v>
      </c>
      <c r="FF34" s="404">
        <v>3</v>
      </c>
      <c r="FG34" s="404">
        <v>2.6</v>
      </c>
      <c r="FH34" s="404">
        <v>3.43</v>
      </c>
      <c r="FI34" s="404">
        <v>4.3499999999999996</v>
      </c>
      <c r="FJ34" s="404">
        <v>4.68</v>
      </c>
      <c r="FK34" s="404">
        <v>5.0999999999999996</v>
      </c>
      <c r="FL34" s="404">
        <v>6.03</v>
      </c>
      <c r="FM34" s="404">
        <v>6.67</v>
      </c>
      <c r="FN34" s="404">
        <v>8.02</v>
      </c>
      <c r="FO34" s="404">
        <v>7.23</v>
      </c>
      <c r="FP34" s="404">
        <v>5.36</v>
      </c>
      <c r="FQ34" s="404">
        <v>5.15</v>
      </c>
      <c r="FR34" s="404">
        <v>5.64</v>
      </c>
      <c r="FS34" s="404">
        <v>6.42</v>
      </c>
      <c r="FT34" s="404">
        <v>7.17</v>
      </c>
      <c r="FU34" s="404">
        <v>7.47</v>
      </c>
      <c r="FV34" s="405">
        <f t="shared" ref="FV34:FV41" si="27">AVERAGE(EC34:FU34)</f>
        <v>6.0197072336418813</v>
      </c>
      <c r="FW34" s="316"/>
    </row>
    <row r="35" spans="1:179">
      <c r="A35" s="1389"/>
      <c r="B35" s="393" t="s">
        <v>399</v>
      </c>
      <c r="C35" s="394" t="s">
        <v>402</v>
      </c>
      <c r="D35" s="394">
        <v>514.32000000000005</v>
      </c>
      <c r="E35" s="1383"/>
      <c r="F35" s="480" t="s">
        <v>134</v>
      </c>
      <c r="G35" s="569">
        <f t="shared" ref="G35:R35" si="28">$D$35*G16</f>
        <v>56929566.480000004</v>
      </c>
      <c r="H35" s="569">
        <f t="shared" si="28"/>
        <v>56929566.480000004</v>
      </c>
      <c r="I35" s="569">
        <f t="shared" si="28"/>
        <v>56929566.480000004</v>
      </c>
      <c r="J35" s="569">
        <f t="shared" si="28"/>
        <v>56929566.480000004</v>
      </c>
      <c r="K35" s="569">
        <f t="shared" si="28"/>
        <v>56929566.480000004</v>
      </c>
      <c r="L35" s="569">
        <f t="shared" si="28"/>
        <v>56929566.480000004</v>
      </c>
      <c r="M35" s="569">
        <f t="shared" si="28"/>
        <v>56929566.480000004</v>
      </c>
      <c r="N35" s="569">
        <f t="shared" si="28"/>
        <v>56929566.480000004</v>
      </c>
      <c r="O35" s="569">
        <f t="shared" si="28"/>
        <v>56929566.480000004</v>
      </c>
      <c r="P35" s="569">
        <f t="shared" si="28"/>
        <v>56929566.480000004</v>
      </c>
      <c r="Q35" s="569">
        <f t="shared" si="28"/>
        <v>56929566.480000004</v>
      </c>
      <c r="R35" s="569">
        <f t="shared" si="28"/>
        <v>56929566.480000004</v>
      </c>
      <c r="S35" s="569">
        <f t="shared" ref="S35:AS35" si="29">$D$35*S16</f>
        <v>56929566.480000004</v>
      </c>
      <c r="T35" s="569">
        <f t="shared" si="29"/>
        <v>56929566.480000004</v>
      </c>
      <c r="U35" s="569">
        <f t="shared" si="29"/>
        <v>56929566.480000004</v>
      </c>
      <c r="V35" s="569">
        <f t="shared" si="29"/>
        <v>56929566.480000004</v>
      </c>
      <c r="W35" s="569">
        <f t="shared" si="29"/>
        <v>56929566.480000004</v>
      </c>
      <c r="X35" s="569">
        <f t="shared" si="29"/>
        <v>56929566.480000004</v>
      </c>
      <c r="Y35" s="569">
        <f t="shared" si="29"/>
        <v>56929566.480000004</v>
      </c>
      <c r="Z35" s="569">
        <f t="shared" si="29"/>
        <v>56929566.480000004</v>
      </c>
      <c r="AA35" s="569">
        <f t="shared" si="29"/>
        <v>56929566.480000004</v>
      </c>
      <c r="AB35" s="569">
        <f t="shared" si="29"/>
        <v>56929566.480000004</v>
      </c>
      <c r="AC35" s="569">
        <f t="shared" si="29"/>
        <v>56929566.480000004</v>
      </c>
      <c r="AD35" s="569">
        <f t="shared" si="29"/>
        <v>56929566.480000004</v>
      </c>
      <c r="AE35" s="569">
        <f t="shared" si="29"/>
        <v>56929566.480000004</v>
      </c>
      <c r="AF35" s="569">
        <f t="shared" si="29"/>
        <v>56929566.480000004</v>
      </c>
      <c r="AG35" s="569">
        <f t="shared" si="29"/>
        <v>56929566.480000004</v>
      </c>
      <c r="AH35" s="569">
        <f t="shared" si="29"/>
        <v>56929566.480000004</v>
      </c>
      <c r="AI35" s="569">
        <f t="shared" si="29"/>
        <v>56929566.480000004</v>
      </c>
      <c r="AJ35" s="569">
        <f t="shared" si="29"/>
        <v>56929566.480000004</v>
      </c>
      <c r="AK35" s="569">
        <f t="shared" si="29"/>
        <v>56929566.480000004</v>
      </c>
      <c r="AL35" s="569">
        <f t="shared" si="29"/>
        <v>56929566.480000004</v>
      </c>
      <c r="AM35" s="569">
        <f t="shared" si="29"/>
        <v>56929566.480000004</v>
      </c>
      <c r="AN35" s="569">
        <f t="shared" si="29"/>
        <v>56929566.480000004</v>
      </c>
      <c r="AO35" s="569">
        <f t="shared" si="29"/>
        <v>56929566.480000004</v>
      </c>
      <c r="AP35" s="569">
        <f t="shared" si="29"/>
        <v>56929566.480000004</v>
      </c>
      <c r="AQ35" s="569">
        <f t="shared" si="29"/>
        <v>56929566.480000004</v>
      </c>
      <c r="AR35" s="569">
        <f t="shared" si="29"/>
        <v>56929566.480000004</v>
      </c>
      <c r="AS35" s="569">
        <f t="shared" si="29"/>
        <v>56929566.480000004</v>
      </c>
      <c r="AT35" s="569">
        <f t="shared" ref="AT35:CL35" si="30">$D$35*AT16</f>
        <v>56929566.480000004</v>
      </c>
      <c r="AU35" s="409">
        <f t="shared" si="30"/>
        <v>56929566.480000004</v>
      </c>
      <c r="AV35" s="409">
        <f t="shared" si="30"/>
        <v>56929566.480000004</v>
      </c>
      <c r="AW35" s="409">
        <f t="shared" si="30"/>
        <v>56929566.480000004</v>
      </c>
      <c r="AX35" s="409">
        <f t="shared" si="30"/>
        <v>56929566.480000004</v>
      </c>
      <c r="AY35" s="409">
        <f t="shared" si="30"/>
        <v>56929566.480000004</v>
      </c>
      <c r="AZ35" s="409">
        <f t="shared" si="30"/>
        <v>56929566.480000004</v>
      </c>
      <c r="BA35" s="409">
        <f t="shared" si="30"/>
        <v>56929566.480000004</v>
      </c>
      <c r="BB35" s="409">
        <f t="shared" si="30"/>
        <v>56929566.480000004</v>
      </c>
      <c r="BC35" s="409">
        <f t="shared" si="30"/>
        <v>56929566.480000004</v>
      </c>
      <c r="BD35" s="409">
        <f t="shared" si="30"/>
        <v>56929566.480000004</v>
      </c>
      <c r="BE35" s="409">
        <f t="shared" si="30"/>
        <v>56929566.480000004</v>
      </c>
      <c r="BF35" s="409">
        <f t="shared" si="30"/>
        <v>56929566.480000004</v>
      </c>
      <c r="BG35" s="409">
        <f t="shared" si="30"/>
        <v>56929566.480000004</v>
      </c>
      <c r="BH35" s="409">
        <f t="shared" si="30"/>
        <v>56929566.480000004</v>
      </c>
      <c r="BI35" s="409">
        <f t="shared" si="30"/>
        <v>56929566.480000004</v>
      </c>
      <c r="BJ35" s="409">
        <f t="shared" si="30"/>
        <v>56929566.480000004</v>
      </c>
      <c r="BK35" s="409">
        <f t="shared" si="30"/>
        <v>56929566.480000004</v>
      </c>
      <c r="BL35" s="409">
        <f t="shared" si="30"/>
        <v>56929566.480000004</v>
      </c>
      <c r="BM35" s="409">
        <f t="shared" si="30"/>
        <v>56929566.480000004</v>
      </c>
      <c r="BN35" s="409">
        <f t="shared" si="30"/>
        <v>56929566.480000004</v>
      </c>
      <c r="BO35" s="409">
        <f t="shared" si="30"/>
        <v>56929566.480000004</v>
      </c>
      <c r="BP35" s="409">
        <f t="shared" si="30"/>
        <v>56929566.480000004</v>
      </c>
      <c r="BQ35" s="409">
        <f t="shared" si="30"/>
        <v>56929566.480000004</v>
      </c>
      <c r="BR35" s="409">
        <f t="shared" si="30"/>
        <v>56929566.480000004</v>
      </c>
      <c r="BS35" s="409">
        <f t="shared" si="30"/>
        <v>56929566.480000004</v>
      </c>
      <c r="BT35" s="409">
        <f t="shared" si="30"/>
        <v>56929566.480000004</v>
      </c>
      <c r="BU35" s="409">
        <f t="shared" si="30"/>
        <v>56929566.480000004</v>
      </c>
      <c r="BV35" s="409">
        <f t="shared" si="30"/>
        <v>56929566.480000004</v>
      </c>
      <c r="BW35" s="409">
        <f t="shared" si="30"/>
        <v>56929566.480000004</v>
      </c>
      <c r="BX35" s="409">
        <f t="shared" si="30"/>
        <v>56929566.480000004</v>
      </c>
      <c r="BY35" s="409">
        <f t="shared" si="30"/>
        <v>56929566.480000004</v>
      </c>
      <c r="BZ35" s="409">
        <f t="shared" si="30"/>
        <v>56929566.480000004</v>
      </c>
      <c r="CA35" s="409">
        <f t="shared" si="30"/>
        <v>56929566.480000004</v>
      </c>
      <c r="CB35" s="409">
        <f t="shared" si="30"/>
        <v>56929566.480000004</v>
      </c>
      <c r="CC35" s="409">
        <f t="shared" si="30"/>
        <v>56929566.480000004</v>
      </c>
      <c r="CD35" s="409">
        <f t="shared" si="30"/>
        <v>56929566.480000004</v>
      </c>
      <c r="CE35" s="409">
        <f t="shared" si="30"/>
        <v>56929566.480000004</v>
      </c>
      <c r="CF35" s="409">
        <f t="shared" si="30"/>
        <v>56929566.480000004</v>
      </c>
      <c r="CG35" s="409">
        <f t="shared" si="30"/>
        <v>56929566.480000004</v>
      </c>
      <c r="CH35" s="409">
        <f t="shared" si="30"/>
        <v>56929566.480000004</v>
      </c>
      <c r="CI35" s="409">
        <f t="shared" si="30"/>
        <v>56929566.480000004</v>
      </c>
      <c r="CJ35" s="409">
        <f t="shared" si="30"/>
        <v>56929566.480000004</v>
      </c>
      <c r="CK35" s="409">
        <f t="shared" si="30"/>
        <v>56929566.480000004</v>
      </c>
      <c r="CL35" s="480">
        <f t="shared" si="30"/>
        <v>56929566.480000004</v>
      </c>
      <c r="CM35" s="406">
        <f t="shared" si="26"/>
        <v>56929566.479999959</v>
      </c>
      <c r="CN35" s="407" t="s">
        <v>438</v>
      </c>
      <c r="CO35" s="407">
        <v>2198.1265252613698</v>
      </c>
      <c r="CP35" s="407">
        <v>2198.1265252613698</v>
      </c>
      <c r="CQ35" s="407">
        <v>2198.1265252613698</v>
      </c>
      <c r="CR35" s="407">
        <v>2198.1265252613698</v>
      </c>
      <c r="CS35" s="407">
        <v>2198.1265252613698</v>
      </c>
      <c r="CT35" s="407">
        <v>2198.1265252613698</v>
      </c>
      <c r="CU35" s="407">
        <v>2198.1265252613698</v>
      </c>
      <c r="CV35" s="407">
        <v>2198.1265252613698</v>
      </c>
      <c r="CW35" s="407">
        <v>2204.6719970040999</v>
      </c>
      <c r="CX35" s="407">
        <v>2198.1265252613698</v>
      </c>
      <c r="CY35" s="407">
        <v>2204.6719970040999</v>
      </c>
      <c r="CZ35" s="407">
        <v>2211.21746874684</v>
      </c>
      <c r="DA35" s="407">
        <v>2217.7629404895802</v>
      </c>
      <c r="DB35" s="407">
        <v>2224.3084122323098</v>
      </c>
      <c r="DC35" s="407">
        <v>2230.8538839750499</v>
      </c>
      <c r="DD35" s="407">
        <v>2237.3993557177901</v>
      </c>
      <c r="DE35" s="407">
        <v>2243.9448274605202</v>
      </c>
      <c r="DF35" s="407">
        <v>2250.4902992032598</v>
      </c>
      <c r="DG35" s="407">
        <v>2257.03577094599</v>
      </c>
      <c r="DH35" s="407">
        <v>2263.5812426887301</v>
      </c>
      <c r="DI35" s="407">
        <v>2270.1267144314702</v>
      </c>
      <c r="DJ35" s="407">
        <v>2276.6721861741999</v>
      </c>
      <c r="DK35" s="407">
        <v>2283.21765791694</v>
      </c>
      <c r="DL35" s="407">
        <v>2289.7631296596801</v>
      </c>
      <c r="DM35" s="407">
        <v>2296.3086014024102</v>
      </c>
      <c r="DN35" s="407">
        <v>2302.8540731451499</v>
      </c>
      <c r="DO35" s="407">
        <v>2309.39954488788</v>
      </c>
      <c r="DP35" s="407">
        <v>2315.9450166306201</v>
      </c>
      <c r="DQ35" s="407">
        <v>2322.4904883733602</v>
      </c>
      <c r="DR35" s="407">
        <v>2329.0359601160899</v>
      </c>
      <c r="DS35" s="407">
        <v>2335.58143185883</v>
      </c>
      <c r="DT35" s="407">
        <v>2342.1269036015701</v>
      </c>
      <c r="DU35" s="407">
        <v>2348.6723753442998</v>
      </c>
      <c r="DV35" s="407">
        <v>2355.2178470870399</v>
      </c>
      <c r="DW35" s="407">
        <v>2361.76331882977</v>
      </c>
      <c r="DX35" s="407">
        <v>2368.3087905725101</v>
      </c>
      <c r="DY35" s="407">
        <v>2374.8542623152498</v>
      </c>
      <c r="DZ35" s="407">
        <v>2381.3997340579799</v>
      </c>
      <c r="EA35" s="407">
        <v>2387.94520580072</v>
      </c>
      <c r="EB35" s="407">
        <v>2394.4906775434602</v>
      </c>
      <c r="EC35" s="407">
        <v>1659</v>
      </c>
      <c r="ED35" s="407">
        <v>2237</v>
      </c>
      <c r="EE35" s="407">
        <v>2255.1410444563789</v>
      </c>
      <c r="EF35" s="407">
        <v>2146.2487431145209</v>
      </c>
      <c r="EG35" s="407">
        <v>2418.3910474276554</v>
      </c>
      <c r="EH35" s="407">
        <v>2701.6199743644243</v>
      </c>
      <c r="EI35" s="407">
        <v>2777.0407045596344</v>
      </c>
      <c r="EJ35" s="407">
        <v>2836.6205896021006</v>
      </c>
      <c r="EK35" s="407">
        <v>2780.2581602607625</v>
      </c>
      <c r="EL35" s="407">
        <v>3053.926570501239</v>
      </c>
      <c r="EM35" s="407">
        <v>2836.1664048306907</v>
      </c>
      <c r="EN35" s="407">
        <v>2611.932049598453</v>
      </c>
      <c r="EO35" s="407">
        <v>2577.919484614094</v>
      </c>
      <c r="EP35" s="407">
        <v>2856.2006891112787</v>
      </c>
      <c r="EQ35" s="407">
        <v>2469.3423214225581</v>
      </c>
      <c r="ER35" s="407">
        <v>2091.94</v>
      </c>
      <c r="ES35" s="407">
        <v>2025.12</v>
      </c>
      <c r="ET35" s="407">
        <v>2197.69</v>
      </c>
      <c r="EU35" s="407">
        <v>2450.21</v>
      </c>
      <c r="EV35" s="407">
        <v>2188.85</v>
      </c>
      <c r="EW35" s="407">
        <v>2098.58</v>
      </c>
      <c r="EX35" s="407">
        <v>2650.93</v>
      </c>
      <c r="EY35" s="407">
        <v>2588.92</v>
      </c>
      <c r="EZ35" s="407">
        <v>2922.37</v>
      </c>
      <c r="FA35" s="407">
        <v>2398.6999999999998</v>
      </c>
      <c r="FB35" s="407">
        <v>2269.4</v>
      </c>
      <c r="FC35" s="407">
        <v>1425.69</v>
      </c>
      <c r="FD35" s="407">
        <v>1908.42</v>
      </c>
      <c r="FE35" s="407">
        <v>1785.56</v>
      </c>
      <c r="FF35" s="407">
        <v>1111.8399999999999</v>
      </c>
      <c r="FG35" s="407">
        <v>1033.04</v>
      </c>
      <c r="FH35" s="407">
        <v>1321.01</v>
      </c>
      <c r="FI35" s="407">
        <v>1668.98</v>
      </c>
      <c r="FJ35" s="407">
        <v>1783.8</v>
      </c>
      <c r="FK35" s="407">
        <v>2035.2</v>
      </c>
      <c r="FL35" s="407">
        <v>2259.19</v>
      </c>
      <c r="FM35" s="407">
        <v>2699.1</v>
      </c>
      <c r="FN35" s="407">
        <v>3294.54</v>
      </c>
      <c r="FO35" s="407">
        <v>2840.46</v>
      </c>
      <c r="FP35" s="407">
        <v>2266.15</v>
      </c>
      <c r="FQ35" s="407">
        <v>2243.14</v>
      </c>
      <c r="FR35" s="407">
        <v>2506.4699999999998</v>
      </c>
      <c r="FS35" s="407">
        <v>2911.57</v>
      </c>
      <c r="FT35" s="407">
        <v>3467.2</v>
      </c>
      <c r="FU35" s="407">
        <v>3800.16</v>
      </c>
      <c r="FV35" s="408">
        <f t="shared" si="27"/>
        <v>2365.8008396414175</v>
      </c>
      <c r="FW35" s="316"/>
    </row>
    <row r="36" spans="1:179">
      <c r="A36" s="1389"/>
      <c r="B36" s="393" t="s">
        <v>399</v>
      </c>
      <c r="C36" s="394" t="s">
        <v>402</v>
      </c>
      <c r="D36" s="394">
        <v>0.51</v>
      </c>
      <c r="E36" s="1383"/>
      <c r="F36" s="480" t="s">
        <v>133</v>
      </c>
      <c r="G36" s="569">
        <f t="shared" ref="G36:R36" si="31">$D$36*G16</f>
        <v>56451.39</v>
      </c>
      <c r="H36" s="569">
        <f t="shared" si="31"/>
        <v>56451.39</v>
      </c>
      <c r="I36" s="569">
        <f t="shared" si="31"/>
        <v>56451.39</v>
      </c>
      <c r="J36" s="569">
        <f t="shared" si="31"/>
        <v>56451.39</v>
      </c>
      <c r="K36" s="569">
        <f t="shared" si="31"/>
        <v>56451.39</v>
      </c>
      <c r="L36" s="569">
        <f t="shared" si="31"/>
        <v>56451.39</v>
      </c>
      <c r="M36" s="569">
        <f t="shared" si="31"/>
        <v>56451.39</v>
      </c>
      <c r="N36" s="569">
        <f t="shared" si="31"/>
        <v>56451.39</v>
      </c>
      <c r="O36" s="569">
        <f t="shared" si="31"/>
        <v>56451.39</v>
      </c>
      <c r="P36" s="569">
        <f t="shared" si="31"/>
        <v>56451.39</v>
      </c>
      <c r="Q36" s="569">
        <f t="shared" si="31"/>
        <v>56451.39</v>
      </c>
      <c r="R36" s="569">
        <f t="shared" si="31"/>
        <v>56451.39</v>
      </c>
      <c r="S36" s="569">
        <f t="shared" ref="S36:AS36" si="32">$D$36*S16</f>
        <v>56451.39</v>
      </c>
      <c r="T36" s="569">
        <f t="shared" si="32"/>
        <v>56451.39</v>
      </c>
      <c r="U36" s="569">
        <f t="shared" si="32"/>
        <v>56451.39</v>
      </c>
      <c r="V36" s="569">
        <f t="shared" si="32"/>
        <v>56451.39</v>
      </c>
      <c r="W36" s="569">
        <f t="shared" si="32"/>
        <v>56451.39</v>
      </c>
      <c r="X36" s="569">
        <f t="shared" si="32"/>
        <v>56451.39</v>
      </c>
      <c r="Y36" s="569">
        <f t="shared" si="32"/>
        <v>56451.39</v>
      </c>
      <c r="Z36" s="569">
        <f t="shared" si="32"/>
        <v>56451.39</v>
      </c>
      <c r="AA36" s="569">
        <f t="shared" si="32"/>
        <v>56451.39</v>
      </c>
      <c r="AB36" s="569">
        <f t="shared" si="32"/>
        <v>56451.39</v>
      </c>
      <c r="AC36" s="569">
        <f t="shared" si="32"/>
        <v>56451.39</v>
      </c>
      <c r="AD36" s="569">
        <f t="shared" si="32"/>
        <v>56451.39</v>
      </c>
      <c r="AE36" s="569">
        <f t="shared" si="32"/>
        <v>56451.39</v>
      </c>
      <c r="AF36" s="569">
        <f t="shared" si="32"/>
        <v>56451.39</v>
      </c>
      <c r="AG36" s="569">
        <f t="shared" si="32"/>
        <v>56451.39</v>
      </c>
      <c r="AH36" s="569">
        <f t="shared" si="32"/>
        <v>56451.39</v>
      </c>
      <c r="AI36" s="569">
        <f t="shared" si="32"/>
        <v>56451.39</v>
      </c>
      <c r="AJ36" s="569">
        <f t="shared" si="32"/>
        <v>56451.39</v>
      </c>
      <c r="AK36" s="569">
        <f t="shared" si="32"/>
        <v>56451.39</v>
      </c>
      <c r="AL36" s="569">
        <f t="shared" si="32"/>
        <v>56451.39</v>
      </c>
      <c r="AM36" s="569">
        <f t="shared" si="32"/>
        <v>56451.39</v>
      </c>
      <c r="AN36" s="569">
        <f t="shared" si="32"/>
        <v>56451.39</v>
      </c>
      <c r="AO36" s="569">
        <f t="shared" si="32"/>
        <v>56451.39</v>
      </c>
      <c r="AP36" s="569">
        <f t="shared" si="32"/>
        <v>56451.39</v>
      </c>
      <c r="AQ36" s="569">
        <f t="shared" si="32"/>
        <v>56451.39</v>
      </c>
      <c r="AR36" s="569">
        <f t="shared" si="32"/>
        <v>56451.39</v>
      </c>
      <c r="AS36" s="569">
        <f t="shared" si="32"/>
        <v>56451.39</v>
      </c>
      <c r="AT36" s="569">
        <f t="shared" ref="AT36:CL36" si="33">$D$36*AT16</f>
        <v>56451.39</v>
      </c>
      <c r="AU36" s="409">
        <f t="shared" si="33"/>
        <v>56451.39</v>
      </c>
      <c r="AV36" s="409">
        <f t="shared" si="33"/>
        <v>56451.39</v>
      </c>
      <c r="AW36" s="409">
        <f t="shared" si="33"/>
        <v>56451.39</v>
      </c>
      <c r="AX36" s="409">
        <f t="shared" si="33"/>
        <v>56451.39</v>
      </c>
      <c r="AY36" s="409">
        <f t="shared" si="33"/>
        <v>56451.39</v>
      </c>
      <c r="AZ36" s="409">
        <f t="shared" si="33"/>
        <v>56451.39</v>
      </c>
      <c r="BA36" s="409">
        <f t="shared" si="33"/>
        <v>56451.39</v>
      </c>
      <c r="BB36" s="409">
        <f t="shared" si="33"/>
        <v>56451.39</v>
      </c>
      <c r="BC36" s="409">
        <f t="shared" si="33"/>
        <v>56451.39</v>
      </c>
      <c r="BD36" s="409">
        <f t="shared" si="33"/>
        <v>56451.39</v>
      </c>
      <c r="BE36" s="409">
        <f t="shared" si="33"/>
        <v>56451.39</v>
      </c>
      <c r="BF36" s="409">
        <f t="shared" si="33"/>
        <v>56451.39</v>
      </c>
      <c r="BG36" s="409">
        <f t="shared" si="33"/>
        <v>56451.39</v>
      </c>
      <c r="BH36" s="409">
        <f t="shared" si="33"/>
        <v>56451.39</v>
      </c>
      <c r="BI36" s="409">
        <f t="shared" si="33"/>
        <v>56451.39</v>
      </c>
      <c r="BJ36" s="409">
        <f t="shared" si="33"/>
        <v>56451.39</v>
      </c>
      <c r="BK36" s="409">
        <f t="shared" si="33"/>
        <v>56451.39</v>
      </c>
      <c r="BL36" s="409">
        <f t="shared" si="33"/>
        <v>56451.39</v>
      </c>
      <c r="BM36" s="409">
        <f t="shared" si="33"/>
        <v>56451.39</v>
      </c>
      <c r="BN36" s="409">
        <f t="shared" si="33"/>
        <v>56451.39</v>
      </c>
      <c r="BO36" s="409">
        <f t="shared" si="33"/>
        <v>56451.39</v>
      </c>
      <c r="BP36" s="409">
        <f t="shared" si="33"/>
        <v>56451.39</v>
      </c>
      <c r="BQ36" s="409">
        <f t="shared" si="33"/>
        <v>56451.39</v>
      </c>
      <c r="BR36" s="409">
        <f t="shared" si="33"/>
        <v>56451.39</v>
      </c>
      <c r="BS36" s="409">
        <f t="shared" si="33"/>
        <v>56451.39</v>
      </c>
      <c r="BT36" s="409">
        <f t="shared" si="33"/>
        <v>56451.39</v>
      </c>
      <c r="BU36" s="409">
        <f t="shared" si="33"/>
        <v>56451.39</v>
      </c>
      <c r="BV36" s="409">
        <f t="shared" si="33"/>
        <v>56451.39</v>
      </c>
      <c r="BW36" s="409">
        <f t="shared" si="33"/>
        <v>56451.39</v>
      </c>
      <c r="BX36" s="409">
        <f t="shared" si="33"/>
        <v>56451.39</v>
      </c>
      <c r="BY36" s="409">
        <f t="shared" si="33"/>
        <v>56451.39</v>
      </c>
      <c r="BZ36" s="409">
        <f t="shared" si="33"/>
        <v>56451.39</v>
      </c>
      <c r="CA36" s="409">
        <f t="shared" si="33"/>
        <v>56451.39</v>
      </c>
      <c r="CB36" s="409">
        <f t="shared" si="33"/>
        <v>56451.39</v>
      </c>
      <c r="CC36" s="409">
        <f t="shared" si="33"/>
        <v>56451.39</v>
      </c>
      <c r="CD36" s="409">
        <f t="shared" si="33"/>
        <v>56451.39</v>
      </c>
      <c r="CE36" s="409">
        <f t="shared" si="33"/>
        <v>56451.39</v>
      </c>
      <c r="CF36" s="409">
        <f t="shared" si="33"/>
        <v>56451.39</v>
      </c>
      <c r="CG36" s="409">
        <f t="shared" si="33"/>
        <v>56451.39</v>
      </c>
      <c r="CH36" s="409">
        <f t="shared" si="33"/>
        <v>56451.39</v>
      </c>
      <c r="CI36" s="409">
        <f t="shared" si="33"/>
        <v>56451.39</v>
      </c>
      <c r="CJ36" s="409">
        <f t="shared" si="33"/>
        <v>56451.39</v>
      </c>
      <c r="CK36" s="409">
        <f t="shared" si="33"/>
        <v>56451.39</v>
      </c>
      <c r="CL36" s="480">
        <f t="shared" si="33"/>
        <v>56451.39</v>
      </c>
      <c r="CM36" s="406">
        <f t="shared" si="26"/>
        <v>56451.39</v>
      </c>
      <c r="CN36" s="407" t="s">
        <v>439</v>
      </c>
      <c r="CO36" s="407">
        <v>36.979805128205101</v>
      </c>
      <c r="CP36" s="407">
        <v>36.979805128205101</v>
      </c>
      <c r="CQ36" s="407">
        <v>36.979805128205101</v>
      </c>
      <c r="CR36" s="407">
        <v>36.979805128205101</v>
      </c>
      <c r="CS36" s="407">
        <v>36.979805128205101</v>
      </c>
      <c r="CT36" s="407">
        <v>36.979805128205101</v>
      </c>
      <c r="CU36" s="407">
        <v>36.979805128205101</v>
      </c>
      <c r="CV36" s="407">
        <v>36.979805128205101</v>
      </c>
      <c r="CW36" s="407">
        <v>37.756290598290597</v>
      </c>
      <c r="CX36" s="407">
        <v>36.979805128205101</v>
      </c>
      <c r="CY36" s="407">
        <v>37.756290598290597</v>
      </c>
      <c r="CZ36" s="407">
        <v>38.532776068376101</v>
      </c>
      <c r="DA36" s="407">
        <v>39.309261538461499</v>
      </c>
      <c r="DB36" s="407">
        <v>40.085747008547003</v>
      </c>
      <c r="DC36" s="407">
        <v>40.8622324786325</v>
      </c>
      <c r="DD36" s="407">
        <v>41.638717948718003</v>
      </c>
      <c r="DE36" s="407">
        <v>42.415203418803401</v>
      </c>
      <c r="DF36" s="407">
        <v>43.191688888888898</v>
      </c>
      <c r="DG36" s="407">
        <v>43.968174358974402</v>
      </c>
      <c r="DH36" s="407">
        <v>44.744659829059799</v>
      </c>
      <c r="DI36" s="407">
        <v>45.521145299145303</v>
      </c>
      <c r="DJ36" s="407">
        <v>46.2976307692308</v>
      </c>
      <c r="DK36" s="407">
        <v>47.074116239316197</v>
      </c>
      <c r="DL36" s="407">
        <v>47.850601709401701</v>
      </c>
      <c r="DM36" s="407">
        <v>48.627087179487198</v>
      </c>
      <c r="DN36" s="407">
        <v>49.403572649572702</v>
      </c>
      <c r="DO36" s="407">
        <v>50.180058119658099</v>
      </c>
      <c r="DP36" s="407">
        <v>50.956543589743603</v>
      </c>
      <c r="DQ36" s="407">
        <v>51.7330290598291</v>
      </c>
      <c r="DR36" s="407">
        <v>52.509514529914497</v>
      </c>
      <c r="DS36" s="407">
        <v>53.286000000000001</v>
      </c>
      <c r="DT36" s="407">
        <v>54.062485470085498</v>
      </c>
      <c r="DU36" s="407">
        <v>54.838970940170903</v>
      </c>
      <c r="DV36" s="407">
        <v>55.6154564102564</v>
      </c>
      <c r="DW36" s="407">
        <v>56.391941880341903</v>
      </c>
      <c r="DX36" s="407">
        <v>57.1684273504274</v>
      </c>
      <c r="DY36" s="407">
        <v>57.944912820512798</v>
      </c>
      <c r="DZ36" s="407">
        <v>58.721398290598302</v>
      </c>
      <c r="EA36" s="407">
        <v>59.497883760683798</v>
      </c>
      <c r="EB36" s="407">
        <v>60.274369230769203</v>
      </c>
      <c r="EC36" s="407">
        <v>56.1</v>
      </c>
      <c r="ED36" s="407">
        <v>57.6</v>
      </c>
      <c r="EE36" s="407">
        <v>55.7</v>
      </c>
      <c r="EF36" s="407">
        <v>59.95</v>
      </c>
      <c r="EG36" s="407">
        <v>68.569999999999993</v>
      </c>
      <c r="EH36" s="407">
        <v>79.7</v>
      </c>
      <c r="EI36" s="407">
        <v>85.01</v>
      </c>
      <c r="EJ36" s="407">
        <v>73.42</v>
      </c>
      <c r="EK36" s="407">
        <v>68.25</v>
      </c>
      <c r="EL36" s="407">
        <v>53.25</v>
      </c>
      <c r="EM36" s="407">
        <v>65.459999999999994</v>
      </c>
      <c r="EN36" s="407">
        <v>60.93</v>
      </c>
      <c r="EO36" s="407">
        <v>59.7</v>
      </c>
      <c r="EP36" s="407">
        <v>58.94</v>
      </c>
      <c r="EQ36" s="407">
        <v>57.95</v>
      </c>
      <c r="ER36" s="407">
        <v>78.48</v>
      </c>
      <c r="ES36" s="407">
        <v>82.51</v>
      </c>
      <c r="ET36" s="407">
        <v>83.6</v>
      </c>
      <c r="EU36" s="407">
        <v>102.15</v>
      </c>
      <c r="EV36" s="407">
        <v>74.58</v>
      </c>
      <c r="EW36" s="407">
        <v>78.45</v>
      </c>
      <c r="EX36" s="407">
        <v>76.87</v>
      </c>
      <c r="EY36" s="407">
        <v>82.39</v>
      </c>
      <c r="EZ36" s="407">
        <v>77.88</v>
      </c>
      <c r="FA36" s="407">
        <v>75.39</v>
      </c>
      <c r="FB36" s="407">
        <v>66.849999999999994</v>
      </c>
      <c r="FC36" s="407">
        <v>64.58</v>
      </c>
      <c r="FD36" s="407">
        <v>84.97</v>
      </c>
      <c r="FE36" s="407">
        <v>78.069999999999993</v>
      </c>
      <c r="FF36" s="407">
        <v>71.17</v>
      </c>
      <c r="FG36" s="407">
        <v>68.23</v>
      </c>
      <c r="FH36" s="407">
        <v>69.2</v>
      </c>
      <c r="FI36" s="407">
        <v>71.16</v>
      </c>
      <c r="FJ36" s="407">
        <v>82.9</v>
      </c>
      <c r="FK36" s="407">
        <v>88.88</v>
      </c>
      <c r="FL36" s="407">
        <v>80.14</v>
      </c>
      <c r="FM36" s="407">
        <v>89.43</v>
      </c>
      <c r="FN36" s="407">
        <v>102.78</v>
      </c>
      <c r="FO36" s="407">
        <v>102.25</v>
      </c>
      <c r="FP36" s="407">
        <v>100.32</v>
      </c>
      <c r="FQ36" s="407">
        <v>81.34</v>
      </c>
      <c r="FR36" s="407">
        <v>90.67</v>
      </c>
      <c r="FS36" s="407">
        <v>91.86</v>
      </c>
      <c r="FT36" s="407">
        <v>95.99</v>
      </c>
      <c r="FU36" s="407">
        <v>94.95</v>
      </c>
      <c r="FV36" s="408">
        <f t="shared" si="27"/>
        <v>76.634888888888895</v>
      </c>
      <c r="FW36" s="316"/>
    </row>
    <row r="37" spans="1:179" ht="21.75" customHeight="1">
      <c r="A37" s="1389"/>
      <c r="B37" s="393" t="s">
        <v>399</v>
      </c>
      <c r="C37" s="394" t="s">
        <v>407</v>
      </c>
      <c r="D37" s="394">
        <v>0.14000000000000001</v>
      </c>
      <c r="E37" s="1383"/>
      <c r="F37" s="480" t="s">
        <v>132</v>
      </c>
      <c r="G37" s="569">
        <f t="shared" ref="G37:R37" si="34">$D$37*G16</f>
        <v>15496.460000000001</v>
      </c>
      <c r="H37" s="569">
        <f t="shared" si="34"/>
        <v>15496.460000000001</v>
      </c>
      <c r="I37" s="569">
        <f t="shared" si="34"/>
        <v>15496.460000000001</v>
      </c>
      <c r="J37" s="569">
        <f t="shared" si="34"/>
        <v>15496.460000000001</v>
      </c>
      <c r="K37" s="569">
        <f t="shared" si="34"/>
        <v>15496.460000000001</v>
      </c>
      <c r="L37" s="569">
        <f t="shared" si="34"/>
        <v>15496.460000000001</v>
      </c>
      <c r="M37" s="569">
        <f t="shared" si="34"/>
        <v>15496.460000000001</v>
      </c>
      <c r="N37" s="569">
        <f t="shared" si="34"/>
        <v>15496.460000000001</v>
      </c>
      <c r="O37" s="569">
        <f t="shared" si="34"/>
        <v>15496.460000000001</v>
      </c>
      <c r="P37" s="569">
        <f t="shared" si="34"/>
        <v>15496.460000000001</v>
      </c>
      <c r="Q37" s="569">
        <f t="shared" si="34"/>
        <v>15496.460000000001</v>
      </c>
      <c r="R37" s="569">
        <f t="shared" si="34"/>
        <v>15496.460000000001</v>
      </c>
      <c r="S37" s="569">
        <f t="shared" ref="S37:AS37" si="35">$D$37*S16</f>
        <v>15496.460000000001</v>
      </c>
      <c r="T37" s="569">
        <f t="shared" si="35"/>
        <v>15496.460000000001</v>
      </c>
      <c r="U37" s="569">
        <f t="shared" si="35"/>
        <v>15496.460000000001</v>
      </c>
      <c r="V37" s="569">
        <f t="shared" si="35"/>
        <v>15496.460000000001</v>
      </c>
      <c r="W37" s="569">
        <f t="shared" si="35"/>
        <v>15496.460000000001</v>
      </c>
      <c r="X37" s="569">
        <f t="shared" si="35"/>
        <v>15496.460000000001</v>
      </c>
      <c r="Y37" s="569">
        <f t="shared" si="35"/>
        <v>15496.460000000001</v>
      </c>
      <c r="Z37" s="569">
        <f t="shared" si="35"/>
        <v>15496.460000000001</v>
      </c>
      <c r="AA37" s="569">
        <f t="shared" si="35"/>
        <v>15496.460000000001</v>
      </c>
      <c r="AB37" s="569">
        <f t="shared" si="35"/>
        <v>15496.460000000001</v>
      </c>
      <c r="AC37" s="569">
        <f t="shared" si="35"/>
        <v>15496.460000000001</v>
      </c>
      <c r="AD37" s="569">
        <f t="shared" si="35"/>
        <v>15496.460000000001</v>
      </c>
      <c r="AE37" s="569">
        <f t="shared" si="35"/>
        <v>15496.460000000001</v>
      </c>
      <c r="AF37" s="569">
        <f t="shared" si="35"/>
        <v>15496.460000000001</v>
      </c>
      <c r="AG37" s="569">
        <f t="shared" si="35"/>
        <v>15496.460000000001</v>
      </c>
      <c r="AH37" s="569">
        <f t="shared" si="35"/>
        <v>15496.460000000001</v>
      </c>
      <c r="AI37" s="569">
        <f t="shared" si="35"/>
        <v>15496.460000000001</v>
      </c>
      <c r="AJ37" s="569">
        <f t="shared" si="35"/>
        <v>15496.460000000001</v>
      </c>
      <c r="AK37" s="569">
        <f t="shared" si="35"/>
        <v>15496.460000000001</v>
      </c>
      <c r="AL37" s="569">
        <f t="shared" si="35"/>
        <v>15496.460000000001</v>
      </c>
      <c r="AM37" s="569">
        <f t="shared" si="35"/>
        <v>15496.460000000001</v>
      </c>
      <c r="AN37" s="569">
        <f t="shared" si="35"/>
        <v>15496.460000000001</v>
      </c>
      <c r="AO37" s="569">
        <f t="shared" si="35"/>
        <v>15496.460000000001</v>
      </c>
      <c r="AP37" s="569">
        <f t="shared" si="35"/>
        <v>15496.460000000001</v>
      </c>
      <c r="AQ37" s="569">
        <f t="shared" si="35"/>
        <v>15496.460000000001</v>
      </c>
      <c r="AR37" s="569">
        <f t="shared" si="35"/>
        <v>15496.460000000001</v>
      </c>
      <c r="AS37" s="569">
        <f t="shared" si="35"/>
        <v>15496.460000000001</v>
      </c>
      <c r="AT37" s="569">
        <f t="shared" ref="AT37:CL37" si="36">$D$37*AT16</f>
        <v>15496.460000000001</v>
      </c>
      <c r="AU37" s="409">
        <f t="shared" si="36"/>
        <v>15496.460000000001</v>
      </c>
      <c r="AV37" s="409">
        <f t="shared" si="36"/>
        <v>15496.460000000001</v>
      </c>
      <c r="AW37" s="409">
        <f t="shared" si="36"/>
        <v>15496.460000000001</v>
      </c>
      <c r="AX37" s="409">
        <f t="shared" si="36"/>
        <v>15496.460000000001</v>
      </c>
      <c r="AY37" s="409">
        <f t="shared" si="36"/>
        <v>15496.460000000001</v>
      </c>
      <c r="AZ37" s="409">
        <f t="shared" si="36"/>
        <v>15496.460000000001</v>
      </c>
      <c r="BA37" s="409">
        <f t="shared" si="36"/>
        <v>15496.460000000001</v>
      </c>
      <c r="BB37" s="409">
        <f t="shared" si="36"/>
        <v>15496.460000000001</v>
      </c>
      <c r="BC37" s="409">
        <f t="shared" si="36"/>
        <v>15496.460000000001</v>
      </c>
      <c r="BD37" s="409">
        <f t="shared" si="36"/>
        <v>15496.460000000001</v>
      </c>
      <c r="BE37" s="409">
        <f t="shared" si="36"/>
        <v>15496.460000000001</v>
      </c>
      <c r="BF37" s="409">
        <f t="shared" si="36"/>
        <v>15496.460000000001</v>
      </c>
      <c r="BG37" s="409">
        <f t="shared" si="36"/>
        <v>15496.460000000001</v>
      </c>
      <c r="BH37" s="409">
        <f t="shared" si="36"/>
        <v>15496.460000000001</v>
      </c>
      <c r="BI37" s="409">
        <f t="shared" si="36"/>
        <v>15496.460000000001</v>
      </c>
      <c r="BJ37" s="409">
        <f t="shared" si="36"/>
        <v>15496.460000000001</v>
      </c>
      <c r="BK37" s="409">
        <f t="shared" si="36"/>
        <v>15496.460000000001</v>
      </c>
      <c r="BL37" s="409">
        <f t="shared" si="36"/>
        <v>15496.460000000001</v>
      </c>
      <c r="BM37" s="409">
        <f t="shared" si="36"/>
        <v>15496.460000000001</v>
      </c>
      <c r="BN37" s="409">
        <f t="shared" si="36"/>
        <v>15496.460000000001</v>
      </c>
      <c r="BO37" s="409">
        <f t="shared" si="36"/>
        <v>15496.460000000001</v>
      </c>
      <c r="BP37" s="409">
        <f t="shared" si="36"/>
        <v>15496.460000000001</v>
      </c>
      <c r="BQ37" s="409">
        <f t="shared" si="36"/>
        <v>15496.460000000001</v>
      </c>
      <c r="BR37" s="409">
        <f t="shared" si="36"/>
        <v>15496.460000000001</v>
      </c>
      <c r="BS37" s="409">
        <f t="shared" si="36"/>
        <v>15496.460000000001</v>
      </c>
      <c r="BT37" s="409">
        <f t="shared" si="36"/>
        <v>15496.460000000001</v>
      </c>
      <c r="BU37" s="409">
        <f t="shared" si="36"/>
        <v>15496.460000000001</v>
      </c>
      <c r="BV37" s="409">
        <f t="shared" si="36"/>
        <v>15496.460000000001</v>
      </c>
      <c r="BW37" s="409">
        <f t="shared" si="36"/>
        <v>15496.460000000001</v>
      </c>
      <c r="BX37" s="409">
        <f t="shared" si="36"/>
        <v>15496.460000000001</v>
      </c>
      <c r="BY37" s="409">
        <f t="shared" si="36"/>
        <v>15496.460000000001</v>
      </c>
      <c r="BZ37" s="409">
        <f t="shared" si="36"/>
        <v>15496.460000000001</v>
      </c>
      <c r="CA37" s="409">
        <f t="shared" si="36"/>
        <v>15496.460000000001</v>
      </c>
      <c r="CB37" s="409">
        <f t="shared" si="36"/>
        <v>15496.460000000001</v>
      </c>
      <c r="CC37" s="409">
        <f t="shared" si="36"/>
        <v>15496.460000000001</v>
      </c>
      <c r="CD37" s="409">
        <f t="shared" si="36"/>
        <v>15496.460000000001</v>
      </c>
      <c r="CE37" s="409">
        <f t="shared" si="36"/>
        <v>15496.460000000001</v>
      </c>
      <c r="CF37" s="409">
        <f t="shared" si="36"/>
        <v>15496.460000000001</v>
      </c>
      <c r="CG37" s="409">
        <f t="shared" si="36"/>
        <v>15496.460000000001</v>
      </c>
      <c r="CH37" s="409">
        <f t="shared" si="36"/>
        <v>15496.460000000001</v>
      </c>
      <c r="CI37" s="409">
        <f t="shared" si="36"/>
        <v>15496.460000000001</v>
      </c>
      <c r="CJ37" s="409">
        <f t="shared" si="36"/>
        <v>15496.460000000001</v>
      </c>
      <c r="CK37" s="409">
        <f t="shared" si="36"/>
        <v>15496.460000000001</v>
      </c>
      <c r="CL37" s="480">
        <f t="shared" si="36"/>
        <v>15496.460000000001</v>
      </c>
      <c r="CM37" s="406">
        <f t="shared" si="26"/>
        <v>15496.459999999983</v>
      </c>
      <c r="CN37" s="407" t="s">
        <v>208</v>
      </c>
      <c r="CO37" s="407">
        <v>3.25</v>
      </c>
      <c r="CP37" s="407">
        <v>3.25</v>
      </c>
      <c r="CQ37" s="407">
        <v>3.25</v>
      </c>
      <c r="CR37" s="407">
        <v>3.25</v>
      </c>
      <c r="CS37" s="407">
        <v>3.25</v>
      </c>
      <c r="CT37" s="407">
        <v>3.5</v>
      </c>
      <c r="CU37" s="407">
        <v>3.5</v>
      </c>
      <c r="CV37" s="407">
        <v>3.5</v>
      </c>
      <c r="CW37" s="407">
        <v>3.5</v>
      </c>
      <c r="CX37" s="407">
        <v>3.5</v>
      </c>
      <c r="CY37" s="407">
        <v>3.5</v>
      </c>
      <c r="CZ37" s="407">
        <v>3.5</v>
      </c>
      <c r="DA37" s="407">
        <v>3.5</v>
      </c>
      <c r="DB37" s="407">
        <v>3.5</v>
      </c>
      <c r="DC37" s="407">
        <v>3.5</v>
      </c>
      <c r="DD37" s="407">
        <v>3.5</v>
      </c>
      <c r="DE37" s="407">
        <v>3.5574974358974401</v>
      </c>
      <c r="DF37" s="407">
        <v>3.5365333333333302</v>
      </c>
      <c r="DG37" s="407">
        <v>3.5155692307692301</v>
      </c>
      <c r="DH37" s="407">
        <v>3.49460512820513</v>
      </c>
      <c r="DI37" s="407">
        <v>3.4736410256410299</v>
      </c>
      <c r="DJ37" s="407">
        <v>3.4526769230769201</v>
      </c>
      <c r="DK37" s="407">
        <v>3.43171282051282</v>
      </c>
      <c r="DL37" s="407">
        <v>3.4107487179487199</v>
      </c>
      <c r="DM37" s="407">
        <v>3.3897846153846101</v>
      </c>
      <c r="DN37" s="407">
        <v>3.36882051282051</v>
      </c>
      <c r="DO37" s="407">
        <v>3.3478564102564099</v>
      </c>
      <c r="DP37" s="407">
        <v>3.3268923076923098</v>
      </c>
      <c r="DQ37" s="407">
        <v>3.3059282051282</v>
      </c>
      <c r="DR37" s="407">
        <v>3.2849641025640999</v>
      </c>
      <c r="DS37" s="407">
        <v>3.2639999999999998</v>
      </c>
      <c r="DT37" s="407">
        <v>3.2430358974359002</v>
      </c>
      <c r="DU37" s="407">
        <v>3.2220717948717899</v>
      </c>
      <c r="DV37" s="407">
        <v>3.2011076923076902</v>
      </c>
      <c r="DW37" s="407">
        <v>3.1801435897435901</v>
      </c>
      <c r="DX37" s="407">
        <v>3.15917948717949</v>
      </c>
      <c r="DY37" s="407">
        <v>3.1382153846153802</v>
      </c>
      <c r="DZ37" s="407">
        <v>3.1172512820512801</v>
      </c>
      <c r="EA37" s="407">
        <v>3.09628717948718</v>
      </c>
      <c r="EB37" s="407">
        <v>3.0753230769230799</v>
      </c>
      <c r="EC37" s="407">
        <v>2.19</v>
      </c>
      <c r="ED37" s="407">
        <v>3.16</v>
      </c>
      <c r="EE37" s="407">
        <v>3.15</v>
      </c>
      <c r="EF37" s="407">
        <v>2.71</v>
      </c>
      <c r="EG37" s="407">
        <v>2.67</v>
      </c>
      <c r="EH37" s="407">
        <v>2.98</v>
      </c>
      <c r="EI37" s="407">
        <v>3.6</v>
      </c>
      <c r="EJ37" s="407">
        <v>3.3</v>
      </c>
      <c r="EK37" s="407">
        <v>3.19</v>
      </c>
      <c r="EL37" s="407">
        <v>3.54</v>
      </c>
      <c r="EM37" s="407">
        <v>3.04</v>
      </c>
      <c r="EN37" s="407">
        <v>2.95</v>
      </c>
      <c r="EO37" s="407">
        <v>2.5499999999999998</v>
      </c>
      <c r="EP37" s="407">
        <v>3.17</v>
      </c>
      <c r="EQ37" s="407">
        <v>2.7</v>
      </c>
      <c r="ER37" s="407">
        <v>2.14</v>
      </c>
      <c r="ES37" s="407">
        <v>2.11</v>
      </c>
      <c r="ET37" s="407">
        <v>2.31</v>
      </c>
      <c r="EU37" s="407">
        <v>2.5499999999999998</v>
      </c>
      <c r="EV37" s="407">
        <v>2.8</v>
      </c>
      <c r="EW37" s="407">
        <v>2.42</v>
      </c>
      <c r="EX37" s="407">
        <v>2.8</v>
      </c>
      <c r="EY37" s="407">
        <v>2.73</v>
      </c>
      <c r="EZ37" s="407">
        <v>2.99</v>
      </c>
      <c r="FA37" s="407">
        <v>2.38</v>
      </c>
      <c r="FB37" s="407">
        <v>2.4700000000000002</v>
      </c>
      <c r="FC37" s="407">
        <v>1.66</v>
      </c>
      <c r="FD37" s="407">
        <v>2.34</v>
      </c>
      <c r="FE37" s="407">
        <v>2.73</v>
      </c>
      <c r="FF37" s="407">
        <v>1.44</v>
      </c>
      <c r="FG37" s="407">
        <v>1.22</v>
      </c>
      <c r="FH37" s="407">
        <v>1.58</v>
      </c>
      <c r="FI37" s="407">
        <v>2.04</v>
      </c>
      <c r="FJ37" s="407">
        <v>2.15</v>
      </c>
      <c r="FK37" s="407">
        <v>2.37</v>
      </c>
      <c r="FL37" s="407">
        <v>2.61</v>
      </c>
      <c r="FM37" s="407">
        <v>2.96</v>
      </c>
      <c r="FN37" s="407">
        <v>3.52</v>
      </c>
      <c r="FO37" s="407">
        <v>3.35</v>
      </c>
      <c r="FP37" s="407">
        <v>2.69</v>
      </c>
      <c r="FQ37" s="407">
        <v>2.57</v>
      </c>
      <c r="FR37" s="407">
        <v>2.83</v>
      </c>
      <c r="FS37" s="407">
        <v>3.48</v>
      </c>
      <c r="FT37" s="407">
        <v>3.56</v>
      </c>
      <c r="FU37" s="407">
        <v>3.74</v>
      </c>
      <c r="FV37" s="408">
        <f t="shared" si="27"/>
        <v>2.6986666666666661</v>
      </c>
      <c r="FW37" s="316"/>
    </row>
    <row r="38" spans="1:179">
      <c r="A38" s="1389"/>
      <c r="B38" s="393" t="s">
        <v>399</v>
      </c>
      <c r="C38" s="394" t="s">
        <v>361</v>
      </c>
      <c r="D38" s="394">
        <v>15.58</v>
      </c>
      <c r="E38" s="1383"/>
      <c r="F38" s="480" t="s">
        <v>131</v>
      </c>
      <c r="G38" s="569">
        <f t="shared" ref="G38:R38" si="37">$D$38*G16</f>
        <v>1724534.62</v>
      </c>
      <c r="H38" s="569">
        <f t="shared" si="37"/>
        <v>1724534.62</v>
      </c>
      <c r="I38" s="569">
        <f t="shared" si="37"/>
        <v>1724534.62</v>
      </c>
      <c r="J38" s="569">
        <f t="shared" si="37"/>
        <v>1724534.62</v>
      </c>
      <c r="K38" s="569">
        <f t="shared" si="37"/>
        <v>1724534.62</v>
      </c>
      <c r="L38" s="569">
        <f t="shared" si="37"/>
        <v>1724534.62</v>
      </c>
      <c r="M38" s="569">
        <f t="shared" si="37"/>
        <v>1724534.62</v>
      </c>
      <c r="N38" s="569">
        <f t="shared" si="37"/>
        <v>1724534.62</v>
      </c>
      <c r="O38" s="569">
        <f t="shared" si="37"/>
        <v>1724534.62</v>
      </c>
      <c r="P38" s="569">
        <f t="shared" si="37"/>
        <v>1724534.62</v>
      </c>
      <c r="Q38" s="569">
        <f t="shared" si="37"/>
        <v>1724534.62</v>
      </c>
      <c r="R38" s="569">
        <f t="shared" si="37"/>
        <v>1724534.62</v>
      </c>
      <c r="S38" s="569">
        <f t="shared" ref="S38:AS38" si="38">$D$38*S16</f>
        <v>1724534.62</v>
      </c>
      <c r="T38" s="569">
        <f t="shared" si="38"/>
        <v>1724534.62</v>
      </c>
      <c r="U38" s="569">
        <f t="shared" si="38"/>
        <v>1724534.62</v>
      </c>
      <c r="V38" s="569">
        <f t="shared" si="38"/>
        <v>1724534.62</v>
      </c>
      <c r="W38" s="569">
        <f t="shared" si="38"/>
        <v>1724534.62</v>
      </c>
      <c r="X38" s="569">
        <f t="shared" si="38"/>
        <v>1724534.62</v>
      </c>
      <c r="Y38" s="569">
        <f t="shared" si="38"/>
        <v>1724534.62</v>
      </c>
      <c r="Z38" s="569">
        <f t="shared" si="38"/>
        <v>1724534.62</v>
      </c>
      <c r="AA38" s="569">
        <f t="shared" si="38"/>
        <v>1724534.62</v>
      </c>
      <c r="AB38" s="569">
        <f t="shared" si="38"/>
        <v>1724534.62</v>
      </c>
      <c r="AC38" s="569">
        <f t="shared" si="38"/>
        <v>1724534.62</v>
      </c>
      <c r="AD38" s="569">
        <f t="shared" si="38"/>
        <v>1724534.62</v>
      </c>
      <c r="AE38" s="569">
        <f t="shared" si="38"/>
        <v>1724534.62</v>
      </c>
      <c r="AF38" s="569">
        <f t="shared" si="38"/>
        <v>1724534.62</v>
      </c>
      <c r="AG38" s="569">
        <f t="shared" si="38"/>
        <v>1724534.62</v>
      </c>
      <c r="AH38" s="569">
        <f t="shared" si="38"/>
        <v>1724534.62</v>
      </c>
      <c r="AI38" s="569">
        <f t="shared" si="38"/>
        <v>1724534.62</v>
      </c>
      <c r="AJ38" s="569">
        <f t="shared" si="38"/>
        <v>1724534.62</v>
      </c>
      <c r="AK38" s="569">
        <f t="shared" si="38"/>
        <v>1724534.62</v>
      </c>
      <c r="AL38" s="569">
        <f t="shared" si="38"/>
        <v>1724534.62</v>
      </c>
      <c r="AM38" s="569">
        <f t="shared" si="38"/>
        <v>1724534.62</v>
      </c>
      <c r="AN38" s="569">
        <f t="shared" si="38"/>
        <v>1724534.62</v>
      </c>
      <c r="AO38" s="569">
        <f t="shared" si="38"/>
        <v>1724534.62</v>
      </c>
      <c r="AP38" s="569">
        <f t="shared" si="38"/>
        <v>1724534.62</v>
      </c>
      <c r="AQ38" s="569">
        <f t="shared" si="38"/>
        <v>1724534.62</v>
      </c>
      <c r="AR38" s="569">
        <f t="shared" si="38"/>
        <v>1724534.62</v>
      </c>
      <c r="AS38" s="569">
        <f t="shared" si="38"/>
        <v>1724534.62</v>
      </c>
      <c r="AT38" s="569">
        <f t="shared" ref="AT38:CL38" si="39">$D$38*AT16</f>
        <v>1724534.62</v>
      </c>
      <c r="AU38" s="409">
        <f t="shared" si="39"/>
        <v>1724534.62</v>
      </c>
      <c r="AV38" s="409">
        <f t="shared" si="39"/>
        <v>1724534.62</v>
      </c>
      <c r="AW38" s="409">
        <f t="shared" si="39"/>
        <v>1724534.62</v>
      </c>
      <c r="AX38" s="409">
        <f t="shared" si="39"/>
        <v>1724534.62</v>
      </c>
      <c r="AY38" s="409">
        <f t="shared" si="39"/>
        <v>1724534.62</v>
      </c>
      <c r="AZ38" s="409">
        <f t="shared" si="39"/>
        <v>1724534.62</v>
      </c>
      <c r="BA38" s="409">
        <f t="shared" si="39"/>
        <v>1724534.62</v>
      </c>
      <c r="BB38" s="409">
        <f t="shared" si="39"/>
        <v>1724534.62</v>
      </c>
      <c r="BC38" s="409">
        <f t="shared" si="39"/>
        <v>1724534.62</v>
      </c>
      <c r="BD38" s="409">
        <f t="shared" si="39"/>
        <v>1724534.62</v>
      </c>
      <c r="BE38" s="409">
        <f t="shared" si="39"/>
        <v>1724534.62</v>
      </c>
      <c r="BF38" s="409">
        <f t="shared" si="39"/>
        <v>1724534.62</v>
      </c>
      <c r="BG38" s="409">
        <f t="shared" si="39"/>
        <v>1724534.62</v>
      </c>
      <c r="BH38" s="409">
        <f t="shared" si="39"/>
        <v>1724534.62</v>
      </c>
      <c r="BI38" s="409">
        <f t="shared" si="39"/>
        <v>1724534.62</v>
      </c>
      <c r="BJ38" s="409">
        <f t="shared" si="39"/>
        <v>1724534.62</v>
      </c>
      <c r="BK38" s="409">
        <f t="shared" si="39"/>
        <v>1724534.62</v>
      </c>
      <c r="BL38" s="409">
        <f t="shared" si="39"/>
        <v>1724534.62</v>
      </c>
      <c r="BM38" s="409">
        <f t="shared" si="39"/>
        <v>1724534.62</v>
      </c>
      <c r="BN38" s="409">
        <f t="shared" si="39"/>
        <v>1724534.62</v>
      </c>
      <c r="BO38" s="409">
        <f t="shared" si="39"/>
        <v>1724534.62</v>
      </c>
      <c r="BP38" s="409">
        <f t="shared" si="39"/>
        <v>1724534.62</v>
      </c>
      <c r="BQ38" s="409">
        <f t="shared" si="39"/>
        <v>1724534.62</v>
      </c>
      <c r="BR38" s="409">
        <f t="shared" si="39"/>
        <v>1724534.62</v>
      </c>
      <c r="BS38" s="409">
        <f t="shared" si="39"/>
        <v>1724534.62</v>
      </c>
      <c r="BT38" s="409">
        <f t="shared" si="39"/>
        <v>1724534.62</v>
      </c>
      <c r="BU38" s="409">
        <f t="shared" si="39"/>
        <v>1724534.62</v>
      </c>
      <c r="BV38" s="409">
        <f t="shared" si="39"/>
        <v>1724534.62</v>
      </c>
      <c r="BW38" s="409">
        <f t="shared" si="39"/>
        <v>1724534.62</v>
      </c>
      <c r="BX38" s="409">
        <f t="shared" si="39"/>
        <v>1724534.62</v>
      </c>
      <c r="BY38" s="409">
        <f t="shared" si="39"/>
        <v>1724534.62</v>
      </c>
      <c r="BZ38" s="409">
        <f t="shared" si="39"/>
        <v>1724534.62</v>
      </c>
      <c r="CA38" s="409">
        <f t="shared" si="39"/>
        <v>1724534.62</v>
      </c>
      <c r="CB38" s="409">
        <f t="shared" si="39"/>
        <v>1724534.62</v>
      </c>
      <c r="CC38" s="409">
        <f t="shared" si="39"/>
        <v>1724534.62</v>
      </c>
      <c r="CD38" s="409">
        <f t="shared" si="39"/>
        <v>1724534.62</v>
      </c>
      <c r="CE38" s="409">
        <f t="shared" si="39"/>
        <v>1724534.62</v>
      </c>
      <c r="CF38" s="409">
        <f t="shared" si="39"/>
        <v>1724534.62</v>
      </c>
      <c r="CG38" s="409">
        <f t="shared" si="39"/>
        <v>1724534.62</v>
      </c>
      <c r="CH38" s="409">
        <f t="shared" si="39"/>
        <v>1724534.62</v>
      </c>
      <c r="CI38" s="409">
        <f t="shared" si="39"/>
        <v>1724534.62</v>
      </c>
      <c r="CJ38" s="409">
        <f t="shared" si="39"/>
        <v>1724534.62</v>
      </c>
      <c r="CK38" s="409">
        <f t="shared" si="39"/>
        <v>1724534.62</v>
      </c>
      <c r="CL38" s="480">
        <f t="shared" si="39"/>
        <v>1724534.62</v>
      </c>
      <c r="CM38" s="406">
        <f t="shared" si="26"/>
        <v>1724534.620000002</v>
      </c>
      <c r="CN38" s="410" t="s">
        <v>249</v>
      </c>
      <c r="CO38" s="411">
        <v>3</v>
      </c>
      <c r="CP38" s="411">
        <v>3</v>
      </c>
      <c r="CQ38" s="411">
        <v>3</v>
      </c>
      <c r="CR38" s="411">
        <v>3</v>
      </c>
      <c r="CS38" s="411">
        <v>3</v>
      </c>
      <c r="CT38" s="411">
        <v>3</v>
      </c>
      <c r="CU38" s="411">
        <v>3</v>
      </c>
      <c r="CV38" s="411">
        <v>3</v>
      </c>
      <c r="CW38" s="411">
        <v>3</v>
      </c>
      <c r="CX38" s="411">
        <v>3</v>
      </c>
      <c r="CY38" s="411">
        <v>3</v>
      </c>
      <c r="CZ38" s="411">
        <v>3</v>
      </c>
      <c r="DA38" s="411">
        <v>3</v>
      </c>
      <c r="DB38" s="411">
        <v>3</v>
      </c>
      <c r="DC38" s="411">
        <v>3</v>
      </c>
      <c r="DD38" s="411">
        <v>3</v>
      </c>
      <c r="DE38" s="411">
        <v>3</v>
      </c>
      <c r="DF38" s="411">
        <v>3</v>
      </c>
      <c r="DG38" s="411">
        <v>3</v>
      </c>
      <c r="DH38" s="411">
        <v>3</v>
      </c>
      <c r="DI38" s="411">
        <v>3</v>
      </c>
      <c r="DJ38" s="411">
        <v>3</v>
      </c>
      <c r="DK38" s="411">
        <v>3</v>
      </c>
      <c r="DL38" s="411">
        <v>3</v>
      </c>
      <c r="DM38" s="411">
        <v>3</v>
      </c>
      <c r="DN38" s="411">
        <v>3</v>
      </c>
      <c r="DO38" s="411">
        <v>3</v>
      </c>
      <c r="DP38" s="411">
        <v>3</v>
      </c>
      <c r="DQ38" s="411">
        <v>3</v>
      </c>
      <c r="DR38" s="411">
        <v>3</v>
      </c>
      <c r="DS38" s="411">
        <v>3</v>
      </c>
      <c r="DT38" s="411">
        <v>3</v>
      </c>
      <c r="DU38" s="411">
        <v>3</v>
      </c>
      <c r="DV38" s="411">
        <v>3</v>
      </c>
      <c r="DW38" s="411">
        <v>3</v>
      </c>
      <c r="DX38" s="411">
        <v>3</v>
      </c>
      <c r="DY38" s="411">
        <v>3</v>
      </c>
      <c r="DZ38" s="411">
        <v>3</v>
      </c>
      <c r="EA38" s="411">
        <v>3</v>
      </c>
      <c r="EB38" s="411">
        <v>3</v>
      </c>
      <c r="EC38" s="411">
        <v>3</v>
      </c>
      <c r="ED38" s="411">
        <v>3</v>
      </c>
      <c r="EE38" s="411">
        <v>3</v>
      </c>
      <c r="EF38" s="411">
        <v>3</v>
      </c>
      <c r="EG38" s="411">
        <v>3</v>
      </c>
      <c r="EH38" s="411">
        <v>3</v>
      </c>
      <c r="EI38" s="411">
        <v>3</v>
      </c>
      <c r="EJ38" s="411">
        <v>3</v>
      </c>
      <c r="EK38" s="411">
        <v>3</v>
      </c>
      <c r="EL38" s="411">
        <v>3</v>
      </c>
      <c r="EM38" s="411">
        <v>3</v>
      </c>
      <c r="EN38" s="411">
        <v>3</v>
      </c>
      <c r="EO38" s="411">
        <v>3</v>
      </c>
      <c r="EP38" s="411">
        <v>3</v>
      </c>
      <c r="EQ38" s="411">
        <v>3</v>
      </c>
      <c r="ER38" s="411">
        <v>3</v>
      </c>
      <c r="ES38" s="411">
        <v>3</v>
      </c>
      <c r="ET38" s="411">
        <v>3</v>
      </c>
      <c r="EU38" s="411">
        <v>3</v>
      </c>
      <c r="EV38" s="411">
        <v>3</v>
      </c>
      <c r="EW38" s="411">
        <v>3</v>
      </c>
      <c r="EX38" s="411">
        <v>3</v>
      </c>
      <c r="EY38" s="411">
        <v>3</v>
      </c>
      <c r="EZ38" s="411">
        <v>3</v>
      </c>
      <c r="FA38" s="411">
        <v>3</v>
      </c>
      <c r="FB38" s="411">
        <v>3</v>
      </c>
      <c r="FC38" s="411">
        <v>3</v>
      </c>
      <c r="FD38" s="411">
        <v>3</v>
      </c>
      <c r="FE38" s="411">
        <v>3</v>
      </c>
      <c r="FF38" s="411">
        <v>3</v>
      </c>
      <c r="FG38" s="411">
        <v>3</v>
      </c>
      <c r="FH38" s="411">
        <v>3</v>
      </c>
      <c r="FI38" s="411">
        <v>3</v>
      </c>
      <c r="FJ38" s="411">
        <v>3</v>
      </c>
      <c r="FK38" s="411">
        <v>3</v>
      </c>
      <c r="FL38" s="411">
        <v>3</v>
      </c>
      <c r="FM38" s="411">
        <v>3</v>
      </c>
      <c r="FN38" s="411">
        <v>3</v>
      </c>
      <c r="FO38" s="411">
        <v>3</v>
      </c>
      <c r="FP38" s="411">
        <v>3</v>
      </c>
      <c r="FQ38" s="411">
        <v>3</v>
      </c>
      <c r="FR38" s="411">
        <v>3</v>
      </c>
      <c r="FS38" s="411">
        <v>3</v>
      </c>
      <c r="FT38" s="411">
        <v>3</v>
      </c>
      <c r="FU38" s="411">
        <v>3</v>
      </c>
      <c r="FV38" s="408">
        <f t="shared" si="27"/>
        <v>3</v>
      </c>
      <c r="FW38" s="316"/>
    </row>
    <row r="39" spans="1:179">
      <c r="A39" s="1389"/>
      <c r="B39" s="393" t="s">
        <v>399</v>
      </c>
      <c r="C39" s="394" t="s">
        <v>361</v>
      </c>
      <c r="D39" s="394">
        <v>16.829999999999998</v>
      </c>
      <c r="E39" s="1383"/>
      <c r="F39" s="480" t="s">
        <v>408</v>
      </c>
      <c r="G39" s="569">
        <f t="shared" ref="G39:R39" si="40">16.8349994240702*G16</f>
        <v>1863449.2512509064</v>
      </c>
      <c r="H39" s="569">
        <f t="shared" si="40"/>
        <v>1863449.2512509064</v>
      </c>
      <c r="I39" s="569">
        <f t="shared" si="40"/>
        <v>1863449.2512509064</v>
      </c>
      <c r="J39" s="569">
        <f t="shared" si="40"/>
        <v>1863449.2512509064</v>
      </c>
      <c r="K39" s="569">
        <f t="shared" si="40"/>
        <v>1863449.2512509064</v>
      </c>
      <c r="L39" s="569">
        <f t="shared" si="40"/>
        <v>1863449.2512509064</v>
      </c>
      <c r="M39" s="569">
        <f t="shared" si="40"/>
        <v>1863449.2512509064</v>
      </c>
      <c r="N39" s="569">
        <f t="shared" si="40"/>
        <v>1863449.2512509064</v>
      </c>
      <c r="O39" s="569">
        <f t="shared" si="40"/>
        <v>1863449.2512509064</v>
      </c>
      <c r="P39" s="569">
        <f t="shared" si="40"/>
        <v>1863449.2512509064</v>
      </c>
      <c r="Q39" s="569">
        <f t="shared" si="40"/>
        <v>1863449.2512509064</v>
      </c>
      <c r="R39" s="569">
        <f t="shared" si="40"/>
        <v>1863449.2512509064</v>
      </c>
      <c r="S39" s="569">
        <f t="shared" ref="S39:AS39" si="41">16.8349994240702*S16</f>
        <v>1863449.2512509064</v>
      </c>
      <c r="T39" s="569">
        <f t="shared" si="41"/>
        <v>1863449.2512509064</v>
      </c>
      <c r="U39" s="569">
        <f t="shared" si="41"/>
        <v>1863449.2512509064</v>
      </c>
      <c r="V39" s="569">
        <f t="shared" si="41"/>
        <v>1863449.2512509064</v>
      </c>
      <c r="W39" s="569">
        <f t="shared" si="41"/>
        <v>1863449.2512509064</v>
      </c>
      <c r="X39" s="569">
        <f t="shared" si="41"/>
        <v>1863449.2512509064</v>
      </c>
      <c r="Y39" s="569">
        <f t="shared" si="41"/>
        <v>1863449.2512509064</v>
      </c>
      <c r="Z39" s="569">
        <f t="shared" si="41"/>
        <v>1863449.2512509064</v>
      </c>
      <c r="AA39" s="569">
        <f t="shared" si="41"/>
        <v>1863449.2512509064</v>
      </c>
      <c r="AB39" s="569">
        <f t="shared" si="41"/>
        <v>1863449.2512509064</v>
      </c>
      <c r="AC39" s="569">
        <f t="shared" si="41"/>
        <v>1863449.2512509064</v>
      </c>
      <c r="AD39" s="569">
        <f t="shared" si="41"/>
        <v>1863449.2512509064</v>
      </c>
      <c r="AE39" s="569">
        <f t="shared" si="41"/>
        <v>1863449.2512509064</v>
      </c>
      <c r="AF39" s="569">
        <f t="shared" si="41"/>
        <v>1863449.2512509064</v>
      </c>
      <c r="AG39" s="569">
        <f t="shared" si="41"/>
        <v>1863449.2512509064</v>
      </c>
      <c r="AH39" s="569">
        <f t="shared" si="41"/>
        <v>1863449.2512509064</v>
      </c>
      <c r="AI39" s="569">
        <f t="shared" si="41"/>
        <v>1863449.2512509064</v>
      </c>
      <c r="AJ39" s="569">
        <f t="shared" si="41"/>
        <v>1863449.2512509064</v>
      </c>
      <c r="AK39" s="569">
        <f t="shared" si="41"/>
        <v>1863449.2512509064</v>
      </c>
      <c r="AL39" s="569">
        <f t="shared" si="41"/>
        <v>1863449.2512509064</v>
      </c>
      <c r="AM39" s="569">
        <f t="shared" si="41"/>
        <v>1863449.2512509064</v>
      </c>
      <c r="AN39" s="569">
        <f t="shared" si="41"/>
        <v>1863449.2512509064</v>
      </c>
      <c r="AO39" s="569">
        <f t="shared" si="41"/>
        <v>1863449.2512509064</v>
      </c>
      <c r="AP39" s="569">
        <f t="shared" si="41"/>
        <v>1863449.2512509064</v>
      </c>
      <c r="AQ39" s="569">
        <f t="shared" si="41"/>
        <v>1863449.2512509064</v>
      </c>
      <c r="AR39" s="569">
        <f t="shared" si="41"/>
        <v>1863449.2512509064</v>
      </c>
      <c r="AS39" s="569">
        <f t="shared" si="41"/>
        <v>1863449.2512509064</v>
      </c>
      <c r="AT39" s="569">
        <f t="shared" ref="AT39:CL39" si="42">16.8349994240702*AT16</f>
        <v>1863449.2512509064</v>
      </c>
      <c r="AU39" s="409">
        <f t="shared" si="42"/>
        <v>1863449.2512509064</v>
      </c>
      <c r="AV39" s="409">
        <f t="shared" si="42"/>
        <v>1863449.2512509064</v>
      </c>
      <c r="AW39" s="409">
        <f t="shared" si="42"/>
        <v>1863449.2512509064</v>
      </c>
      <c r="AX39" s="409">
        <f t="shared" si="42"/>
        <v>1863449.2512509064</v>
      </c>
      <c r="AY39" s="409">
        <f t="shared" si="42"/>
        <v>1863449.2512509064</v>
      </c>
      <c r="AZ39" s="409">
        <f t="shared" si="42"/>
        <v>1863449.2512509064</v>
      </c>
      <c r="BA39" s="409">
        <f t="shared" si="42"/>
        <v>1863449.2512509064</v>
      </c>
      <c r="BB39" s="409">
        <f t="shared" si="42"/>
        <v>1863449.2512509064</v>
      </c>
      <c r="BC39" s="409">
        <f t="shared" si="42"/>
        <v>1863449.2512509064</v>
      </c>
      <c r="BD39" s="409">
        <f t="shared" si="42"/>
        <v>1863449.2512509064</v>
      </c>
      <c r="BE39" s="409">
        <f t="shared" si="42"/>
        <v>1863449.2512509064</v>
      </c>
      <c r="BF39" s="409">
        <f t="shared" si="42"/>
        <v>1863449.2512509064</v>
      </c>
      <c r="BG39" s="409">
        <f t="shared" si="42"/>
        <v>1863449.2512509064</v>
      </c>
      <c r="BH39" s="409">
        <f t="shared" si="42"/>
        <v>1863449.2512509064</v>
      </c>
      <c r="BI39" s="409">
        <f t="shared" si="42"/>
        <v>1863449.2512509064</v>
      </c>
      <c r="BJ39" s="409">
        <f t="shared" si="42"/>
        <v>1863449.2512509064</v>
      </c>
      <c r="BK39" s="409">
        <f t="shared" si="42"/>
        <v>1863449.2512509064</v>
      </c>
      <c r="BL39" s="409">
        <f t="shared" si="42"/>
        <v>1863449.2512509064</v>
      </c>
      <c r="BM39" s="409">
        <f t="shared" si="42"/>
        <v>1863449.2512509064</v>
      </c>
      <c r="BN39" s="409">
        <f t="shared" si="42"/>
        <v>1863449.2512509064</v>
      </c>
      <c r="BO39" s="409">
        <f t="shared" si="42"/>
        <v>1863449.2512509064</v>
      </c>
      <c r="BP39" s="409">
        <f t="shared" si="42"/>
        <v>1863449.2512509064</v>
      </c>
      <c r="BQ39" s="409">
        <f t="shared" si="42"/>
        <v>1863449.2512509064</v>
      </c>
      <c r="BR39" s="409">
        <f t="shared" si="42"/>
        <v>1863449.2512509064</v>
      </c>
      <c r="BS39" s="409">
        <f t="shared" si="42"/>
        <v>1863449.2512509064</v>
      </c>
      <c r="BT39" s="409">
        <f t="shared" si="42"/>
        <v>1863449.2512509064</v>
      </c>
      <c r="BU39" s="409">
        <f t="shared" si="42"/>
        <v>1863449.2512509064</v>
      </c>
      <c r="BV39" s="409">
        <f t="shared" si="42"/>
        <v>1863449.2512509064</v>
      </c>
      <c r="BW39" s="409">
        <f t="shared" si="42"/>
        <v>1863449.2512509064</v>
      </c>
      <c r="BX39" s="409">
        <f t="shared" si="42"/>
        <v>1863449.2512509064</v>
      </c>
      <c r="BY39" s="409">
        <f t="shared" si="42"/>
        <v>1863449.2512509064</v>
      </c>
      <c r="BZ39" s="409">
        <f t="shared" si="42"/>
        <v>1863449.2512509064</v>
      </c>
      <c r="CA39" s="409">
        <f t="shared" si="42"/>
        <v>1863449.2512509064</v>
      </c>
      <c r="CB39" s="409">
        <f t="shared" si="42"/>
        <v>1863449.2512509064</v>
      </c>
      <c r="CC39" s="409">
        <f t="shared" si="42"/>
        <v>1863449.2512509064</v>
      </c>
      <c r="CD39" s="409">
        <f t="shared" si="42"/>
        <v>1863449.2512509064</v>
      </c>
      <c r="CE39" s="409">
        <f t="shared" si="42"/>
        <v>1863449.2512509064</v>
      </c>
      <c r="CF39" s="409">
        <f t="shared" si="42"/>
        <v>1863449.2512509064</v>
      </c>
      <c r="CG39" s="409">
        <f t="shared" si="42"/>
        <v>1863449.2512509064</v>
      </c>
      <c r="CH39" s="409">
        <f t="shared" si="42"/>
        <v>1863449.2512509064</v>
      </c>
      <c r="CI39" s="409">
        <f t="shared" si="42"/>
        <v>1863449.2512509064</v>
      </c>
      <c r="CJ39" s="409">
        <f t="shared" si="42"/>
        <v>1863449.2512509064</v>
      </c>
      <c r="CK39" s="409">
        <f t="shared" si="42"/>
        <v>1863449.2512509064</v>
      </c>
      <c r="CL39" s="480">
        <f t="shared" si="42"/>
        <v>1863449.2512509064</v>
      </c>
      <c r="CM39" s="406">
        <f t="shared" si="26"/>
        <v>1863449.2512509057</v>
      </c>
      <c r="CN39" s="410" t="s">
        <v>250</v>
      </c>
      <c r="CO39" s="411">
        <v>2.4500000000000002</v>
      </c>
      <c r="CP39" s="411">
        <v>2.4500000000000002</v>
      </c>
      <c r="CQ39" s="411">
        <v>2.4500000000000002</v>
      </c>
      <c r="CR39" s="411">
        <v>2.4500000000000002</v>
      </c>
      <c r="CS39" s="411">
        <v>2.4500000000000002</v>
      </c>
      <c r="CT39" s="411">
        <v>2.4500000000000002</v>
      </c>
      <c r="CU39" s="411">
        <v>2.4500000000000002</v>
      </c>
      <c r="CV39" s="411">
        <v>2.4500000000000002</v>
      </c>
      <c r="CW39" s="411">
        <v>2.4500000000000002</v>
      </c>
      <c r="CX39" s="411">
        <v>2.4500000000000002</v>
      </c>
      <c r="CY39" s="411">
        <v>2.4500000000000002</v>
      </c>
      <c r="CZ39" s="411">
        <v>2.4500000000000002</v>
      </c>
      <c r="DA39" s="411">
        <v>2.4500000000000002</v>
      </c>
      <c r="DB39" s="411">
        <v>2.4500000000000002</v>
      </c>
      <c r="DC39" s="411">
        <v>2.4500000000000002</v>
      </c>
      <c r="DD39" s="411">
        <v>2.4500000000000002</v>
      </c>
      <c r="DE39" s="411">
        <v>2.4500000000000002</v>
      </c>
      <c r="DF39" s="411">
        <v>2.4500000000000002</v>
      </c>
      <c r="DG39" s="411">
        <v>2.4500000000000002</v>
      </c>
      <c r="DH39" s="411">
        <v>2.4500000000000002</v>
      </c>
      <c r="DI39" s="411">
        <v>2.4500000000000002</v>
      </c>
      <c r="DJ39" s="411">
        <v>2.4500000000000002</v>
      </c>
      <c r="DK39" s="411">
        <v>2.4500000000000002</v>
      </c>
      <c r="DL39" s="411">
        <v>2.4500000000000002</v>
      </c>
      <c r="DM39" s="411">
        <v>2.4500000000000002</v>
      </c>
      <c r="DN39" s="411">
        <v>2.4500000000000002</v>
      </c>
      <c r="DO39" s="411">
        <v>2.4500000000000002</v>
      </c>
      <c r="DP39" s="411">
        <v>2.4500000000000002</v>
      </c>
      <c r="DQ39" s="411">
        <v>2.4500000000000002</v>
      </c>
      <c r="DR39" s="411">
        <v>2.4500000000000002</v>
      </c>
      <c r="DS39" s="411">
        <v>2.4500000000000002</v>
      </c>
      <c r="DT39" s="411">
        <v>2.4500000000000002</v>
      </c>
      <c r="DU39" s="411">
        <v>2.4500000000000002</v>
      </c>
      <c r="DV39" s="411">
        <v>2.4500000000000002</v>
      </c>
      <c r="DW39" s="411">
        <v>2.4500000000000002</v>
      </c>
      <c r="DX39" s="411">
        <v>2.4500000000000002</v>
      </c>
      <c r="DY39" s="411">
        <v>2.4500000000000002</v>
      </c>
      <c r="DZ39" s="411">
        <v>2.4500000000000002</v>
      </c>
      <c r="EA39" s="411">
        <v>2.4500000000000002</v>
      </c>
      <c r="EB39" s="411">
        <v>2.4500000000000002</v>
      </c>
      <c r="EC39" s="411">
        <v>2.4500000000000002</v>
      </c>
      <c r="ED39" s="411">
        <v>2.4500000000000002</v>
      </c>
      <c r="EE39" s="411">
        <v>2.4500000000000002</v>
      </c>
      <c r="EF39" s="411">
        <v>2.4500000000000002</v>
      </c>
      <c r="EG39" s="411">
        <v>2.4500000000000002</v>
      </c>
      <c r="EH39" s="411">
        <v>2.4500000000000002</v>
      </c>
      <c r="EI39" s="411">
        <v>2.4500000000000002</v>
      </c>
      <c r="EJ39" s="411">
        <v>2.4500000000000002</v>
      </c>
      <c r="EK39" s="411">
        <v>2.4500000000000002</v>
      </c>
      <c r="EL39" s="411">
        <v>2.4500000000000002</v>
      </c>
      <c r="EM39" s="411">
        <v>2.4500000000000002</v>
      </c>
      <c r="EN39" s="411">
        <v>2.4500000000000002</v>
      </c>
      <c r="EO39" s="411">
        <v>2.4500000000000002</v>
      </c>
      <c r="EP39" s="411">
        <v>2.4500000000000002</v>
      </c>
      <c r="EQ39" s="411">
        <v>2.4500000000000002</v>
      </c>
      <c r="ER39" s="411">
        <v>2.4500000000000002</v>
      </c>
      <c r="ES39" s="411">
        <v>2.4500000000000002</v>
      </c>
      <c r="ET39" s="411">
        <v>2.4500000000000002</v>
      </c>
      <c r="EU39" s="411">
        <v>2.4500000000000002</v>
      </c>
      <c r="EV39" s="411">
        <v>2.4500000000000002</v>
      </c>
      <c r="EW39" s="411">
        <v>2.4500000000000002</v>
      </c>
      <c r="EX39" s="411">
        <v>2.4500000000000002</v>
      </c>
      <c r="EY39" s="411">
        <v>2.4500000000000002</v>
      </c>
      <c r="EZ39" s="411">
        <v>2.4500000000000002</v>
      </c>
      <c r="FA39" s="411">
        <v>2.4500000000000002</v>
      </c>
      <c r="FB39" s="411">
        <v>2.4500000000000002</v>
      </c>
      <c r="FC39" s="411">
        <v>2.4500000000000002</v>
      </c>
      <c r="FD39" s="411">
        <v>2.4500000000000002</v>
      </c>
      <c r="FE39" s="411">
        <v>2.4500000000000002</v>
      </c>
      <c r="FF39" s="411">
        <v>2.4500000000000002</v>
      </c>
      <c r="FG39" s="411">
        <v>2.4500000000000002</v>
      </c>
      <c r="FH39" s="411">
        <v>2.4500000000000002</v>
      </c>
      <c r="FI39" s="411">
        <v>2.4500000000000002</v>
      </c>
      <c r="FJ39" s="411">
        <v>2.4500000000000002</v>
      </c>
      <c r="FK39" s="411">
        <v>2.4500000000000002</v>
      </c>
      <c r="FL39" s="411">
        <v>2.4500000000000002</v>
      </c>
      <c r="FM39" s="411">
        <v>2.4500000000000002</v>
      </c>
      <c r="FN39" s="411">
        <v>2.4500000000000002</v>
      </c>
      <c r="FO39" s="411">
        <v>2.4500000000000002</v>
      </c>
      <c r="FP39" s="411">
        <v>2.4500000000000002</v>
      </c>
      <c r="FQ39" s="411">
        <v>2.4500000000000002</v>
      </c>
      <c r="FR39" s="411">
        <v>2.4500000000000002</v>
      </c>
      <c r="FS39" s="411">
        <v>2.4500000000000002</v>
      </c>
      <c r="FT39" s="411">
        <v>2.4500000000000002</v>
      </c>
      <c r="FU39" s="411">
        <v>2.4500000000000002</v>
      </c>
      <c r="FV39" s="408">
        <f t="shared" si="27"/>
        <v>2.450000000000002</v>
      </c>
      <c r="FW39" s="316"/>
    </row>
    <row r="40" spans="1:179">
      <c r="A40" s="1389"/>
      <c r="B40" s="393" t="s">
        <v>399</v>
      </c>
      <c r="C40" s="394" t="s">
        <v>167</v>
      </c>
      <c r="D40" s="394">
        <v>2.8000000000000001E-2</v>
      </c>
      <c r="E40" s="1383"/>
      <c r="F40" s="481" t="s">
        <v>442</v>
      </c>
      <c r="G40" s="569">
        <f t="shared" ref="G40:R40" si="43">$D$40*G16</f>
        <v>3099.2919999999999</v>
      </c>
      <c r="H40" s="569">
        <f t="shared" si="43"/>
        <v>3099.2919999999999</v>
      </c>
      <c r="I40" s="569">
        <f t="shared" si="43"/>
        <v>3099.2919999999999</v>
      </c>
      <c r="J40" s="569">
        <f t="shared" si="43"/>
        <v>3099.2919999999999</v>
      </c>
      <c r="K40" s="569">
        <f t="shared" si="43"/>
        <v>3099.2919999999999</v>
      </c>
      <c r="L40" s="569">
        <f t="shared" si="43"/>
        <v>3099.2919999999999</v>
      </c>
      <c r="M40" s="569">
        <f t="shared" si="43"/>
        <v>3099.2919999999999</v>
      </c>
      <c r="N40" s="569">
        <f t="shared" si="43"/>
        <v>3099.2919999999999</v>
      </c>
      <c r="O40" s="569">
        <f t="shared" si="43"/>
        <v>3099.2919999999999</v>
      </c>
      <c r="P40" s="569">
        <f t="shared" si="43"/>
        <v>3099.2919999999999</v>
      </c>
      <c r="Q40" s="569">
        <f t="shared" si="43"/>
        <v>3099.2919999999999</v>
      </c>
      <c r="R40" s="569">
        <f t="shared" si="43"/>
        <v>3099.2919999999999</v>
      </c>
      <c r="S40" s="569">
        <f t="shared" ref="S40:AS40" si="44">$D$40*S16</f>
        <v>3099.2919999999999</v>
      </c>
      <c r="T40" s="569">
        <f t="shared" si="44"/>
        <v>3099.2919999999999</v>
      </c>
      <c r="U40" s="569">
        <f t="shared" si="44"/>
        <v>3099.2919999999999</v>
      </c>
      <c r="V40" s="569">
        <f t="shared" si="44"/>
        <v>3099.2919999999999</v>
      </c>
      <c r="W40" s="569">
        <f t="shared" si="44"/>
        <v>3099.2919999999999</v>
      </c>
      <c r="X40" s="569">
        <f t="shared" si="44"/>
        <v>3099.2919999999999</v>
      </c>
      <c r="Y40" s="569">
        <f t="shared" si="44"/>
        <v>3099.2919999999999</v>
      </c>
      <c r="Z40" s="569">
        <f t="shared" si="44"/>
        <v>3099.2919999999999</v>
      </c>
      <c r="AA40" s="569">
        <f t="shared" si="44"/>
        <v>3099.2919999999999</v>
      </c>
      <c r="AB40" s="569">
        <f t="shared" si="44"/>
        <v>3099.2919999999999</v>
      </c>
      <c r="AC40" s="569">
        <f t="shared" si="44"/>
        <v>3099.2919999999999</v>
      </c>
      <c r="AD40" s="569">
        <f t="shared" si="44"/>
        <v>3099.2919999999999</v>
      </c>
      <c r="AE40" s="569">
        <f t="shared" si="44"/>
        <v>3099.2919999999999</v>
      </c>
      <c r="AF40" s="569">
        <f t="shared" si="44"/>
        <v>3099.2919999999999</v>
      </c>
      <c r="AG40" s="569">
        <f t="shared" si="44"/>
        <v>3099.2919999999999</v>
      </c>
      <c r="AH40" s="569">
        <f t="shared" si="44"/>
        <v>3099.2919999999999</v>
      </c>
      <c r="AI40" s="569">
        <f t="shared" si="44"/>
        <v>3099.2919999999999</v>
      </c>
      <c r="AJ40" s="569">
        <f t="shared" si="44"/>
        <v>3099.2919999999999</v>
      </c>
      <c r="AK40" s="569">
        <f t="shared" si="44"/>
        <v>3099.2919999999999</v>
      </c>
      <c r="AL40" s="569">
        <f t="shared" si="44"/>
        <v>3099.2919999999999</v>
      </c>
      <c r="AM40" s="569">
        <f t="shared" si="44"/>
        <v>3099.2919999999999</v>
      </c>
      <c r="AN40" s="569">
        <f t="shared" si="44"/>
        <v>3099.2919999999999</v>
      </c>
      <c r="AO40" s="569">
        <f t="shared" si="44"/>
        <v>3099.2919999999999</v>
      </c>
      <c r="AP40" s="569">
        <f t="shared" si="44"/>
        <v>3099.2919999999999</v>
      </c>
      <c r="AQ40" s="569">
        <f t="shared" si="44"/>
        <v>3099.2919999999999</v>
      </c>
      <c r="AR40" s="569">
        <f t="shared" si="44"/>
        <v>3099.2919999999999</v>
      </c>
      <c r="AS40" s="569">
        <f t="shared" si="44"/>
        <v>3099.2919999999999</v>
      </c>
      <c r="AT40" s="569">
        <f t="shared" ref="AT40:CL40" si="45">$D$40*AT16</f>
        <v>3099.2919999999999</v>
      </c>
      <c r="AU40" s="409">
        <f t="shared" si="45"/>
        <v>3099.2919999999999</v>
      </c>
      <c r="AV40" s="409">
        <f t="shared" si="45"/>
        <v>3099.2919999999999</v>
      </c>
      <c r="AW40" s="409">
        <f t="shared" si="45"/>
        <v>3099.2919999999999</v>
      </c>
      <c r="AX40" s="409">
        <f t="shared" si="45"/>
        <v>3099.2919999999999</v>
      </c>
      <c r="AY40" s="409">
        <f t="shared" si="45"/>
        <v>3099.2919999999999</v>
      </c>
      <c r="AZ40" s="409">
        <f t="shared" si="45"/>
        <v>3099.2919999999999</v>
      </c>
      <c r="BA40" s="409">
        <f t="shared" si="45"/>
        <v>3099.2919999999999</v>
      </c>
      <c r="BB40" s="409">
        <f t="shared" si="45"/>
        <v>3099.2919999999999</v>
      </c>
      <c r="BC40" s="409">
        <f t="shared" si="45"/>
        <v>3099.2919999999999</v>
      </c>
      <c r="BD40" s="409">
        <f t="shared" si="45"/>
        <v>3099.2919999999999</v>
      </c>
      <c r="BE40" s="409">
        <f t="shared" si="45"/>
        <v>3099.2919999999999</v>
      </c>
      <c r="BF40" s="409">
        <f t="shared" si="45"/>
        <v>3099.2919999999999</v>
      </c>
      <c r="BG40" s="409">
        <f t="shared" si="45"/>
        <v>3099.2919999999999</v>
      </c>
      <c r="BH40" s="409">
        <f t="shared" si="45"/>
        <v>3099.2919999999999</v>
      </c>
      <c r="BI40" s="409">
        <f t="shared" si="45"/>
        <v>3099.2919999999999</v>
      </c>
      <c r="BJ40" s="409">
        <f t="shared" si="45"/>
        <v>3099.2919999999999</v>
      </c>
      <c r="BK40" s="409">
        <f t="shared" si="45"/>
        <v>3099.2919999999999</v>
      </c>
      <c r="BL40" s="409">
        <f t="shared" si="45"/>
        <v>3099.2919999999999</v>
      </c>
      <c r="BM40" s="409">
        <f t="shared" si="45"/>
        <v>3099.2919999999999</v>
      </c>
      <c r="BN40" s="409">
        <f t="shared" si="45"/>
        <v>3099.2919999999999</v>
      </c>
      <c r="BO40" s="409">
        <f t="shared" si="45"/>
        <v>3099.2919999999999</v>
      </c>
      <c r="BP40" s="409">
        <f t="shared" si="45"/>
        <v>3099.2919999999999</v>
      </c>
      <c r="BQ40" s="409">
        <f t="shared" si="45"/>
        <v>3099.2919999999999</v>
      </c>
      <c r="BR40" s="409">
        <f t="shared" si="45"/>
        <v>3099.2919999999999</v>
      </c>
      <c r="BS40" s="409">
        <f t="shared" si="45"/>
        <v>3099.2919999999999</v>
      </c>
      <c r="BT40" s="409">
        <f t="shared" si="45"/>
        <v>3099.2919999999999</v>
      </c>
      <c r="BU40" s="409">
        <f t="shared" si="45"/>
        <v>3099.2919999999999</v>
      </c>
      <c r="BV40" s="409">
        <f t="shared" si="45"/>
        <v>3099.2919999999999</v>
      </c>
      <c r="BW40" s="409">
        <f t="shared" si="45"/>
        <v>3099.2919999999999</v>
      </c>
      <c r="BX40" s="409">
        <f t="shared" si="45"/>
        <v>3099.2919999999999</v>
      </c>
      <c r="BY40" s="409">
        <f t="shared" si="45"/>
        <v>3099.2919999999999</v>
      </c>
      <c r="BZ40" s="409">
        <f t="shared" si="45"/>
        <v>3099.2919999999999</v>
      </c>
      <c r="CA40" s="409">
        <f t="shared" si="45"/>
        <v>3099.2919999999999</v>
      </c>
      <c r="CB40" s="409">
        <f t="shared" si="45"/>
        <v>3099.2919999999999</v>
      </c>
      <c r="CC40" s="409">
        <f t="shared" si="45"/>
        <v>3099.2919999999999</v>
      </c>
      <c r="CD40" s="409">
        <f t="shared" si="45"/>
        <v>3099.2919999999999</v>
      </c>
      <c r="CE40" s="409">
        <f t="shared" si="45"/>
        <v>3099.2919999999999</v>
      </c>
      <c r="CF40" s="409">
        <f t="shared" si="45"/>
        <v>3099.2919999999999</v>
      </c>
      <c r="CG40" s="409">
        <f t="shared" si="45"/>
        <v>3099.2919999999999</v>
      </c>
      <c r="CH40" s="409">
        <f t="shared" si="45"/>
        <v>3099.2919999999999</v>
      </c>
      <c r="CI40" s="409">
        <f t="shared" si="45"/>
        <v>3099.2919999999999</v>
      </c>
      <c r="CJ40" s="409">
        <f t="shared" si="45"/>
        <v>3099.2919999999999</v>
      </c>
      <c r="CK40" s="409">
        <f t="shared" si="45"/>
        <v>3099.2919999999999</v>
      </c>
      <c r="CL40" s="480">
        <f t="shared" si="45"/>
        <v>3099.2919999999999</v>
      </c>
      <c r="CM40" s="406">
        <f t="shared" si="26"/>
        <v>3099.291999999994</v>
      </c>
      <c r="CN40" s="410" t="s">
        <v>251</v>
      </c>
      <c r="CO40" s="411">
        <v>752</v>
      </c>
      <c r="CP40" s="411">
        <v>752</v>
      </c>
      <c r="CQ40" s="411">
        <v>752</v>
      </c>
      <c r="CR40" s="411">
        <v>752</v>
      </c>
      <c r="CS40" s="411">
        <v>752</v>
      </c>
      <c r="CT40" s="411">
        <v>752</v>
      </c>
      <c r="CU40" s="411">
        <v>752</v>
      </c>
      <c r="CV40" s="411">
        <v>752</v>
      </c>
      <c r="CW40" s="411">
        <v>752</v>
      </c>
      <c r="CX40" s="411">
        <v>752</v>
      </c>
      <c r="CY40" s="411">
        <v>752</v>
      </c>
      <c r="CZ40" s="411">
        <v>752</v>
      </c>
      <c r="DA40" s="411">
        <v>752</v>
      </c>
      <c r="DB40" s="411">
        <v>752</v>
      </c>
      <c r="DC40" s="411">
        <v>752</v>
      </c>
      <c r="DD40" s="411">
        <v>752</v>
      </c>
      <c r="DE40" s="411">
        <v>752</v>
      </c>
      <c r="DF40" s="411">
        <v>752</v>
      </c>
      <c r="DG40" s="411">
        <v>752</v>
      </c>
      <c r="DH40" s="411">
        <v>752</v>
      </c>
      <c r="DI40" s="411">
        <v>752</v>
      </c>
      <c r="DJ40" s="411">
        <v>752</v>
      </c>
      <c r="DK40" s="411">
        <v>752</v>
      </c>
      <c r="DL40" s="411">
        <v>752</v>
      </c>
      <c r="DM40" s="411">
        <v>752</v>
      </c>
      <c r="DN40" s="411">
        <v>752</v>
      </c>
      <c r="DO40" s="411">
        <v>752</v>
      </c>
      <c r="DP40" s="411">
        <v>752</v>
      </c>
      <c r="DQ40" s="411">
        <v>752</v>
      </c>
      <c r="DR40" s="411">
        <v>752</v>
      </c>
      <c r="DS40" s="411">
        <v>752</v>
      </c>
      <c r="DT40" s="411">
        <v>752</v>
      </c>
      <c r="DU40" s="411">
        <v>752</v>
      </c>
      <c r="DV40" s="411">
        <v>752</v>
      </c>
      <c r="DW40" s="411">
        <v>752</v>
      </c>
      <c r="DX40" s="411">
        <v>752</v>
      </c>
      <c r="DY40" s="411">
        <v>752</v>
      </c>
      <c r="DZ40" s="411">
        <v>752</v>
      </c>
      <c r="EA40" s="411">
        <v>752</v>
      </c>
      <c r="EB40" s="411">
        <v>752</v>
      </c>
      <c r="EC40" s="411">
        <v>752</v>
      </c>
      <c r="ED40" s="411">
        <v>752</v>
      </c>
      <c r="EE40" s="411">
        <v>752</v>
      </c>
      <c r="EF40" s="411">
        <v>752</v>
      </c>
      <c r="EG40" s="411">
        <v>752</v>
      </c>
      <c r="EH40" s="411">
        <v>752</v>
      </c>
      <c r="EI40" s="411">
        <v>752</v>
      </c>
      <c r="EJ40" s="411">
        <v>752</v>
      </c>
      <c r="EK40" s="411">
        <v>752</v>
      </c>
      <c r="EL40" s="411">
        <v>752</v>
      </c>
      <c r="EM40" s="411">
        <v>752</v>
      </c>
      <c r="EN40" s="411">
        <v>752</v>
      </c>
      <c r="EO40" s="411">
        <v>752</v>
      </c>
      <c r="EP40" s="411">
        <v>752</v>
      </c>
      <c r="EQ40" s="411">
        <v>752</v>
      </c>
      <c r="ER40" s="411">
        <v>752</v>
      </c>
      <c r="ES40" s="411">
        <v>752</v>
      </c>
      <c r="ET40" s="411">
        <v>752</v>
      </c>
      <c r="EU40" s="411">
        <v>752</v>
      </c>
      <c r="EV40" s="411">
        <v>752</v>
      </c>
      <c r="EW40" s="411">
        <v>752</v>
      </c>
      <c r="EX40" s="411">
        <v>752</v>
      </c>
      <c r="EY40" s="411">
        <v>752</v>
      </c>
      <c r="EZ40" s="411">
        <v>752</v>
      </c>
      <c r="FA40" s="411">
        <v>752</v>
      </c>
      <c r="FB40" s="411">
        <v>752</v>
      </c>
      <c r="FC40" s="411">
        <v>752</v>
      </c>
      <c r="FD40" s="411">
        <v>752</v>
      </c>
      <c r="FE40" s="411">
        <v>752</v>
      </c>
      <c r="FF40" s="411">
        <v>752</v>
      </c>
      <c r="FG40" s="411">
        <v>752</v>
      </c>
      <c r="FH40" s="411">
        <v>752</v>
      </c>
      <c r="FI40" s="411">
        <v>752</v>
      </c>
      <c r="FJ40" s="411">
        <v>752</v>
      </c>
      <c r="FK40" s="411">
        <v>752</v>
      </c>
      <c r="FL40" s="411">
        <v>752</v>
      </c>
      <c r="FM40" s="411">
        <v>752</v>
      </c>
      <c r="FN40" s="411">
        <v>752</v>
      </c>
      <c r="FO40" s="411">
        <v>752</v>
      </c>
      <c r="FP40" s="411">
        <v>752</v>
      </c>
      <c r="FQ40" s="411">
        <v>752</v>
      </c>
      <c r="FR40" s="411">
        <v>752</v>
      </c>
      <c r="FS40" s="411">
        <v>752</v>
      </c>
      <c r="FT40" s="411">
        <v>752</v>
      </c>
      <c r="FU40" s="411">
        <v>752</v>
      </c>
      <c r="FV40" s="408">
        <f t="shared" si="27"/>
        <v>752</v>
      </c>
      <c r="FW40" s="316"/>
    </row>
    <row r="41" spans="1:179">
      <c r="A41" s="482"/>
      <c r="B41" s="412" t="s">
        <v>399</v>
      </c>
      <c r="C41" s="413" t="s">
        <v>352</v>
      </c>
      <c r="D41" s="413"/>
      <c r="E41" s="414"/>
      <c r="F41" s="483" t="s">
        <v>409</v>
      </c>
      <c r="G41" s="575">
        <f t="shared" ref="G41:AL41" si="46">G34*CP35+G36*CP36+G37*CP34+G38*CP37+G35*CP38+CP39*G39+G40*CP40</f>
        <v>577198522.33817685</v>
      </c>
      <c r="H41" s="575">
        <f t="shared" si="46"/>
        <v>577198522.33817685</v>
      </c>
      <c r="I41" s="575">
        <f t="shared" si="46"/>
        <v>577198522.33817685</v>
      </c>
      <c r="J41" s="575">
        <f t="shared" si="46"/>
        <v>577200381.91337681</v>
      </c>
      <c r="K41" s="575">
        <f t="shared" si="46"/>
        <v>577631515.5683769</v>
      </c>
      <c r="L41" s="575">
        <f t="shared" si="46"/>
        <v>577632135.42677689</v>
      </c>
      <c r="M41" s="575">
        <f t="shared" si="46"/>
        <v>577632135.42677689</v>
      </c>
      <c r="N41" s="575">
        <f t="shared" si="46"/>
        <v>578843052.84126496</v>
      </c>
      <c r="O41" s="575">
        <f t="shared" si="46"/>
        <v>577632755.28517687</v>
      </c>
      <c r="P41" s="575">
        <f t="shared" si="46"/>
        <v>578845377.31026495</v>
      </c>
      <c r="Q41" s="575">
        <f t="shared" si="46"/>
        <v>580055674.86635494</v>
      </c>
      <c r="R41" s="575">
        <f t="shared" si="46"/>
        <v>581265972.42244482</v>
      </c>
      <c r="S41" s="575">
        <f t="shared" si="46"/>
        <v>582476889.83693278</v>
      </c>
      <c r="T41" s="575">
        <f t="shared" si="46"/>
        <v>583689275.15835869</v>
      </c>
      <c r="U41" s="575">
        <f t="shared" si="46"/>
        <v>584899797.6274364</v>
      </c>
      <c r="V41" s="575">
        <f t="shared" si="46"/>
        <v>586209476.41527855</v>
      </c>
      <c r="W41" s="575">
        <f t="shared" si="46"/>
        <v>587383845.56370699</v>
      </c>
      <c r="X41" s="575">
        <f t="shared" si="46"/>
        <v>588558214.712134</v>
      </c>
      <c r="Y41" s="575">
        <f t="shared" si="46"/>
        <v>589732583.86056244</v>
      </c>
      <c r="Z41" s="575">
        <f t="shared" si="46"/>
        <v>590906953.00899112</v>
      </c>
      <c r="AA41" s="575">
        <f t="shared" si="46"/>
        <v>592081322.15741789</v>
      </c>
      <c r="AB41" s="575">
        <f t="shared" si="46"/>
        <v>593255691.30584645</v>
      </c>
      <c r="AC41" s="575">
        <f t="shared" si="46"/>
        <v>594430060.45427513</v>
      </c>
      <c r="AD41" s="575">
        <f t="shared" si="46"/>
        <v>595604429.6027019</v>
      </c>
      <c r="AE41" s="575">
        <f t="shared" si="46"/>
        <v>596780435.5269295</v>
      </c>
      <c r="AF41" s="575">
        <f t="shared" si="46"/>
        <v>597953167.89955723</v>
      </c>
      <c r="AG41" s="575">
        <f t="shared" si="46"/>
        <v>599127949.17480946</v>
      </c>
      <c r="AH41" s="575">
        <f t="shared" si="46"/>
        <v>600301906.19641459</v>
      </c>
      <c r="AI41" s="575">
        <f t="shared" si="46"/>
        <v>601476275.34484124</v>
      </c>
      <c r="AJ41" s="575">
        <f t="shared" si="46"/>
        <v>602650644.4932698</v>
      </c>
      <c r="AK41" s="575">
        <f t="shared" si="46"/>
        <v>603825013.64169848</v>
      </c>
      <c r="AL41" s="575">
        <f t="shared" si="46"/>
        <v>604999382.79012525</v>
      </c>
      <c r="AM41" s="575">
        <f t="shared" ref="AM41:BR41" si="47">AM34*DV35+AM36*DV36+AM37*DV34+AM38*DV37+AM35*DV38+DV39*AM39+AM40*DV40</f>
        <v>606173751.93855393</v>
      </c>
      <c r="AN41" s="575">
        <f t="shared" si="47"/>
        <v>607348121.0869807</v>
      </c>
      <c r="AO41" s="575">
        <f t="shared" si="47"/>
        <v>608522490.23540938</v>
      </c>
      <c r="AP41" s="575">
        <f t="shared" si="47"/>
        <v>609696859.38383782</v>
      </c>
      <c r="AQ41" s="575">
        <f t="shared" si="47"/>
        <v>610871228.53226459</v>
      </c>
      <c r="AR41" s="575">
        <f t="shared" si="47"/>
        <v>612045597.68069339</v>
      </c>
      <c r="AS41" s="575">
        <f t="shared" si="47"/>
        <v>613219966.82912195</v>
      </c>
      <c r="AT41" s="575">
        <f t="shared" si="47"/>
        <v>480358962.52906466</v>
      </c>
      <c r="AU41" s="484">
        <f t="shared" si="47"/>
        <v>585156042.40356481</v>
      </c>
      <c r="AV41" s="484">
        <f t="shared" si="47"/>
        <v>588266305.13866127</v>
      </c>
      <c r="AW41" s="484">
        <f t="shared" si="47"/>
        <v>568327083.47309601</v>
      </c>
      <c r="AX41" s="484">
        <f t="shared" si="47"/>
        <v>617244859.47590363</v>
      </c>
      <c r="AY41" s="484">
        <f t="shared" si="47"/>
        <v>668882724.94326699</v>
      </c>
      <c r="AZ41" s="484">
        <f t="shared" si="47"/>
        <v>683714063.11193705</v>
      </c>
      <c r="BA41" s="484">
        <f t="shared" si="47"/>
        <v>693159965.16293657</v>
      </c>
      <c r="BB41" s="484">
        <f t="shared" si="47"/>
        <v>682620157.33884144</v>
      </c>
      <c r="BC41" s="484">
        <f t="shared" si="47"/>
        <v>731160553.64582551</v>
      </c>
      <c r="BD41" s="484">
        <f t="shared" si="47"/>
        <v>692170600.59429467</v>
      </c>
      <c r="BE41" s="484">
        <f t="shared" si="47"/>
        <v>651792823.8582499</v>
      </c>
      <c r="BF41" s="484">
        <f t="shared" si="47"/>
        <v>644961217.25700843</v>
      </c>
      <c r="BG41" s="484">
        <f t="shared" si="47"/>
        <v>695591598.84839642</v>
      </c>
      <c r="BH41" s="484">
        <f t="shared" si="47"/>
        <v>625766224.5939306</v>
      </c>
      <c r="BI41" s="484">
        <f t="shared" si="47"/>
        <v>558683796.64690077</v>
      </c>
      <c r="BJ41" s="484">
        <f t="shared" si="47"/>
        <v>546952364.98086476</v>
      </c>
      <c r="BK41" s="484">
        <f t="shared" si="47"/>
        <v>578120284.28986478</v>
      </c>
      <c r="BL41" s="484">
        <f t="shared" si="47"/>
        <v>624589574.23636472</v>
      </c>
      <c r="BM41" s="484">
        <f t="shared" si="47"/>
        <v>576886323.31786478</v>
      </c>
      <c r="BN41" s="484">
        <f t="shared" si="47"/>
        <v>560357865.49526465</v>
      </c>
      <c r="BO41" s="484">
        <f t="shared" si="47"/>
        <v>659371843.60016477</v>
      </c>
      <c r="BP41" s="484">
        <f t="shared" si="47"/>
        <v>648509035.44926488</v>
      </c>
      <c r="BQ41" s="484">
        <f t="shared" si="47"/>
        <v>708137089.06026483</v>
      </c>
      <c r="BR41" s="484">
        <f t="shared" si="47"/>
        <v>613603569.22846472</v>
      </c>
      <c r="BS41" s="484">
        <f t="shared" ref="BS41:CL41" si="48">BS34*FB35+BS36*FB36+BS37*FB34+BS38*FB37+BS35*FB38+FB39*BS39+BS40*FB40</f>
        <v>590228952.48026478</v>
      </c>
      <c r="BT41" s="484">
        <f t="shared" si="48"/>
        <v>438321560.52246475</v>
      </c>
      <c r="BU41" s="484">
        <f t="shared" si="48"/>
        <v>526692248.90126473</v>
      </c>
      <c r="BV41" s="484">
        <f t="shared" si="48"/>
        <v>505072761.21266472</v>
      </c>
      <c r="BW41" s="484">
        <f t="shared" si="48"/>
        <v>382372499.34226471</v>
      </c>
      <c r="BX41" s="484">
        <f t="shared" si="48"/>
        <v>367778044.00326473</v>
      </c>
      <c r="BY41" s="484">
        <f t="shared" si="48"/>
        <v>419785425.61786473</v>
      </c>
      <c r="BZ41" s="484">
        <f t="shared" si="48"/>
        <v>482715099.65196478</v>
      </c>
      <c r="CA41" s="484">
        <f t="shared" si="48"/>
        <v>504034642.28836477</v>
      </c>
      <c r="CB41" s="484">
        <f t="shared" si="48"/>
        <v>549559943.23616469</v>
      </c>
      <c r="CC41" s="484">
        <f t="shared" si="48"/>
        <v>589411956.97126472</v>
      </c>
      <c r="CD41" s="484">
        <f t="shared" si="48"/>
        <v>668945943.99966466</v>
      </c>
      <c r="CE41" s="484">
        <f t="shared" si="48"/>
        <v>776799169.30196488</v>
      </c>
      <c r="CF41" s="484">
        <f t="shared" si="48"/>
        <v>695542562.57326472</v>
      </c>
      <c r="CG41" s="484">
        <f t="shared" si="48"/>
        <v>591919062.82126486</v>
      </c>
      <c r="CH41" s="484">
        <f t="shared" si="48"/>
        <v>586536821.26516473</v>
      </c>
      <c r="CI41" s="484">
        <f t="shared" si="48"/>
        <v>634447337.33616483</v>
      </c>
      <c r="CJ41" s="484">
        <f t="shared" si="48"/>
        <v>707840132.61106479</v>
      </c>
      <c r="CK41" s="484">
        <f t="shared" si="48"/>
        <v>807241289.76906478</v>
      </c>
      <c r="CL41" s="485">
        <f t="shared" si="48"/>
        <v>866834210.69146478</v>
      </c>
      <c r="CM41" s="610">
        <f t="shared" si="26"/>
        <v>600702624.90250778</v>
      </c>
      <c r="CN41" s="415" t="s">
        <v>209</v>
      </c>
      <c r="CO41" s="416">
        <f t="shared" ref="CO41:CU41" si="49">0.75*CO36</f>
        <v>27.734853846153825</v>
      </c>
      <c r="CP41" s="416">
        <f t="shared" si="49"/>
        <v>27.734853846153825</v>
      </c>
      <c r="CQ41" s="416">
        <f t="shared" si="49"/>
        <v>27.734853846153825</v>
      </c>
      <c r="CR41" s="416">
        <f t="shared" si="49"/>
        <v>27.734853846153825</v>
      </c>
      <c r="CS41" s="416">
        <f t="shared" si="49"/>
        <v>27.734853846153825</v>
      </c>
      <c r="CT41" s="416">
        <f t="shared" si="49"/>
        <v>27.734853846153825</v>
      </c>
      <c r="CU41" s="416">
        <f t="shared" si="49"/>
        <v>27.734853846153825</v>
      </c>
      <c r="CV41" s="416">
        <f>0.75*CV36</f>
        <v>27.734853846153825</v>
      </c>
      <c r="CW41" s="416">
        <f>0.75*CW36</f>
        <v>28.317217948717946</v>
      </c>
      <c r="CX41" s="416">
        <f t="shared" ref="CX41:EB41" si="50">0.75*CX36</f>
        <v>27.734853846153825</v>
      </c>
      <c r="CY41" s="416">
        <f t="shared" si="50"/>
        <v>28.317217948717946</v>
      </c>
      <c r="CZ41" s="416">
        <f t="shared" si="50"/>
        <v>28.899582051282074</v>
      </c>
      <c r="DA41" s="416">
        <f t="shared" si="50"/>
        <v>29.481946153846124</v>
      </c>
      <c r="DB41" s="416">
        <f t="shared" si="50"/>
        <v>30.064310256410252</v>
      </c>
      <c r="DC41" s="416">
        <f t="shared" si="50"/>
        <v>30.646674358974373</v>
      </c>
      <c r="DD41" s="416">
        <f t="shared" si="50"/>
        <v>31.229038461538501</v>
      </c>
      <c r="DE41" s="416">
        <f t="shared" si="50"/>
        <v>31.811402564102551</v>
      </c>
      <c r="DF41" s="416">
        <f t="shared" si="50"/>
        <v>32.393766666666671</v>
      </c>
      <c r="DG41" s="416">
        <f t="shared" si="50"/>
        <v>32.976130769230799</v>
      </c>
      <c r="DH41" s="416">
        <f t="shared" si="50"/>
        <v>33.558494871794849</v>
      </c>
      <c r="DI41" s="416">
        <f t="shared" si="50"/>
        <v>34.140858974358977</v>
      </c>
      <c r="DJ41" s="416">
        <f t="shared" si="50"/>
        <v>34.723223076923098</v>
      </c>
      <c r="DK41" s="416">
        <f t="shared" si="50"/>
        <v>35.305587179487148</v>
      </c>
      <c r="DL41" s="416">
        <f t="shared" si="50"/>
        <v>35.887951282051276</v>
      </c>
      <c r="DM41" s="416">
        <f t="shared" si="50"/>
        <v>36.470315384615397</v>
      </c>
      <c r="DN41" s="416">
        <f t="shared" si="50"/>
        <v>37.052679487179525</v>
      </c>
      <c r="DO41" s="416">
        <f t="shared" si="50"/>
        <v>37.635043589743574</v>
      </c>
      <c r="DP41" s="416">
        <f t="shared" si="50"/>
        <v>38.217407692307702</v>
      </c>
      <c r="DQ41" s="416">
        <f t="shared" si="50"/>
        <v>38.799771794871823</v>
      </c>
      <c r="DR41" s="416">
        <f t="shared" si="50"/>
        <v>39.382135897435873</v>
      </c>
      <c r="DS41" s="416">
        <f t="shared" si="50"/>
        <v>39.964500000000001</v>
      </c>
      <c r="DT41" s="416">
        <f t="shared" si="50"/>
        <v>40.546864102564122</v>
      </c>
      <c r="DU41" s="416">
        <f t="shared" si="50"/>
        <v>41.129228205128179</v>
      </c>
      <c r="DV41" s="416">
        <f t="shared" si="50"/>
        <v>41.7115923076923</v>
      </c>
      <c r="DW41" s="416">
        <f t="shared" si="50"/>
        <v>42.293956410256428</v>
      </c>
      <c r="DX41" s="416">
        <f t="shared" si="50"/>
        <v>42.876320512820548</v>
      </c>
      <c r="DY41" s="416">
        <f t="shared" si="50"/>
        <v>43.458684615384598</v>
      </c>
      <c r="DZ41" s="416">
        <f t="shared" si="50"/>
        <v>44.041048717948726</v>
      </c>
      <c r="EA41" s="416">
        <f t="shared" si="50"/>
        <v>44.623412820512847</v>
      </c>
      <c r="EB41" s="416">
        <f t="shared" si="50"/>
        <v>45.205776923076904</v>
      </c>
      <c r="EC41" s="416">
        <f>0.75*EC36</f>
        <v>42.075000000000003</v>
      </c>
      <c r="ED41" s="416">
        <f t="shared" ref="ED41:FU41" si="51">0.75*ED36</f>
        <v>43.2</v>
      </c>
      <c r="EE41" s="416">
        <f t="shared" si="51"/>
        <v>41.775000000000006</v>
      </c>
      <c r="EF41" s="416">
        <f t="shared" si="51"/>
        <v>44.962500000000006</v>
      </c>
      <c r="EG41" s="416">
        <f t="shared" si="51"/>
        <v>51.427499999999995</v>
      </c>
      <c r="EH41" s="416">
        <f t="shared" si="51"/>
        <v>59.775000000000006</v>
      </c>
      <c r="EI41" s="416">
        <f t="shared" si="51"/>
        <v>63.757500000000007</v>
      </c>
      <c r="EJ41" s="416">
        <f t="shared" si="51"/>
        <v>55.064999999999998</v>
      </c>
      <c r="EK41" s="416">
        <f t="shared" si="51"/>
        <v>51.1875</v>
      </c>
      <c r="EL41" s="416">
        <f t="shared" si="51"/>
        <v>39.9375</v>
      </c>
      <c r="EM41" s="416">
        <f t="shared" si="51"/>
        <v>49.094999999999999</v>
      </c>
      <c r="EN41" s="416">
        <f t="shared" si="51"/>
        <v>45.697499999999998</v>
      </c>
      <c r="EO41" s="416">
        <f t="shared" si="51"/>
        <v>44.775000000000006</v>
      </c>
      <c r="EP41" s="416">
        <f t="shared" si="51"/>
        <v>44.204999999999998</v>
      </c>
      <c r="EQ41" s="416">
        <f t="shared" si="51"/>
        <v>43.462500000000006</v>
      </c>
      <c r="ER41" s="416">
        <f t="shared" si="51"/>
        <v>58.86</v>
      </c>
      <c r="ES41" s="416">
        <f t="shared" si="51"/>
        <v>61.882500000000007</v>
      </c>
      <c r="ET41" s="416">
        <f t="shared" si="51"/>
        <v>62.699999999999996</v>
      </c>
      <c r="EU41" s="416">
        <f t="shared" si="51"/>
        <v>76.612500000000011</v>
      </c>
      <c r="EV41" s="416">
        <f t="shared" si="51"/>
        <v>55.935000000000002</v>
      </c>
      <c r="EW41" s="416">
        <f t="shared" si="51"/>
        <v>58.837500000000006</v>
      </c>
      <c r="EX41" s="416">
        <f t="shared" si="51"/>
        <v>57.652500000000003</v>
      </c>
      <c r="EY41" s="416">
        <f t="shared" si="51"/>
        <v>61.792500000000004</v>
      </c>
      <c r="EZ41" s="416">
        <f t="shared" si="51"/>
        <v>58.41</v>
      </c>
      <c r="FA41" s="416">
        <f t="shared" si="51"/>
        <v>56.542500000000004</v>
      </c>
      <c r="FB41" s="416">
        <f t="shared" si="51"/>
        <v>50.137499999999996</v>
      </c>
      <c r="FC41" s="416">
        <f t="shared" si="51"/>
        <v>48.435000000000002</v>
      </c>
      <c r="FD41" s="416">
        <f t="shared" si="51"/>
        <v>63.727499999999999</v>
      </c>
      <c r="FE41" s="416">
        <f t="shared" si="51"/>
        <v>58.552499999999995</v>
      </c>
      <c r="FF41" s="416">
        <f t="shared" si="51"/>
        <v>53.377499999999998</v>
      </c>
      <c r="FG41" s="416">
        <f t="shared" si="51"/>
        <v>51.172499999999999</v>
      </c>
      <c r="FH41" s="416">
        <f t="shared" si="51"/>
        <v>51.900000000000006</v>
      </c>
      <c r="FI41" s="416">
        <f t="shared" si="51"/>
        <v>53.37</v>
      </c>
      <c r="FJ41" s="416">
        <f t="shared" si="51"/>
        <v>62.175000000000004</v>
      </c>
      <c r="FK41" s="416">
        <f t="shared" si="51"/>
        <v>66.66</v>
      </c>
      <c r="FL41" s="416">
        <f t="shared" si="51"/>
        <v>60.105000000000004</v>
      </c>
      <c r="FM41" s="416">
        <f t="shared" si="51"/>
        <v>67.072500000000005</v>
      </c>
      <c r="FN41" s="416">
        <f t="shared" si="51"/>
        <v>77.085000000000008</v>
      </c>
      <c r="FO41" s="416">
        <f t="shared" si="51"/>
        <v>76.6875</v>
      </c>
      <c r="FP41" s="416">
        <f t="shared" si="51"/>
        <v>75.239999999999995</v>
      </c>
      <c r="FQ41" s="416">
        <f t="shared" si="51"/>
        <v>61.005000000000003</v>
      </c>
      <c r="FR41" s="416">
        <f t="shared" si="51"/>
        <v>68.002499999999998</v>
      </c>
      <c r="FS41" s="416">
        <f t="shared" si="51"/>
        <v>68.894999999999996</v>
      </c>
      <c r="FT41" s="416">
        <f t="shared" si="51"/>
        <v>71.992499999999993</v>
      </c>
      <c r="FU41" s="416">
        <f t="shared" si="51"/>
        <v>71.212500000000006</v>
      </c>
      <c r="FV41" s="417">
        <f t="shared" si="27"/>
        <v>57.476166666666664</v>
      </c>
      <c r="FW41" s="316"/>
    </row>
    <row r="42" spans="1:179">
      <c r="A42" s="1370" t="s">
        <v>410</v>
      </c>
      <c r="B42" s="372" t="s">
        <v>399</v>
      </c>
      <c r="C42" s="373" t="s">
        <v>352</v>
      </c>
      <c r="D42" s="373"/>
      <c r="E42" s="418">
        <v>58.016529232000003</v>
      </c>
      <c r="F42" s="486" t="s">
        <v>432</v>
      </c>
      <c r="G42" s="487">
        <f t="shared" ref="G42:R42" si="52">$E$42*G16</f>
        <v>6421791.6041608481</v>
      </c>
      <c r="H42" s="487">
        <f t="shared" si="52"/>
        <v>6421791.6041608481</v>
      </c>
      <c r="I42" s="487">
        <f t="shared" si="52"/>
        <v>6421791.6041608481</v>
      </c>
      <c r="J42" s="487">
        <f t="shared" si="52"/>
        <v>6421791.6041608481</v>
      </c>
      <c r="K42" s="487">
        <f t="shared" si="52"/>
        <v>6421791.6041608481</v>
      </c>
      <c r="L42" s="487">
        <f t="shared" si="52"/>
        <v>6421791.6041608481</v>
      </c>
      <c r="M42" s="487">
        <f t="shared" si="52"/>
        <v>6421791.6041608481</v>
      </c>
      <c r="N42" s="487">
        <f t="shared" si="52"/>
        <v>6421791.6041608481</v>
      </c>
      <c r="O42" s="487">
        <f t="shared" si="52"/>
        <v>6421791.6041608481</v>
      </c>
      <c r="P42" s="487">
        <f t="shared" si="52"/>
        <v>6421791.6041608481</v>
      </c>
      <c r="Q42" s="487">
        <f t="shared" si="52"/>
        <v>6421791.6041608481</v>
      </c>
      <c r="R42" s="487">
        <f t="shared" si="52"/>
        <v>6421791.6041608481</v>
      </c>
      <c r="S42" s="487">
        <f t="shared" ref="S42:AS42" si="53">$E$42*S16</f>
        <v>6421791.6041608481</v>
      </c>
      <c r="T42" s="487">
        <f t="shared" si="53"/>
        <v>6421791.6041608481</v>
      </c>
      <c r="U42" s="487">
        <f t="shared" si="53"/>
        <v>6421791.6041608481</v>
      </c>
      <c r="V42" s="487">
        <f t="shared" si="53"/>
        <v>6421791.6041608481</v>
      </c>
      <c r="W42" s="487">
        <f t="shared" si="53"/>
        <v>6421791.6041608481</v>
      </c>
      <c r="X42" s="487">
        <f t="shared" si="53"/>
        <v>6421791.6041608481</v>
      </c>
      <c r="Y42" s="487">
        <f t="shared" si="53"/>
        <v>6421791.6041608481</v>
      </c>
      <c r="Z42" s="487">
        <f t="shared" si="53"/>
        <v>6421791.6041608481</v>
      </c>
      <c r="AA42" s="487">
        <f t="shared" si="53"/>
        <v>6421791.6041608481</v>
      </c>
      <c r="AB42" s="487">
        <f t="shared" si="53"/>
        <v>6421791.6041608481</v>
      </c>
      <c r="AC42" s="487">
        <f t="shared" si="53"/>
        <v>6421791.6041608481</v>
      </c>
      <c r="AD42" s="487">
        <f t="shared" si="53"/>
        <v>6421791.6041608481</v>
      </c>
      <c r="AE42" s="487">
        <f t="shared" si="53"/>
        <v>6421791.6041608481</v>
      </c>
      <c r="AF42" s="487">
        <f t="shared" si="53"/>
        <v>6421791.6041608481</v>
      </c>
      <c r="AG42" s="487">
        <f t="shared" si="53"/>
        <v>6421791.6041608481</v>
      </c>
      <c r="AH42" s="487">
        <f t="shared" si="53"/>
        <v>6421791.6041608481</v>
      </c>
      <c r="AI42" s="487">
        <f t="shared" si="53"/>
        <v>6421791.6041608481</v>
      </c>
      <c r="AJ42" s="487">
        <f t="shared" si="53"/>
        <v>6421791.6041608481</v>
      </c>
      <c r="AK42" s="487">
        <f t="shared" si="53"/>
        <v>6421791.6041608481</v>
      </c>
      <c r="AL42" s="487">
        <f t="shared" si="53"/>
        <v>6421791.6041608481</v>
      </c>
      <c r="AM42" s="487">
        <f t="shared" si="53"/>
        <v>6421791.6041608481</v>
      </c>
      <c r="AN42" s="487">
        <f t="shared" si="53"/>
        <v>6421791.6041608481</v>
      </c>
      <c r="AO42" s="487">
        <f t="shared" si="53"/>
        <v>6421791.6041608481</v>
      </c>
      <c r="AP42" s="487">
        <f t="shared" si="53"/>
        <v>6421791.6041608481</v>
      </c>
      <c r="AQ42" s="487">
        <f t="shared" si="53"/>
        <v>6421791.6041608481</v>
      </c>
      <c r="AR42" s="487">
        <f t="shared" si="53"/>
        <v>6421791.6041608481</v>
      </c>
      <c r="AS42" s="487">
        <f t="shared" si="53"/>
        <v>6421791.6041608481</v>
      </c>
      <c r="AT42" s="487">
        <f>$E$42*AT16</f>
        <v>6421791.6041608481</v>
      </c>
      <c r="AU42" s="488">
        <f t="shared" ref="AU42:CL42" si="54">$E$42*AU16</f>
        <v>6421791.6041608481</v>
      </c>
      <c r="AV42" s="488">
        <f t="shared" si="54"/>
        <v>6421791.6041608481</v>
      </c>
      <c r="AW42" s="488">
        <f t="shared" si="54"/>
        <v>6421791.6041608481</v>
      </c>
      <c r="AX42" s="488">
        <f t="shared" si="54"/>
        <v>6421791.6041608481</v>
      </c>
      <c r="AY42" s="488">
        <f t="shared" si="54"/>
        <v>6421791.6041608481</v>
      </c>
      <c r="AZ42" s="488">
        <f t="shared" si="54"/>
        <v>6421791.6041608481</v>
      </c>
      <c r="BA42" s="488">
        <f t="shared" si="54"/>
        <v>6421791.6041608481</v>
      </c>
      <c r="BB42" s="488">
        <f t="shared" si="54"/>
        <v>6421791.6041608481</v>
      </c>
      <c r="BC42" s="488">
        <f t="shared" si="54"/>
        <v>6421791.6041608481</v>
      </c>
      <c r="BD42" s="488">
        <f t="shared" si="54"/>
        <v>6421791.6041608481</v>
      </c>
      <c r="BE42" s="488">
        <f t="shared" si="54"/>
        <v>6421791.6041608481</v>
      </c>
      <c r="BF42" s="488">
        <f t="shared" si="54"/>
        <v>6421791.6041608481</v>
      </c>
      <c r="BG42" s="488">
        <f t="shared" si="54"/>
        <v>6421791.6041608481</v>
      </c>
      <c r="BH42" s="488">
        <f t="shared" si="54"/>
        <v>6421791.6041608481</v>
      </c>
      <c r="BI42" s="488">
        <f t="shared" si="54"/>
        <v>6421791.6041608481</v>
      </c>
      <c r="BJ42" s="488">
        <f t="shared" si="54"/>
        <v>6421791.6041608481</v>
      </c>
      <c r="BK42" s="488">
        <f t="shared" si="54"/>
        <v>6421791.6041608481</v>
      </c>
      <c r="BL42" s="488">
        <f t="shared" si="54"/>
        <v>6421791.6041608481</v>
      </c>
      <c r="BM42" s="488">
        <f t="shared" si="54"/>
        <v>6421791.6041608481</v>
      </c>
      <c r="BN42" s="488">
        <f t="shared" si="54"/>
        <v>6421791.6041608481</v>
      </c>
      <c r="BO42" s="488">
        <f t="shared" si="54"/>
        <v>6421791.6041608481</v>
      </c>
      <c r="BP42" s="488">
        <f t="shared" si="54"/>
        <v>6421791.6041608481</v>
      </c>
      <c r="BQ42" s="488">
        <f t="shared" si="54"/>
        <v>6421791.6041608481</v>
      </c>
      <c r="BR42" s="488">
        <f t="shared" si="54"/>
        <v>6421791.6041608481</v>
      </c>
      <c r="BS42" s="488">
        <f t="shared" si="54"/>
        <v>6421791.6041608481</v>
      </c>
      <c r="BT42" s="488">
        <f t="shared" si="54"/>
        <v>6421791.6041608481</v>
      </c>
      <c r="BU42" s="488">
        <f t="shared" si="54"/>
        <v>6421791.6041608481</v>
      </c>
      <c r="BV42" s="488">
        <f t="shared" si="54"/>
        <v>6421791.6041608481</v>
      </c>
      <c r="BW42" s="488">
        <f t="shared" si="54"/>
        <v>6421791.6041608481</v>
      </c>
      <c r="BX42" s="488">
        <f t="shared" si="54"/>
        <v>6421791.6041608481</v>
      </c>
      <c r="BY42" s="488">
        <f t="shared" si="54"/>
        <v>6421791.6041608481</v>
      </c>
      <c r="BZ42" s="488">
        <f t="shared" si="54"/>
        <v>6421791.6041608481</v>
      </c>
      <c r="CA42" s="488">
        <f t="shared" si="54"/>
        <v>6421791.6041608481</v>
      </c>
      <c r="CB42" s="488">
        <f t="shared" si="54"/>
        <v>6421791.6041608481</v>
      </c>
      <c r="CC42" s="488">
        <f t="shared" si="54"/>
        <v>6421791.6041608481</v>
      </c>
      <c r="CD42" s="488">
        <f t="shared" si="54"/>
        <v>6421791.6041608481</v>
      </c>
      <c r="CE42" s="488">
        <f t="shared" si="54"/>
        <v>6421791.6041608481</v>
      </c>
      <c r="CF42" s="488">
        <f t="shared" si="54"/>
        <v>6421791.6041608481</v>
      </c>
      <c r="CG42" s="488">
        <f t="shared" si="54"/>
        <v>6421791.6041608481</v>
      </c>
      <c r="CH42" s="488">
        <f t="shared" si="54"/>
        <v>6421791.6041608481</v>
      </c>
      <c r="CI42" s="488">
        <f t="shared" si="54"/>
        <v>6421791.6041608481</v>
      </c>
      <c r="CJ42" s="488">
        <f t="shared" si="54"/>
        <v>6421791.6041608481</v>
      </c>
      <c r="CK42" s="488">
        <f t="shared" si="54"/>
        <v>6421791.6041608481</v>
      </c>
      <c r="CL42" s="488">
        <f t="shared" si="54"/>
        <v>6421791.6041608481</v>
      </c>
      <c r="CM42" s="380">
        <f t="shared" si="26"/>
        <v>6421791.6041608471</v>
      </c>
      <c r="CN42" s="435"/>
      <c r="CO42" s="435"/>
      <c r="CP42" s="435"/>
      <c r="CQ42" s="435"/>
      <c r="CR42" s="435"/>
      <c r="CS42" s="435"/>
      <c r="CT42" s="435"/>
      <c r="CU42" s="435"/>
      <c r="CV42" s="435"/>
      <c r="CW42" s="435"/>
      <c r="CX42" s="435"/>
      <c r="CY42" s="435"/>
      <c r="CZ42" s="435"/>
      <c r="DA42" s="435"/>
      <c r="DB42" s="435"/>
      <c r="DC42" s="435"/>
      <c r="DD42" s="435"/>
      <c r="DE42" s="435"/>
      <c r="DF42" s="435"/>
      <c r="DG42" s="435"/>
      <c r="DH42" s="435"/>
      <c r="DI42" s="435"/>
      <c r="DJ42" s="435"/>
      <c r="DK42" s="435"/>
      <c r="DL42" s="435"/>
      <c r="DM42" s="435"/>
      <c r="DN42" s="435"/>
      <c r="DO42" s="435"/>
      <c r="DP42" s="435"/>
      <c r="DQ42" s="435"/>
      <c r="DR42" s="435"/>
      <c r="DS42" s="435"/>
      <c r="DT42" s="435"/>
      <c r="DU42" s="435"/>
      <c r="DV42" s="435"/>
      <c r="DW42" s="435"/>
      <c r="DX42" s="435"/>
      <c r="DY42" s="435"/>
      <c r="DZ42" s="435"/>
      <c r="EA42" s="435"/>
      <c r="EB42" s="435"/>
      <c r="EC42" s="435"/>
      <c r="ED42" s="435"/>
      <c r="EE42" s="435"/>
      <c r="EF42" s="435"/>
      <c r="EG42" s="435"/>
      <c r="EH42" s="435"/>
      <c r="EI42" s="435"/>
      <c r="EJ42" s="435"/>
      <c r="EK42" s="435"/>
      <c r="EL42" s="435"/>
      <c r="EM42" s="435"/>
      <c r="EN42" s="435"/>
      <c r="EO42" s="435"/>
      <c r="EP42" s="435"/>
      <c r="EQ42" s="435"/>
      <c r="ER42" s="435"/>
      <c r="ES42" s="435"/>
      <c r="ET42" s="435"/>
      <c r="EU42" s="435"/>
      <c r="EV42" s="435"/>
      <c r="EW42" s="435"/>
      <c r="EX42" s="435"/>
      <c r="EY42" s="435"/>
      <c r="EZ42" s="435"/>
      <c r="FA42" s="435"/>
      <c r="FB42" s="435"/>
      <c r="FC42" s="435"/>
      <c r="FD42" s="435"/>
      <c r="FE42" s="435"/>
      <c r="FF42" s="435"/>
      <c r="FG42" s="435"/>
      <c r="FH42" s="435"/>
      <c r="FI42" s="435"/>
      <c r="FJ42" s="435"/>
      <c r="FK42" s="435"/>
      <c r="FL42" s="435"/>
      <c r="FM42" s="435"/>
      <c r="FN42" s="435"/>
      <c r="FO42" s="435"/>
      <c r="FP42" s="435"/>
      <c r="FQ42" s="435"/>
      <c r="FR42" s="435"/>
      <c r="FS42" s="435"/>
      <c r="FT42" s="435"/>
      <c r="FU42" s="435"/>
      <c r="FV42" s="435"/>
      <c r="FW42" s="317"/>
    </row>
    <row r="43" spans="1:179">
      <c r="A43" s="1371"/>
      <c r="B43" s="384" t="s">
        <v>399</v>
      </c>
      <c r="C43" s="385" t="s">
        <v>352</v>
      </c>
      <c r="D43" s="378"/>
      <c r="E43" s="381">
        <v>113.95</v>
      </c>
      <c r="F43" s="474" t="s">
        <v>433</v>
      </c>
      <c r="G43" s="489">
        <f t="shared" ref="G43:R43" si="55">$E$43*G16</f>
        <v>12613011.550000001</v>
      </c>
      <c r="H43" s="489">
        <f t="shared" si="55"/>
        <v>12613011.550000001</v>
      </c>
      <c r="I43" s="489">
        <f t="shared" si="55"/>
        <v>12613011.550000001</v>
      </c>
      <c r="J43" s="489">
        <f t="shared" si="55"/>
        <v>12613011.550000001</v>
      </c>
      <c r="K43" s="489">
        <f t="shared" si="55"/>
        <v>12613011.550000001</v>
      </c>
      <c r="L43" s="489">
        <f t="shared" si="55"/>
        <v>12613011.550000001</v>
      </c>
      <c r="M43" s="489">
        <f t="shared" si="55"/>
        <v>12613011.550000001</v>
      </c>
      <c r="N43" s="489">
        <f t="shared" si="55"/>
        <v>12613011.550000001</v>
      </c>
      <c r="O43" s="489">
        <f t="shared" si="55"/>
        <v>12613011.550000001</v>
      </c>
      <c r="P43" s="489">
        <f t="shared" si="55"/>
        <v>12613011.550000001</v>
      </c>
      <c r="Q43" s="489">
        <f t="shared" si="55"/>
        <v>12613011.550000001</v>
      </c>
      <c r="R43" s="489">
        <f t="shared" si="55"/>
        <v>12613011.550000001</v>
      </c>
      <c r="S43" s="489">
        <f t="shared" ref="S43:AS43" si="56">$E$43*S16</f>
        <v>12613011.550000001</v>
      </c>
      <c r="T43" s="489">
        <f t="shared" si="56"/>
        <v>12613011.550000001</v>
      </c>
      <c r="U43" s="489">
        <f t="shared" si="56"/>
        <v>12613011.550000001</v>
      </c>
      <c r="V43" s="489">
        <f t="shared" si="56"/>
        <v>12613011.550000001</v>
      </c>
      <c r="W43" s="489">
        <f t="shared" si="56"/>
        <v>12613011.550000001</v>
      </c>
      <c r="X43" s="489">
        <f t="shared" si="56"/>
        <v>12613011.550000001</v>
      </c>
      <c r="Y43" s="489">
        <f t="shared" si="56"/>
        <v>12613011.550000001</v>
      </c>
      <c r="Z43" s="489">
        <f t="shared" si="56"/>
        <v>12613011.550000001</v>
      </c>
      <c r="AA43" s="489">
        <f t="shared" si="56"/>
        <v>12613011.550000001</v>
      </c>
      <c r="AB43" s="489">
        <f t="shared" si="56"/>
        <v>12613011.550000001</v>
      </c>
      <c r="AC43" s="489">
        <f t="shared" si="56"/>
        <v>12613011.550000001</v>
      </c>
      <c r="AD43" s="489">
        <f t="shared" si="56"/>
        <v>12613011.550000001</v>
      </c>
      <c r="AE43" s="489">
        <f t="shared" si="56"/>
        <v>12613011.550000001</v>
      </c>
      <c r="AF43" s="489">
        <f t="shared" si="56"/>
        <v>12613011.550000001</v>
      </c>
      <c r="AG43" s="489">
        <f t="shared" si="56"/>
        <v>12613011.550000001</v>
      </c>
      <c r="AH43" s="489">
        <f t="shared" si="56"/>
        <v>12613011.550000001</v>
      </c>
      <c r="AI43" s="489">
        <f t="shared" si="56"/>
        <v>12613011.550000001</v>
      </c>
      <c r="AJ43" s="489">
        <f t="shared" si="56"/>
        <v>12613011.550000001</v>
      </c>
      <c r="AK43" s="489">
        <f t="shared" si="56"/>
        <v>12613011.550000001</v>
      </c>
      <c r="AL43" s="489">
        <f t="shared" si="56"/>
        <v>12613011.550000001</v>
      </c>
      <c r="AM43" s="489">
        <f t="shared" si="56"/>
        <v>12613011.550000001</v>
      </c>
      <c r="AN43" s="489">
        <f t="shared" si="56"/>
        <v>12613011.550000001</v>
      </c>
      <c r="AO43" s="489">
        <f t="shared" si="56"/>
        <v>12613011.550000001</v>
      </c>
      <c r="AP43" s="489">
        <f t="shared" si="56"/>
        <v>12613011.550000001</v>
      </c>
      <c r="AQ43" s="489">
        <f t="shared" si="56"/>
        <v>12613011.550000001</v>
      </c>
      <c r="AR43" s="489">
        <f t="shared" si="56"/>
        <v>12613011.550000001</v>
      </c>
      <c r="AS43" s="489">
        <f t="shared" si="56"/>
        <v>12613011.550000001</v>
      </c>
      <c r="AT43" s="489">
        <f>$E$43*AT16</f>
        <v>12613011.550000001</v>
      </c>
      <c r="AU43" s="490">
        <f t="shared" ref="AU43:CL43" si="57">$E$43*AU16</f>
        <v>12613011.550000001</v>
      </c>
      <c r="AV43" s="490">
        <f t="shared" si="57"/>
        <v>12613011.550000001</v>
      </c>
      <c r="AW43" s="490">
        <f t="shared" si="57"/>
        <v>12613011.550000001</v>
      </c>
      <c r="AX43" s="490">
        <f t="shared" si="57"/>
        <v>12613011.550000001</v>
      </c>
      <c r="AY43" s="490">
        <f t="shared" si="57"/>
        <v>12613011.550000001</v>
      </c>
      <c r="AZ43" s="490">
        <f t="shared" si="57"/>
        <v>12613011.550000001</v>
      </c>
      <c r="BA43" s="490">
        <f t="shared" si="57"/>
        <v>12613011.550000001</v>
      </c>
      <c r="BB43" s="490">
        <f t="shared" si="57"/>
        <v>12613011.550000001</v>
      </c>
      <c r="BC43" s="490">
        <f t="shared" si="57"/>
        <v>12613011.550000001</v>
      </c>
      <c r="BD43" s="490">
        <f t="shared" si="57"/>
        <v>12613011.550000001</v>
      </c>
      <c r="BE43" s="490">
        <f t="shared" si="57"/>
        <v>12613011.550000001</v>
      </c>
      <c r="BF43" s="490">
        <f t="shared" si="57"/>
        <v>12613011.550000001</v>
      </c>
      <c r="BG43" s="490">
        <f t="shared" si="57"/>
        <v>12613011.550000001</v>
      </c>
      <c r="BH43" s="490">
        <f t="shared" si="57"/>
        <v>12613011.550000001</v>
      </c>
      <c r="BI43" s="490">
        <f t="shared" si="57"/>
        <v>12613011.550000001</v>
      </c>
      <c r="BJ43" s="490">
        <f t="shared" si="57"/>
        <v>12613011.550000001</v>
      </c>
      <c r="BK43" s="490">
        <f t="shared" si="57"/>
        <v>12613011.550000001</v>
      </c>
      <c r="BL43" s="490">
        <f t="shared" si="57"/>
        <v>12613011.550000001</v>
      </c>
      <c r="BM43" s="490">
        <f t="shared" si="57"/>
        <v>12613011.550000001</v>
      </c>
      <c r="BN43" s="490">
        <f t="shared" si="57"/>
        <v>12613011.550000001</v>
      </c>
      <c r="BO43" s="490">
        <f t="shared" si="57"/>
        <v>12613011.550000001</v>
      </c>
      <c r="BP43" s="490">
        <f t="shared" si="57"/>
        <v>12613011.550000001</v>
      </c>
      <c r="BQ43" s="490">
        <f t="shared" si="57"/>
        <v>12613011.550000001</v>
      </c>
      <c r="BR43" s="490">
        <f t="shared" si="57"/>
        <v>12613011.550000001</v>
      </c>
      <c r="BS43" s="490">
        <f t="shared" si="57"/>
        <v>12613011.550000001</v>
      </c>
      <c r="BT43" s="490">
        <f t="shared" si="57"/>
        <v>12613011.550000001</v>
      </c>
      <c r="BU43" s="490">
        <f t="shared" si="57"/>
        <v>12613011.550000001</v>
      </c>
      <c r="BV43" s="490">
        <f t="shared" si="57"/>
        <v>12613011.550000001</v>
      </c>
      <c r="BW43" s="490">
        <f t="shared" si="57"/>
        <v>12613011.550000001</v>
      </c>
      <c r="BX43" s="490">
        <f t="shared" si="57"/>
        <v>12613011.550000001</v>
      </c>
      <c r="BY43" s="490">
        <f t="shared" si="57"/>
        <v>12613011.550000001</v>
      </c>
      <c r="BZ43" s="490">
        <f t="shared" si="57"/>
        <v>12613011.550000001</v>
      </c>
      <c r="CA43" s="490">
        <f t="shared" si="57"/>
        <v>12613011.550000001</v>
      </c>
      <c r="CB43" s="490">
        <f t="shared" si="57"/>
        <v>12613011.550000001</v>
      </c>
      <c r="CC43" s="490">
        <f t="shared" si="57"/>
        <v>12613011.550000001</v>
      </c>
      <c r="CD43" s="490">
        <f t="shared" si="57"/>
        <v>12613011.550000001</v>
      </c>
      <c r="CE43" s="490">
        <f t="shared" si="57"/>
        <v>12613011.550000001</v>
      </c>
      <c r="CF43" s="490">
        <f t="shared" si="57"/>
        <v>12613011.550000001</v>
      </c>
      <c r="CG43" s="490">
        <f t="shared" si="57"/>
        <v>12613011.550000001</v>
      </c>
      <c r="CH43" s="490">
        <f t="shared" si="57"/>
        <v>12613011.550000001</v>
      </c>
      <c r="CI43" s="490">
        <f t="shared" si="57"/>
        <v>12613011.550000001</v>
      </c>
      <c r="CJ43" s="490">
        <f t="shared" si="57"/>
        <v>12613011.550000001</v>
      </c>
      <c r="CK43" s="490">
        <f t="shared" si="57"/>
        <v>12613011.550000001</v>
      </c>
      <c r="CL43" s="490">
        <f t="shared" si="57"/>
        <v>12613011.550000001</v>
      </c>
      <c r="CM43" s="380">
        <f t="shared" si="26"/>
        <v>12613011.54999998</v>
      </c>
      <c r="CN43" s="435"/>
      <c r="CO43" s="435"/>
      <c r="CP43" s="435"/>
      <c r="CQ43" s="435"/>
      <c r="CR43" s="435"/>
      <c r="CS43" s="435"/>
      <c r="CT43" s="435"/>
      <c r="CU43" s="435"/>
      <c r="CV43" s="435"/>
      <c r="CW43" s="435"/>
      <c r="CX43" s="435"/>
      <c r="CY43" s="435"/>
      <c r="CZ43" s="435"/>
      <c r="DA43" s="435"/>
      <c r="DB43" s="435"/>
      <c r="DC43" s="435"/>
      <c r="DD43" s="435"/>
      <c r="DE43" s="435"/>
      <c r="DF43" s="435"/>
      <c r="DG43" s="435"/>
      <c r="DH43" s="435"/>
      <c r="DI43" s="435"/>
      <c r="DJ43" s="435"/>
      <c r="DK43" s="435"/>
      <c r="DL43" s="435"/>
      <c r="DM43" s="435"/>
      <c r="DN43" s="435"/>
      <c r="DO43" s="435"/>
      <c r="DP43" s="435"/>
      <c r="DQ43" s="435"/>
      <c r="DR43" s="435"/>
      <c r="DS43" s="435"/>
      <c r="DT43" s="435"/>
      <c r="DU43" s="435"/>
      <c r="DV43" s="435"/>
      <c r="DW43" s="435"/>
      <c r="DX43" s="435"/>
      <c r="DY43" s="435"/>
      <c r="DZ43" s="435"/>
      <c r="EA43" s="435"/>
      <c r="EB43" s="435"/>
      <c r="EC43" s="435"/>
      <c r="ED43" s="435"/>
      <c r="EE43" s="435"/>
      <c r="EF43" s="435"/>
      <c r="EG43" s="435"/>
      <c r="EH43" s="435"/>
      <c r="EI43" s="435"/>
      <c r="EJ43" s="435"/>
      <c r="EK43" s="435"/>
      <c r="EL43" s="435"/>
      <c r="EM43" s="435"/>
      <c r="EN43" s="435"/>
      <c r="EO43" s="435"/>
      <c r="EP43" s="435"/>
      <c r="EQ43" s="435"/>
      <c r="ER43" s="435"/>
      <c r="ES43" s="435"/>
      <c r="ET43" s="435"/>
      <c r="EU43" s="435"/>
      <c r="EV43" s="435"/>
      <c r="EW43" s="435"/>
      <c r="EX43" s="435"/>
      <c r="EY43" s="435"/>
      <c r="EZ43" s="435"/>
      <c r="FA43" s="435"/>
      <c r="FB43" s="435"/>
      <c r="FC43" s="435"/>
      <c r="FD43" s="435"/>
      <c r="FE43" s="435"/>
      <c r="FF43" s="435"/>
      <c r="FG43" s="435"/>
      <c r="FH43" s="435"/>
      <c r="FI43" s="435"/>
      <c r="FJ43" s="435"/>
      <c r="FK43" s="435"/>
      <c r="FL43" s="435"/>
      <c r="FM43" s="435"/>
      <c r="FN43" s="435"/>
      <c r="FO43" s="435"/>
      <c r="FP43" s="435"/>
      <c r="FQ43" s="435"/>
      <c r="FR43" s="435"/>
      <c r="FS43" s="435"/>
      <c r="FT43" s="435"/>
      <c r="FU43" s="435"/>
      <c r="FV43" s="435"/>
    </row>
    <row r="44" spans="1:179" ht="17.25" customHeight="1">
      <c r="A44" s="419" t="s">
        <v>35</v>
      </c>
      <c r="B44" s="420" t="s">
        <v>399</v>
      </c>
      <c r="C44" s="419" t="s">
        <v>352</v>
      </c>
      <c r="D44" s="419"/>
      <c r="E44" s="421">
        <v>7924</v>
      </c>
      <c r="F44" s="491" t="s">
        <v>411</v>
      </c>
      <c r="G44" s="492">
        <f t="shared" ref="G44:R44" si="58">7924*G16</f>
        <v>877099636</v>
      </c>
      <c r="H44" s="492">
        <f t="shared" si="58"/>
        <v>877099636</v>
      </c>
      <c r="I44" s="492">
        <f t="shared" si="58"/>
        <v>877099636</v>
      </c>
      <c r="J44" s="492">
        <f t="shared" si="58"/>
        <v>877099636</v>
      </c>
      <c r="K44" s="492">
        <f t="shared" si="58"/>
        <v>877099636</v>
      </c>
      <c r="L44" s="492">
        <f t="shared" si="58"/>
        <v>877099636</v>
      </c>
      <c r="M44" s="492">
        <f t="shared" si="58"/>
        <v>877099636</v>
      </c>
      <c r="N44" s="492">
        <f t="shared" si="58"/>
        <v>877099636</v>
      </c>
      <c r="O44" s="492">
        <f t="shared" si="58"/>
        <v>877099636</v>
      </c>
      <c r="P44" s="492">
        <f t="shared" si="58"/>
        <v>877099636</v>
      </c>
      <c r="Q44" s="492">
        <f t="shared" si="58"/>
        <v>877099636</v>
      </c>
      <c r="R44" s="492">
        <f t="shared" si="58"/>
        <v>877099636</v>
      </c>
      <c r="S44" s="492">
        <f t="shared" ref="S44:AS44" si="59">7924*S16</f>
        <v>877099636</v>
      </c>
      <c r="T44" s="492">
        <f t="shared" si="59"/>
        <v>877099636</v>
      </c>
      <c r="U44" s="492">
        <f t="shared" si="59"/>
        <v>877099636</v>
      </c>
      <c r="V44" s="492">
        <f t="shared" si="59"/>
        <v>877099636</v>
      </c>
      <c r="W44" s="492">
        <f t="shared" si="59"/>
        <v>877099636</v>
      </c>
      <c r="X44" s="492">
        <f t="shared" si="59"/>
        <v>877099636</v>
      </c>
      <c r="Y44" s="492">
        <f t="shared" si="59"/>
        <v>877099636</v>
      </c>
      <c r="Z44" s="492">
        <f t="shared" si="59"/>
        <v>877099636</v>
      </c>
      <c r="AA44" s="492">
        <f t="shared" si="59"/>
        <v>877099636</v>
      </c>
      <c r="AB44" s="492">
        <f t="shared" si="59"/>
        <v>877099636</v>
      </c>
      <c r="AC44" s="492">
        <f t="shared" si="59"/>
        <v>877099636</v>
      </c>
      <c r="AD44" s="492">
        <f t="shared" si="59"/>
        <v>877099636</v>
      </c>
      <c r="AE44" s="492">
        <f t="shared" si="59"/>
        <v>877099636</v>
      </c>
      <c r="AF44" s="492">
        <f t="shared" si="59"/>
        <v>877099636</v>
      </c>
      <c r="AG44" s="492">
        <f t="shared" si="59"/>
        <v>877099636</v>
      </c>
      <c r="AH44" s="492">
        <f t="shared" si="59"/>
        <v>877099636</v>
      </c>
      <c r="AI44" s="492">
        <f t="shared" si="59"/>
        <v>877099636</v>
      </c>
      <c r="AJ44" s="492">
        <f t="shared" si="59"/>
        <v>877099636</v>
      </c>
      <c r="AK44" s="492">
        <f t="shared" si="59"/>
        <v>877099636</v>
      </c>
      <c r="AL44" s="492">
        <f t="shared" si="59"/>
        <v>877099636</v>
      </c>
      <c r="AM44" s="492">
        <f t="shared" si="59"/>
        <v>877099636</v>
      </c>
      <c r="AN44" s="492">
        <f t="shared" si="59"/>
        <v>877099636</v>
      </c>
      <c r="AO44" s="492">
        <f t="shared" si="59"/>
        <v>877099636</v>
      </c>
      <c r="AP44" s="492">
        <f t="shared" si="59"/>
        <v>877099636</v>
      </c>
      <c r="AQ44" s="492">
        <f t="shared" si="59"/>
        <v>877099636</v>
      </c>
      <c r="AR44" s="492">
        <f t="shared" si="59"/>
        <v>877099636</v>
      </c>
      <c r="AS44" s="492">
        <f t="shared" si="59"/>
        <v>877099636</v>
      </c>
      <c r="AT44" s="492">
        <f>7924*AT16</f>
        <v>877099636</v>
      </c>
      <c r="AU44" s="493">
        <f t="shared" ref="AU44:CL44" si="60">7924*AU16</f>
        <v>877099636</v>
      </c>
      <c r="AV44" s="493">
        <f t="shared" si="60"/>
        <v>877099636</v>
      </c>
      <c r="AW44" s="493">
        <f t="shared" si="60"/>
        <v>877099636</v>
      </c>
      <c r="AX44" s="493">
        <f t="shared" si="60"/>
        <v>877099636</v>
      </c>
      <c r="AY44" s="493">
        <f t="shared" si="60"/>
        <v>877099636</v>
      </c>
      <c r="AZ44" s="493">
        <f t="shared" si="60"/>
        <v>877099636</v>
      </c>
      <c r="BA44" s="493">
        <f t="shared" si="60"/>
        <v>877099636</v>
      </c>
      <c r="BB44" s="493">
        <f t="shared" si="60"/>
        <v>877099636</v>
      </c>
      <c r="BC44" s="493">
        <f t="shared" si="60"/>
        <v>877099636</v>
      </c>
      <c r="BD44" s="493">
        <f t="shared" si="60"/>
        <v>877099636</v>
      </c>
      <c r="BE44" s="493">
        <f t="shared" si="60"/>
        <v>877099636</v>
      </c>
      <c r="BF44" s="493">
        <f t="shared" si="60"/>
        <v>877099636</v>
      </c>
      <c r="BG44" s="493">
        <f t="shared" si="60"/>
        <v>877099636</v>
      </c>
      <c r="BH44" s="493">
        <f t="shared" si="60"/>
        <v>877099636</v>
      </c>
      <c r="BI44" s="493">
        <f t="shared" si="60"/>
        <v>877099636</v>
      </c>
      <c r="BJ44" s="493">
        <f t="shared" si="60"/>
        <v>877099636</v>
      </c>
      <c r="BK44" s="493">
        <f t="shared" si="60"/>
        <v>877099636</v>
      </c>
      <c r="BL44" s="493">
        <f t="shared" si="60"/>
        <v>877099636</v>
      </c>
      <c r="BM44" s="493">
        <f t="shared" si="60"/>
        <v>877099636</v>
      </c>
      <c r="BN44" s="493">
        <f t="shared" si="60"/>
        <v>877099636</v>
      </c>
      <c r="BO44" s="493">
        <f t="shared" si="60"/>
        <v>877099636</v>
      </c>
      <c r="BP44" s="493">
        <f t="shared" si="60"/>
        <v>877099636</v>
      </c>
      <c r="BQ44" s="493">
        <f t="shared" si="60"/>
        <v>877099636</v>
      </c>
      <c r="BR44" s="493">
        <f t="shared" si="60"/>
        <v>877099636</v>
      </c>
      <c r="BS44" s="493">
        <f t="shared" si="60"/>
        <v>877099636</v>
      </c>
      <c r="BT44" s="493">
        <f t="shared" si="60"/>
        <v>877099636</v>
      </c>
      <c r="BU44" s="493">
        <f t="shared" si="60"/>
        <v>877099636</v>
      </c>
      <c r="BV44" s="493">
        <f t="shared" si="60"/>
        <v>877099636</v>
      </c>
      <c r="BW44" s="493">
        <f t="shared" si="60"/>
        <v>877099636</v>
      </c>
      <c r="BX44" s="493">
        <f t="shared" si="60"/>
        <v>877099636</v>
      </c>
      <c r="BY44" s="493">
        <f t="shared" si="60"/>
        <v>877099636</v>
      </c>
      <c r="BZ44" s="493">
        <f t="shared" si="60"/>
        <v>877099636</v>
      </c>
      <c r="CA44" s="493">
        <f t="shared" si="60"/>
        <v>877099636</v>
      </c>
      <c r="CB44" s="493">
        <f t="shared" si="60"/>
        <v>877099636</v>
      </c>
      <c r="CC44" s="493">
        <f t="shared" si="60"/>
        <v>877099636</v>
      </c>
      <c r="CD44" s="493">
        <f t="shared" si="60"/>
        <v>877099636</v>
      </c>
      <c r="CE44" s="493">
        <f t="shared" si="60"/>
        <v>877099636</v>
      </c>
      <c r="CF44" s="493">
        <f t="shared" si="60"/>
        <v>877099636</v>
      </c>
      <c r="CG44" s="493">
        <f t="shared" si="60"/>
        <v>877099636</v>
      </c>
      <c r="CH44" s="493">
        <f t="shared" si="60"/>
        <v>877099636</v>
      </c>
      <c r="CI44" s="493">
        <f t="shared" si="60"/>
        <v>877099636</v>
      </c>
      <c r="CJ44" s="493">
        <f t="shared" si="60"/>
        <v>877099636</v>
      </c>
      <c r="CK44" s="493">
        <f t="shared" si="60"/>
        <v>877099636</v>
      </c>
      <c r="CL44" s="493">
        <f t="shared" si="60"/>
        <v>877099636</v>
      </c>
      <c r="CM44" s="380">
        <f t="shared" si="26"/>
        <v>877099636</v>
      </c>
      <c r="CN44" s="435"/>
      <c r="CO44" s="435"/>
      <c r="CP44" s="435"/>
      <c r="CQ44" s="435"/>
      <c r="CR44" s="435"/>
      <c r="CS44" s="435"/>
      <c r="CT44" s="435"/>
      <c r="CU44" s="435"/>
      <c r="CV44" s="435"/>
      <c r="CW44" s="435"/>
      <c r="CX44" s="435"/>
      <c r="CY44" s="435"/>
      <c r="CZ44" s="435"/>
      <c r="DA44" s="435"/>
      <c r="DB44" s="435"/>
      <c r="DC44" s="435"/>
      <c r="DD44" s="435"/>
      <c r="DE44" s="435"/>
      <c r="DF44" s="435"/>
      <c r="DG44" s="435"/>
      <c r="DH44" s="435"/>
      <c r="DI44" s="435"/>
      <c r="DJ44" s="435"/>
      <c r="DK44" s="435"/>
      <c r="DL44" s="435"/>
      <c r="DM44" s="435"/>
      <c r="DN44" s="435"/>
      <c r="DO44" s="435"/>
      <c r="DP44" s="435"/>
      <c r="DQ44" s="435"/>
      <c r="DR44" s="435"/>
      <c r="DS44" s="435"/>
      <c r="DT44" s="435"/>
      <c r="DU44" s="435"/>
      <c r="DV44" s="435"/>
      <c r="DW44" s="435"/>
      <c r="DX44" s="435"/>
      <c r="DY44" s="435"/>
      <c r="DZ44" s="435"/>
      <c r="EA44" s="435"/>
      <c r="EB44" s="435"/>
      <c r="EC44" s="435"/>
      <c r="ED44" s="435"/>
      <c r="EE44" s="435"/>
      <c r="EF44" s="435"/>
      <c r="EG44" s="435"/>
      <c r="EH44" s="435"/>
      <c r="EI44" s="435"/>
      <c r="EJ44" s="435"/>
      <c r="EK44" s="435"/>
      <c r="EL44" s="435"/>
      <c r="EM44" s="435"/>
      <c r="EN44" s="435"/>
      <c r="EO44" s="435"/>
      <c r="EP44" s="435"/>
      <c r="EQ44" s="435"/>
      <c r="ER44" s="435"/>
      <c r="ES44" s="435"/>
      <c r="ET44" s="435"/>
      <c r="EU44" s="435"/>
      <c r="EV44" s="435"/>
      <c r="EW44" s="435"/>
      <c r="EX44" s="435"/>
      <c r="EY44" s="435"/>
      <c r="EZ44" s="435"/>
      <c r="FA44" s="435"/>
      <c r="FB44" s="435"/>
      <c r="FC44" s="435"/>
      <c r="FD44" s="435"/>
      <c r="FE44" s="435"/>
      <c r="FF44" s="435"/>
      <c r="FG44" s="435"/>
      <c r="FH44" s="435"/>
      <c r="FI44" s="435"/>
      <c r="FJ44" s="435"/>
      <c r="FK44" s="435"/>
      <c r="FL44" s="435"/>
      <c r="FM44" s="435"/>
      <c r="FN44" s="435"/>
      <c r="FO44" s="435"/>
      <c r="FP44" s="435"/>
      <c r="FQ44" s="435"/>
      <c r="FR44" s="435"/>
      <c r="FS44" s="435"/>
      <c r="FT44" s="435"/>
      <c r="FU44" s="435"/>
      <c r="FV44" s="435"/>
    </row>
    <row r="45" spans="1:179" s="75" customFormat="1" ht="20.25" customHeight="1">
      <c r="A45" s="422" t="s">
        <v>269</v>
      </c>
      <c r="B45" s="423" t="s">
        <v>399</v>
      </c>
      <c r="C45" s="422" t="s">
        <v>352</v>
      </c>
      <c r="D45" s="422"/>
      <c r="E45" s="424">
        <v>3131</v>
      </c>
      <c r="F45" s="440" t="s">
        <v>432</v>
      </c>
      <c r="G45" s="494">
        <f t="shared" ref="G45:R45" si="61">3131*G16</f>
        <v>346567259</v>
      </c>
      <c r="H45" s="494">
        <f t="shared" si="61"/>
        <v>346567259</v>
      </c>
      <c r="I45" s="494">
        <f t="shared" si="61"/>
        <v>346567259</v>
      </c>
      <c r="J45" s="494">
        <f t="shared" si="61"/>
        <v>346567259</v>
      </c>
      <c r="K45" s="494">
        <f t="shared" si="61"/>
        <v>346567259</v>
      </c>
      <c r="L45" s="494">
        <f t="shared" si="61"/>
        <v>346567259</v>
      </c>
      <c r="M45" s="494">
        <f t="shared" si="61"/>
        <v>346567259</v>
      </c>
      <c r="N45" s="494">
        <f t="shared" si="61"/>
        <v>346567259</v>
      </c>
      <c r="O45" s="494">
        <f t="shared" si="61"/>
        <v>346567259</v>
      </c>
      <c r="P45" s="494">
        <f t="shared" si="61"/>
        <v>346567259</v>
      </c>
      <c r="Q45" s="494">
        <f t="shared" si="61"/>
        <v>346567259</v>
      </c>
      <c r="R45" s="494">
        <f t="shared" si="61"/>
        <v>346567259</v>
      </c>
      <c r="S45" s="494">
        <f t="shared" ref="S45:AS45" si="62">3131*S16</f>
        <v>346567259</v>
      </c>
      <c r="T45" s="494">
        <f t="shared" si="62"/>
        <v>346567259</v>
      </c>
      <c r="U45" s="494">
        <f t="shared" si="62"/>
        <v>346567259</v>
      </c>
      <c r="V45" s="494">
        <f t="shared" si="62"/>
        <v>346567259</v>
      </c>
      <c r="W45" s="494">
        <f t="shared" si="62"/>
        <v>346567259</v>
      </c>
      <c r="X45" s="494">
        <f t="shared" si="62"/>
        <v>346567259</v>
      </c>
      <c r="Y45" s="494">
        <f t="shared" si="62"/>
        <v>346567259</v>
      </c>
      <c r="Z45" s="494">
        <f t="shared" si="62"/>
        <v>346567259</v>
      </c>
      <c r="AA45" s="494">
        <f t="shared" si="62"/>
        <v>346567259</v>
      </c>
      <c r="AB45" s="494">
        <f t="shared" si="62"/>
        <v>346567259</v>
      </c>
      <c r="AC45" s="494">
        <f t="shared" si="62"/>
        <v>346567259</v>
      </c>
      <c r="AD45" s="494">
        <f t="shared" si="62"/>
        <v>346567259</v>
      </c>
      <c r="AE45" s="494">
        <f t="shared" si="62"/>
        <v>346567259</v>
      </c>
      <c r="AF45" s="494">
        <f t="shared" si="62"/>
        <v>346567259</v>
      </c>
      <c r="AG45" s="494">
        <f t="shared" si="62"/>
        <v>346567259</v>
      </c>
      <c r="AH45" s="494">
        <f t="shared" si="62"/>
        <v>346567259</v>
      </c>
      <c r="AI45" s="494">
        <f t="shared" si="62"/>
        <v>346567259</v>
      </c>
      <c r="AJ45" s="494">
        <f t="shared" si="62"/>
        <v>346567259</v>
      </c>
      <c r="AK45" s="494">
        <f t="shared" si="62"/>
        <v>346567259</v>
      </c>
      <c r="AL45" s="494">
        <f t="shared" si="62"/>
        <v>346567259</v>
      </c>
      <c r="AM45" s="494">
        <f t="shared" si="62"/>
        <v>346567259</v>
      </c>
      <c r="AN45" s="494">
        <f t="shared" si="62"/>
        <v>346567259</v>
      </c>
      <c r="AO45" s="494">
        <f t="shared" si="62"/>
        <v>346567259</v>
      </c>
      <c r="AP45" s="494">
        <f t="shared" si="62"/>
        <v>346567259</v>
      </c>
      <c r="AQ45" s="494">
        <f t="shared" si="62"/>
        <v>346567259</v>
      </c>
      <c r="AR45" s="494">
        <f t="shared" si="62"/>
        <v>346567259</v>
      </c>
      <c r="AS45" s="494">
        <f t="shared" si="62"/>
        <v>346567259</v>
      </c>
      <c r="AT45" s="494">
        <f>3131*AT16</f>
        <v>346567259</v>
      </c>
      <c r="AU45" s="495">
        <f t="shared" ref="AU45:CL45" si="63">3131*AU16</f>
        <v>346567259</v>
      </c>
      <c r="AV45" s="495">
        <f t="shared" si="63"/>
        <v>346567259</v>
      </c>
      <c r="AW45" s="495">
        <f t="shared" si="63"/>
        <v>346567259</v>
      </c>
      <c r="AX45" s="495">
        <f t="shared" si="63"/>
        <v>346567259</v>
      </c>
      <c r="AY45" s="495">
        <f t="shared" si="63"/>
        <v>346567259</v>
      </c>
      <c r="AZ45" s="495">
        <f t="shared" si="63"/>
        <v>346567259</v>
      </c>
      <c r="BA45" s="495">
        <f t="shared" si="63"/>
        <v>346567259</v>
      </c>
      <c r="BB45" s="495">
        <f t="shared" si="63"/>
        <v>346567259</v>
      </c>
      <c r="BC45" s="495">
        <f t="shared" si="63"/>
        <v>346567259</v>
      </c>
      <c r="BD45" s="495">
        <f t="shared" si="63"/>
        <v>346567259</v>
      </c>
      <c r="BE45" s="495">
        <f t="shared" si="63"/>
        <v>346567259</v>
      </c>
      <c r="BF45" s="495">
        <f t="shared" si="63"/>
        <v>346567259</v>
      </c>
      <c r="BG45" s="495">
        <f t="shared" si="63"/>
        <v>346567259</v>
      </c>
      <c r="BH45" s="495">
        <f t="shared" si="63"/>
        <v>346567259</v>
      </c>
      <c r="BI45" s="495">
        <f t="shared" si="63"/>
        <v>346567259</v>
      </c>
      <c r="BJ45" s="495">
        <f t="shared" si="63"/>
        <v>346567259</v>
      </c>
      <c r="BK45" s="495">
        <f t="shared" si="63"/>
        <v>346567259</v>
      </c>
      <c r="BL45" s="495">
        <f t="shared" si="63"/>
        <v>346567259</v>
      </c>
      <c r="BM45" s="495">
        <f t="shared" si="63"/>
        <v>346567259</v>
      </c>
      <c r="BN45" s="495">
        <f t="shared" si="63"/>
        <v>346567259</v>
      </c>
      <c r="BO45" s="495">
        <f t="shared" si="63"/>
        <v>346567259</v>
      </c>
      <c r="BP45" s="495">
        <f t="shared" si="63"/>
        <v>346567259</v>
      </c>
      <c r="BQ45" s="495">
        <f t="shared" si="63"/>
        <v>346567259</v>
      </c>
      <c r="BR45" s="495">
        <f t="shared" si="63"/>
        <v>346567259</v>
      </c>
      <c r="BS45" s="495">
        <f t="shared" si="63"/>
        <v>346567259</v>
      </c>
      <c r="BT45" s="495">
        <f t="shared" si="63"/>
        <v>346567259</v>
      </c>
      <c r="BU45" s="495">
        <f t="shared" si="63"/>
        <v>346567259</v>
      </c>
      <c r="BV45" s="495">
        <f t="shared" si="63"/>
        <v>346567259</v>
      </c>
      <c r="BW45" s="495">
        <f t="shared" si="63"/>
        <v>346567259</v>
      </c>
      <c r="BX45" s="495">
        <f t="shared" si="63"/>
        <v>346567259</v>
      </c>
      <c r="BY45" s="495">
        <f t="shared" si="63"/>
        <v>346567259</v>
      </c>
      <c r="BZ45" s="495">
        <f t="shared" si="63"/>
        <v>346567259</v>
      </c>
      <c r="CA45" s="495">
        <f t="shared" si="63"/>
        <v>346567259</v>
      </c>
      <c r="CB45" s="495">
        <f t="shared" si="63"/>
        <v>346567259</v>
      </c>
      <c r="CC45" s="495">
        <f t="shared" si="63"/>
        <v>346567259</v>
      </c>
      <c r="CD45" s="495">
        <f t="shared" si="63"/>
        <v>346567259</v>
      </c>
      <c r="CE45" s="495">
        <f t="shared" si="63"/>
        <v>346567259</v>
      </c>
      <c r="CF45" s="495">
        <f t="shared" si="63"/>
        <v>346567259</v>
      </c>
      <c r="CG45" s="495">
        <f t="shared" si="63"/>
        <v>346567259</v>
      </c>
      <c r="CH45" s="495">
        <f t="shared" si="63"/>
        <v>346567259</v>
      </c>
      <c r="CI45" s="495">
        <f t="shared" si="63"/>
        <v>346567259</v>
      </c>
      <c r="CJ45" s="495">
        <f t="shared" si="63"/>
        <v>346567259</v>
      </c>
      <c r="CK45" s="495">
        <f t="shared" si="63"/>
        <v>346567259</v>
      </c>
      <c r="CL45" s="495">
        <f t="shared" si="63"/>
        <v>346567259</v>
      </c>
      <c r="CM45" s="380">
        <f t="shared" si="26"/>
        <v>346567259</v>
      </c>
      <c r="CN45" s="496"/>
      <c r="CO45" s="496"/>
      <c r="CP45" s="496"/>
      <c r="CQ45" s="496"/>
      <c r="CR45" s="496"/>
      <c r="CS45" s="496"/>
      <c r="CT45" s="496"/>
      <c r="CU45" s="496"/>
      <c r="CV45" s="496"/>
      <c r="CW45" s="496"/>
      <c r="CX45" s="496"/>
      <c r="CY45" s="496"/>
      <c r="CZ45" s="496"/>
      <c r="DA45" s="496"/>
      <c r="DB45" s="496"/>
      <c r="DC45" s="496"/>
      <c r="DD45" s="496"/>
      <c r="DE45" s="496"/>
      <c r="DF45" s="496"/>
      <c r="DG45" s="496"/>
      <c r="DH45" s="496"/>
      <c r="DI45" s="496"/>
      <c r="DJ45" s="496"/>
      <c r="DK45" s="496"/>
      <c r="DL45" s="496"/>
      <c r="DM45" s="496"/>
      <c r="DN45" s="496"/>
      <c r="DO45" s="496"/>
      <c r="DP45" s="496"/>
      <c r="DQ45" s="496"/>
      <c r="DR45" s="496"/>
      <c r="DS45" s="496"/>
      <c r="DT45" s="496"/>
      <c r="DU45" s="496"/>
      <c r="DV45" s="496"/>
      <c r="DW45" s="496"/>
      <c r="DX45" s="496"/>
      <c r="DY45" s="496"/>
      <c r="DZ45" s="496"/>
      <c r="EA45" s="496"/>
      <c r="EB45" s="496"/>
      <c r="EC45" s="496"/>
      <c r="ED45" s="496"/>
      <c r="EE45" s="496"/>
      <c r="EF45" s="496"/>
      <c r="EG45" s="496"/>
      <c r="EH45" s="496"/>
      <c r="EI45" s="496"/>
      <c r="EJ45" s="496"/>
      <c r="EK45" s="496"/>
      <c r="EL45" s="496"/>
      <c r="EM45" s="496"/>
      <c r="EN45" s="496"/>
      <c r="EO45" s="496"/>
      <c r="EP45" s="496"/>
      <c r="EQ45" s="496"/>
      <c r="ER45" s="496"/>
      <c r="ES45" s="496"/>
      <c r="ET45" s="496"/>
      <c r="EU45" s="496"/>
      <c r="EV45" s="496"/>
      <c r="EW45" s="496"/>
      <c r="EX45" s="496"/>
      <c r="EY45" s="496"/>
      <c r="EZ45" s="496"/>
      <c r="FA45" s="496"/>
      <c r="FB45" s="496"/>
      <c r="FC45" s="496"/>
      <c r="FD45" s="496"/>
      <c r="FE45" s="496"/>
      <c r="FF45" s="496"/>
      <c r="FG45" s="496"/>
      <c r="FH45" s="496"/>
      <c r="FI45" s="496"/>
      <c r="FJ45" s="496"/>
      <c r="FK45" s="496"/>
      <c r="FL45" s="496"/>
      <c r="FM45" s="496"/>
      <c r="FN45" s="496"/>
      <c r="FO45" s="496"/>
      <c r="FP45" s="496"/>
      <c r="FQ45" s="496"/>
      <c r="FR45" s="496"/>
      <c r="FS45" s="496"/>
      <c r="FT45" s="496"/>
      <c r="FU45" s="496"/>
      <c r="FV45" s="496"/>
    </row>
    <row r="46" spans="1:179" s="75" customFormat="1">
      <c r="A46" s="425" t="s">
        <v>412</v>
      </c>
      <c r="B46" s="426" t="s">
        <v>403</v>
      </c>
      <c r="C46" s="425" t="s">
        <v>352</v>
      </c>
      <c r="D46" s="425"/>
      <c r="E46" s="497"/>
      <c r="F46" s="468" t="s">
        <v>168</v>
      </c>
      <c r="G46" s="443">
        <f t="shared" ref="G46:R46" si="64">G12*G2</f>
        <v>1177876445.0783451</v>
      </c>
      <c r="H46" s="443">
        <f t="shared" si="64"/>
        <v>1308748223.3332136</v>
      </c>
      <c r="I46" s="443">
        <f t="shared" si="64"/>
        <v>1321629270.8157506</v>
      </c>
      <c r="J46" s="443">
        <f t="shared" si="64"/>
        <v>1313976568.2360663</v>
      </c>
      <c r="K46" s="443">
        <f t="shared" si="64"/>
        <v>1313141223.4873025</v>
      </c>
      <c r="L46" s="443">
        <f t="shared" si="64"/>
        <v>1318636531.704145</v>
      </c>
      <c r="M46" s="443">
        <f t="shared" si="64"/>
        <v>1321608516.8326278</v>
      </c>
      <c r="N46" s="443">
        <f t="shared" si="64"/>
        <v>1334316516.1539328</v>
      </c>
      <c r="O46" s="443">
        <f t="shared" si="64"/>
        <v>1274452727.1342909</v>
      </c>
      <c r="P46" s="443">
        <f t="shared" si="64"/>
        <v>1272362354.9160643</v>
      </c>
      <c r="Q46" s="443">
        <f t="shared" si="64"/>
        <v>1288768992.0246532</v>
      </c>
      <c r="R46" s="443">
        <f t="shared" si="64"/>
        <v>1301346965.1701555</v>
      </c>
      <c r="S46" s="443">
        <f t="shared" ref="S46:AS46" si="65">S12*S2</f>
        <v>1288441573.3988769</v>
      </c>
      <c r="T46" s="443">
        <f t="shared" si="65"/>
        <v>1300895318.8651998</v>
      </c>
      <c r="U46" s="443">
        <f t="shared" si="65"/>
        <v>1169114702.7527828</v>
      </c>
      <c r="V46" s="443">
        <f t="shared" si="65"/>
        <v>1178636182.7900572</v>
      </c>
      <c r="W46" s="443">
        <f t="shared" si="65"/>
        <v>1183401667.8450129</v>
      </c>
      <c r="X46" s="443">
        <f t="shared" si="65"/>
        <v>1169833466.5402114</v>
      </c>
      <c r="Y46" s="443">
        <f t="shared" si="65"/>
        <v>1046250236.4396681</v>
      </c>
      <c r="Z46" s="443">
        <f t="shared" si="65"/>
        <v>1049264230.2899815</v>
      </c>
      <c r="AA46" s="443">
        <f t="shared" si="65"/>
        <v>1051471489.3732957</v>
      </c>
      <c r="AB46" s="443">
        <f t="shared" si="65"/>
        <v>1049319328.0036483</v>
      </c>
      <c r="AC46" s="443">
        <f t="shared" si="65"/>
        <v>1049377403.9721081</v>
      </c>
      <c r="AD46" s="443">
        <f t="shared" si="65"/>
        <v>1047994376.9027014</v>
      </c>
      <c r="AE46" s="443">
        <f t="shared" si="65"/>
        <v>956691048.96965015</v>
      </c>
      <c r="AF46" s="443">
        <f t="shared" si="65"/>
        <v>964676251.31137502</v>
      </c>
      <c r="AG46" s="443">
        <f t="shared" si="65"/>
        <v>962868068.63743746</v>
      </c>
      <c r="AH46" s="443">
        <f t="shared" si="65"/>
        <v>963796035.89365005</v>
      </c>
      <c r="AI46" s="443">
        <f t="shared" si="65"/>
        <v>957153055.61081243</v>
      </c>
      <c r="AJ46" s="443">
        <f t="shared" si="65"/>
        <v>949482346.2690624</v>
      </c>
      <c r="AK46" s="443">
        <f t="shared" si="65"/>
        <v>939184020.53885603</v>
      </c>
      <c r="AL46" s="443">
        <f t="shared" si="65"/>
        <v>939378629.0505619</v>
      </c>
      <c r="AM46" s="443">
        <f t="shared" si="65"/>
        <v>939532505.54819</v>
      </c>
      <c r="AN46" s="443">
        <f t="shared" si="65"/>
        <v>938241451.56122899</v>
      </c>
      <c r="AO46" s="443">
        <f t="shared" si="65"/>
        <v>937164014.3592099</v>
      </c>
      <c r="AP46" s="443">
        <f t="shared" si="65"/>
        <v>939781423.41199994</v>
      </c>
      <c r="AQ46" s="443">
        <f t="shared" si="65"/>
        <v>1007278117.8898841</v>
      </c>
      <c r="AR46" s="443">
        <f t="shared" si="65"/>
        <v>1006597772.8106538</v>
      </c>
      <c r="AS46" s="443">
        <f t="shared" si="65"/>
        <v>1000274255.3688159</v>
      </c>
      <c r="AT46" s="443">
        <f t="shared" ref="AT46:CL46" si="66">AT12*AT2</f>
        <v>1374842683.1765764</v>
      </c>
      <c r="AU46" s="442">
        <f t="shared" si="66"/>
        <v>1379044424.8593802</v>
      </c>
      <c r="AV46" s="442">
        <f t="shared" si="66"/>
        <v>1629545101.6848261</v>
      </c>
      <c r="AW46" s="442">
        <f t="shared" si="66"/>
        <v>1591343199.6509717</v>
      </c>
      <c r="AX46" s="442">
        <f t="shared" si="66"/>
        <v>1243212871.1445205</v>
      </c>
      <c r="AY46" s="442">
        <f t="shared" si="66"/>
        <v>1706780703.8413458</v>
      </c>
      <c r="AZ46" s="442">
        <f t="shared" si="66"/>
        <v>1916921551.603076</v>
      </c>
      <c r="BA46" s="442">
        <f t="shared" si="66"/>
        <v>1982133835.2812154</v>
      </c>
      <c r="BB46" s="442">
        <f t="shared" si="66"/>
        <v>1996887211.4071765</v>
      </c>
      <c r="BC46" s="442">
        <f t="shared" si="66"/>
        <v>1232654706.7663169</v>
      </c>
      <c r="BD46" s="442">
        <f t="shared" si="66"/>
        <v>1101639688.4588211</v>
      </c>
      <c r="BE46" s="442">
        <f t="shared" si="66"/>
        <v>1103036750.3994024</v>
      </c>
      <c r="BF46" s="442">
        <f t="shared" si="66"/>
        <v>1133624827.7955134</v>
      </c>
      <c r="BG46" s="442">
        <f t="shared" si="66"/>
        <v>1105660091.3748419</v>
      </c>
      <c r="BH46" s="442">
        <f t="shared" si="66"/>
        <v>1108749549.0588937</v>
      </c>
      <c r="BI46" s="442">
        <f t="shared" si="66"/>
        <v>1168879925.4696844</v>
      </c>
      <c r="BJ46" s="442">
        <f t="shared" si="66"/>
        <v>1164454971.5775049</v>
      </c>
      <c r="BK46" s="442">
        <f t="shared" si="66"/>
        <v>1177331392.8450325</v>
      </c>
      <c r="BL46" s="442">
        <f t="shared" si="66"/>
        <v>1188044985.1696365</v>
      </c>
      <c r="BM46" s="442">
        <f t="shared" si="66"/>
        <v>1222810873.0892406</v>
      </c>
      <c r="BN46" s="442">
        <f t="shared" si="66"/>
        <v>1168499850.3927243</v>
      </c>
      <c r="BO46" s="442">
        <f t="shared" si="66"/>
        <v>1088339449.3449023</v>
      </c>
      <c r="BP46" s="442">
        <f t="shared" si="66"/>
        <v>1088112395.8850474</v>
      </c>
      <c r="BQ46" s="442">
        <f t="shared" si="66"/>
        <v>1105625963.2955706</v>
      </c>
      <c r="BR46" s="442">
        <f t="shared" si="66"/>
        <v>1132811286.9414909</v>
      </c>
      <c r="BS46" s="442">
        <f t="shared" si="66"/>
        <v>1148839941.8063359</v>
      </c>
      <c r="BT46" s="442">
        <f t="shared" si="66"/>
        <v>1116282134.4984467</v>
      </c>
      <c r="BU46" s="442">
        <f t="shared" si="66"/>
        <v>978895361.24333608</v>
      </c>
      <c r="BV46" s="442">
        <f t="shared" si="66"/>
        <v>990548597.24474275</v>
      </c>
      <c r="BW46" s="442">
        <f t="shared" si="66"/>
        <v>1013509133.062564</v>
      </c>
      <c r="BX46" s="442">
        <f t="shared" si="66"/>
        <v>987395917.93822384</v>
      </c>
      <c r="BY46" s="442">
        <f t="shared" si="66"/>
        <v>1008198330.3513852</v>
      </c>
      <c r="BZ46" s="442">
        <f t="shared" si="66"/>
        <v>1043128116.021217</v>
      </c>
      <c r="CA46" s="442">
        <f t="shared" si="66"/>
        <v>904291967.76679444</v>
      </c>
      <c r="CB46" s="442">
        <f t="shared" si="66"/>
        <v>873254395.40173697</v>
      </c>
      <c r="CC46" s="442">
        <f t="shared" si="66"/>
        <v>930854878.91728938</v>
      </c>
      <c r="CD46" s="442">
        <f t="shared" si="66"/>
        <v>894379207.42279291</v>
      </c>
      <c r="CE46" s="442">
        <f t="shared" si="66"/>
        <v>920715269.12800527</v>
      </c>
      <c r="CF46" s="442">
        <f t="shared" si="66"/>
        <v>928099598.19715178</v>
      </c>
      <c r="CG46" s="442">
        <f t="shared" si="66"/>
        <v>909517201.98925984</v>
      </c>
      <c r="CH46" s="442">
        <f t="shared" si="66"/>
        <v>921716532.0942986</v>
      </c>
      <c r="CI46" s="442">
        <f t="shared" si="66"/>
        <v>917498708.39722025</v>
      </c>
      <c r="CJ46" s="442">
        <f t="shared" si="66"/>
        <v>928703705.40429604</v>
      </c>
      <c r="CK46" s="442">
        <f t="shared" si="66"/>
        <v>894862272.14478111</v>
      </c>
      <c r="CL46" s="442">
        <f t="shared" si="66"/>
        <v>898527536.87796319</v>
      </c>
      <c r="CM46" s="380">
        <f t="shared" si="26"/>
        <v>1141109171.4965832</v>
      </c>
      <c r="CN46" s="496"/>
      <c r="CO46" s="496"/>
      <c r="CP46" s="496"/>
      <c r="CQ46" s="496"/>
      <c r="CR46" s="496"/>
      <c r="CS46" s="496"/>
      <c r="CT46" s="496"/>
      <c r="CU46" s="496"/>
      <c r="CV46" s="496"/>
      <c r="CW46" s="496"/>
      <c r="CX46" s="496"/>
      <c r="CY46" s="496"/>
      <c r="CZ46" s="496"/>
      <c r="DA46" s="496"/>
      <c r="DB46" s="496"/>
      <c r="DC46" s="496"/>
      <c r="DD46" s="496"/>
      <c r="DE46" s="496"/>
      <c r="DF46" s="496"/>
      <c r="DG46" s="496"/>
      <c r="DH46" s="496"/>
      <c r="DI46" s="496"/>
      <c r="DJ46" s="496"/>
      <c r="DK46" s="496"/>
      <c r="DL46" s="496"/>
      <c r="DM46" s="496"/>
      <c r="DN46" s="496"/>
      <c r="DO46" s="496"/>
      <c r="DP46" s="496"/>
      <c r="DQ46" s="496"/>
      <c r="DR46" s="496"/>
      <c r="DS46" s="496"/>
      <c r="DT46" s="496"/>
      <c r="DU46" s="496"/>
      <c r="DV46" s="496"/>
      <c r="DW46" s="496"/>
      <c r="DX46" s="496"/>
      <c r="DY46" s="496"/>
      <c r="DZ46" s="496"/>
      <c r="EA46" s="496"/>
      <c r="EB46" s="496"/>
      <c r="EC46" s="496"/>
      <c r="ED46" s="496"/>
      <c r="EE46" s="496"/>
      <c r="EF46" s="496"/>
      <c r="EG46" s="496"/>
      <c r="EH46" s="496"/>
      <c r="EI46" s="496"/>
      <c r="EJ46" s="496"/>
      <c r="EK46" s="496"/>
      <c r="EL46" s="496"/>
      <c r="EM46" s="496"/>
      <c r="EN46" s="496"/>
      <c r="EO46" s="496"/>
      <c r="EP46" s="496"/>
      <c r="EQ46" s="496"/>
      <c r="ER46" s="496"/>
      <c r="ES46" s="496"/>
      <c r="ET46" s="496"/>
      <c r="EU46" s="496"/>
      <c r="EV46" s="496"/>
      <c r="EW46" s="496"/>
      <c r="EX46" s="496"/>
      <c r="EY46" s="496"/>
      <c r="EZ46" s="496"/>
      <c r="FA46" s="496"/>
      <c r="FB46" s="496"/>
      <c r="FC46" s="496"/>
      <c r="FD46" s="496"/>
      <c r="FE46" s="496"/>
      <c r="FF46" s="496"/>
      <c r="FG46" s="496"/>
      <c r="FH46" s="496"/>
      <c r="FI46" s="496"/>
      <c r="FJ46" s="496"/>
      <c r="FK46" s="496"/>
      <c r="FL46" s="496"/>
      <c r="FM46" s="496"/>
      <c r="FN46" s="496"/>
      <c r="FO46" s="496"/>
      <c r="FP46" s="496"/>
      <c r="FQ46" s="496"/>
      <c r="FR46" s="496"/>
      <c r="FS46" s="496"/>
      <c r="FT46" s="496"/>
      <c r="FU46" s="496"/>
      <c r="FV46" s="496"/>
    </row>
    <row r="47" spans="1:179" s="75" customFormat="1">
      <c r="A47" s="425" t="s">
        <v>412</v>
      </c>
      <c r="B47" s="426" t="s">
        <v>403</v>
      </c>
      <c r="C47" s="425" t="s">
        <v>352</v>
      </c>
      <c r="D47" s="425"/>
      <c r="E47" s="497"/>
      <c r="F47" s="468" t="s">
        <v>0</v>
      </c>
      <c r="G47" s="443">
        <f t="shared" ref="G47:R47" si="67">G13*G3</f>
        <v>2748959009.0650539</v>
      </c>
      <c r="H47" s="443">
        <f t="shared" si="67"/>
        <v>2293293075.1081967</v>
      </c>
      <c r="I47" s="443">
        <f t="shared" si="67"/>
        <v>2102852530.8945458</v>
      </c>
      <c r="J47" s="443">
        <f t="shared" si="67"/>
        <v>1608804301.0083022</v>
      </c>
      <c r="K47" s="443">
        <f t="shared" si="67"/>
        <v>1701575901.5047126</v>
      </c>
      <c r="L47" s="443">
        <f t="shared" si="67"/>
        <v>1904264286.9569168</v>
      </c>
      <c r="M47" s="443">
        <f t="shared" si="67"/>
        <v>1758702050.9744532</v>
      </c>
      <c r="N47" s="443">
        <f t="shared" si="67"/>
        <v>1807119573.5430875</v>
      </c>
      <c r="O47" s="443">
        <f t="shared" si="67"/>
        <v>1575387041.4909561</v>
      </c>
      <c r="P47" s="443">
        <f t="shared" si="67"/>
        <v>1532051678.1241388</v>
      </c>
      <c r="Q47" s="443">
        <f t="shared" si="67"/>
        <v>1447872364.6820636</v>
      </c>
      <c r="R47" s="443">
        <f t="shared" si="67"/>
        <v>1270823989.87656</v>
      </c>
      <c r="S47" s="443">
        <f t="shared" ref="S47:AS47" si="68">S13*S3</f>
        <v>1427405113.4518797</v>
      </c>
      <c r="T47" s="443">
        <f t="shared" si="68"/>
        <v>1592614298.1792367</v>
      </c>
      <c r="U47" s="443">
        <f t="shared" si="68"/>
        <v>1865159949.4124982</v>
      </c>
      <c r="V47" s="443">
        <f t="shared" si="68"/>
        <v>1414974054.3000002</v>
      </c>
      <c r="W47" s="443">
        <f t="shared" si="68"/>
        <v>1181635768.9416668</v>
      </c>
      <c r="X47" s="443">
        <f t="shared" si="68"/>
        <v>1174771091.45</v>
      </c>
      <c r="Y47" s="443">
        <f t="shared" si="68"/>
        <v>1293961332.5000002</v>
      </c>
      <c r="Z47" s="443">
        <f t="shared" si="68"/>
        <v>1322695778.9916668</v>
      </c>
      <c r="AA47" s="443">
        <f t="shared" si="68"/>
        <v>1348028261.4166667</v>
      </c>
      <c r="AB47" s="443">
        <f t="shared" si="68"/>
        <v>1201136312.9666667</v>
      </c>
      <c r="AC47" s="443">
        <f t="shared" si="68"/>
        <v>1159705250.5833333</v>
      </c>
      <c r="AD47" s="443">
        <f t="shared" si="68"/>
        <v>1197005356.6000001</v>
      </c>
      <c r="AE47" s="443">
        <f t="shared" si="68"/>
        <v>1378888935.4500003</v>
      </c>
      <c r="AF47" s="443">
        <f t="shared" si="68"/>
        <v>1607488770.8583333</v>
      </c>
      <c r="AG47" s="443">
        <f t="shared" si="68"/>
        <v>1565024969.3833334</v>
      </c>
      <c r="AH47" s="443">
        <f t="shared" si="68"/>
        <v>1798849249.6083336</v>
      </c>
      <c r="AI47" s="443">
        <f t="shared" si="68"/>
        <v>2072707356.9750001</v>
      </c>
      <c r="AJ47" s="443">
        <f t="shared" si="68"/>
        <v>1916824503.491667</v>
      </c>
      <c r="AK47" s="443">
        <f t="shared" si="68"/>
        <v>1682757225.8333335</v>
      </c>
      <c r="AL47" s="443">
        <f t="shared" si="68"/>
        <v>1506705585.3833334</v>
      </c>
      <c r="AM47" s="443">
        <f t="shared" si="68"/>
        <v>1507313078.9666667</v>
      </c>
      <c r="AN47" s="443">
        <f t="shared" si="68"/>
        <v>1348757253.7166667</v>
      </c>
      <c r="AO47" s="443">
        <f t="shared" si="68"/>
        <v>1632760503.9250002</v>
      </c>
      <c r="AP47" s="443">
        <f t="shared" si="68"/>
        <v>1880800134.0000002</v>
      </c>
      <c r="AQ47" s="443">
        <f t="shared" si="68"/>
        <v>2270446518.3499999</v>
      </c>
      <c r="AR47" s="443">
        <f t="shared" si="68"/>
        <v>2264432331.875</v>
      </c>
      <c r="AS47" s="443">
        <f t="shared" si="68"/>
        <v>2298877218.0500002</v>
      </c>
      <c r="AT47" s="443">
        <f t="shared" ref="AT47:CL47" si="69">AT13*AT3</f>
        <v>2280801217.8152146</v>
      </c>
      <c r="AU47" s="442">
        <f t="shared" si="69"/>
        <v>2051561001.1108587</v>
      </c>
      <c r="AV47" s="442">
        <f t="shared" si="69"/>
        <v>1895993546.8846843</v>
      </c>
      <c r="AW47" s="442">
        <f t="shared" si="69"/>
        <v>1893035379.8695486</v>
      </c>
      <c r="AX47" s="442">
        <f t="shared" si="69"/>
        <v>2051634039.869015</v>
      </c>
      <c r="AY47" s="442">
        <f t="shared" si="69"/>
        <v>2306138870.2628679</v>
      </c>
      <c r="AZ47" s="442">
        <f t="shared" si="69"/>
        <v>2315972977.7881145</v>
      </c>
      <c r="BA47" s="442">
        <f t="shared" si="69"/>
        <v>2450352193.8072844</v>
      </c>
      <c r="BB47" s="442">
        <f t="shared" si="69"/>
        <v>2634293642.1204391</v>
      </c>
      <c r="BC47" s="442">
        <f t="shared" si="69"/>
        <v>2928652492.1208496</v>
      </c>
      <c r="BD47" s="442">
        <f t="shared" si="69"/>
        <v>2357217910.0577374</v>
      </c>
      <c r="BE47" s="442">
        <f t="shared" si="69"/>
        <v>1913739577.4511683</v>
      </c>
      <c r="BF47" s="442">
        <f t="shared" si="69"/>
        <v>1848864743.9504259</v>
      </c>
      <c r="BG47" s="442">
        <f t="shared" si="69"/>
        <v>1903717603.7850983</v>
      </c>
      <c r="BH47" s="442">
        <f t="shared" si="69"/>
        <v>2067942450.4452426</v>
      </c>
      <c r="BI47" s="442">
        <f t="shared" si="69"/>
        <v>2173091870.1391225</v>
      </c>
      <c r="BJ47" s="442">
        <f t="shared" si="69"/>
        <v>2225371810.2978559</v>
      </c>
      <c r="BK47" s="442">
        <f t="shared" si="69"/>
        <v>1813899239.7433743</v>
      </c>
      <c r="BL47" s="442">
        <f t="shared" si="69"/>
        <v>1567541019.8801632</v>
      </c>
      <c r="BM47" s="442">
        <f t="shared" si="69"/>
        <v>1597462988.516</v>
      </c>
      <c r="BN47" s="442">
        <f t="shared" si="69"/>
        <v>1517697526.8304498</v>
      </c>
      <c r="BO47" s="442">
        <f t="shared" si="69"/>
        <v>1812440701.5444</v>
      </c>
      <c r="BP47" s="442">
        <f t="shared" si="69"/>
        <v>1866262541.0918665</v>
      </c>
      <c r="BQ47" s="442">
        <f t="shared" si="69"/>
        <v>1903038574.5947883</v>
      </c>
      <c r="BR47" s="442">
        <f t="shared" si="69"/>
        <v>2448033434.4741688</v>
      </c>
      <c r="BS47" s="442">
        <f t="shared" si="69"/>
        <v>2194199046.6185546</v>
      </c>
      <c r="BT47" s="442">
        <f t="shared" si="69"/>
        <v>1939527809.6978757</v>
      </c>
      <c r="BU47" s="442">
        <f t="shared" si="69"/>
        <v>1064857443.6394666</v>
      </c>
      <c r="BV47" s="442">
        <f t="shared" si="69"/>
        <v>1562877291.4860117</v>
      </c>
      <c r="BW47" s="442">
        <f t="shared" si="69"/>
        <v>1610858921.0063634</v>
      </c>
      <c r="BX47" s="442">
        <f t="shared" si="69"/>
        <v>1640177420.5697052</v>
      </c>
      <c r="BY47" s="442">
        <f t="shared" si="69"/>
        <v>1655978230.4587488</v>
      </c>
      <c r="BZ47" s="442">
        <f t="shared" si="69"/>
        <v>1629834439.9843309</v>
      </c>
      <c r="CA47" s="442">
        <f t="shared" si="69"/>
        <v>1673992851.3350604</v>
      </c>
      <c r="CB47" s="442">
        <f t="shared" si="69"/>
        <v>1940238250.574914</v>
      </c>
      <c r="CC47" s="442">
        <f t="shared" si="69"/>
        <v>2012248797.9879448</v>
      </c>
      <c r="CD47" s="442">
        <f t="shared" si="69"/>
        <v>2444081233.6200891</v>
      </c>
      <c r="CE47" s="442">
        <f t="shared" si="69"/>
        <v>2676104945.6031342</v>
      </c>
      <c r="CF47" s="442">
        <f t="shared" si="69"/>
        <v>2766021645.6147633</v>
      </c>
      <c r="CG47" s="442">
        <f t="shared" si="69"/>
        <v>2534763193.1005487</v>
      </c>
      <c r="CH47" s="442">
        <f t="shared" si="69"/>
        <v>2206314714.5208468</v>
      </c>
      <c r="CI47" s="442">
        <f t="shared" si="69"/>
        <v>2370384440.7796741</v>
      </c>
      <c r="CJ47" s="442">
        <f t="shared" si="69"/>
        <v>2804108915.1629715</v>
      </c>
      <c r="CK47" s="442">
        <f t="shared" si="69"/>
        <v>2971381330.4841633</v>
      </c>
      <c r="CL47" s="468">
        <f t="shared" si="69"/>
        <v>2968472221.8033333</v>
      </c>
      <c r="CM47" s="380">
        <f t="shared" si="26"/>
        <v>1894697767.933197</v>
      </c>
      <c r="CN47" s="496"/>
      <c r="CO47" s="496"/>
      <c r="CP47" s="496"/>
      <c r="CQ47" s="496"/>
      <c r="CR47" s="496"/>
      <c r="CS47" s="496"/>
      <c r="CT47" s="496"/>
      <c r="CU47" s="496"/>
      <c r="CV47" s="496"/>
      <c r="CW47" s="496"/>
      <c r="CX47" s="496"/>
      <c r="CY47" s="496"/>
      <c r="CZ47" s="496"/>
      <c r="DA47" s="496"/>
      <c r="DB47" s="496"/>
      <c r="DC47" s="496"/>
      <c r="DD47" s="496"/>
      <c r="DE47" s="496"/>
      <c r="DF47" s="496"/>
      <c r="DG47" s="496"/>
      <c r="DH47" s="496"/>
      <c r="DI47" s="496"/>
      <c r="DJ47" s="496"/>
      <c r="DK47" s="496"/>
      <c r="DL47" s="496"/>
      <c r="DM47" s="496"/>
      <c r="DN47" s="496"/>
      <c r="DO47" s="496"/>
      <c r="DP47" s="496"/>
      <c r="DQ47" s="496"/>
      <c r="DR47" s="496"/>
      <c r="DS47" s="496"/>
      <c r="DT47" s="496"/>
      <c r="DU47" s="496"/>
      <c r="DV47" s="496"/>
      <c r="DW47" s="496"/>
      <c r="DX47" s="496"/>
      <c r="DY47" s="496"/>
      <c r="DZ47" s="496"/>
      <c r="EA47" s="496"/>
      <c r="EB47" s="496"/>
      <c r="EC47" s="496"/>
      <c r="ED47" s="496"/>
      <c r="EE47" s="496"/>
      <c r="EF47" s="496"/>
      <c r="EG47" s="496"/>
      <c r="EH47" s="496"/>
      <c r="EI47" s="496"/>
      <c r="EJ47" s="496"/>
      <c r="EK47" s="496"/>
      <c r="EL47" s="496"/>
      <c r="EM47" s="496"/>
      <c r="EN47" s="496"/>
      <c r="EO47" s="496"/>
      <c r="EP47" s="496"/>
      <c r="EQ47" s="496"/>
      <c r="ER47" s="496"/>
      <c r="ES47" s="496"/>
      <c r="ET47" s="496"/>
      <c r="EU47" s="496"/>
      <c r="EV47" s="496"/>
      <c r="EW47" s="496"/>
      <c r="EX47" s="496"/>
      <c r="EY47" s="496"/>
      <c r="EZ47" s="496"/>
      <c r="FA47" s="496"/>
      <c r="FB47" s="496"/>
      <c r="FC47" s="496"/>
      <c r="FD47" s="496"/>
      <c r="FE47" s="496"/>
      <c r="FF47" s="496"/>
      <c r="FG47" s="496"/>
      <c r="FH47" s="496"/>
      <c r="FI47" s="496"/>
      <c r="FJ47" s="496"/>
      <c r="FK47" s="496"/>
      <c r="FL47" s="496"/>
      <c r="FM47" s="496"/>
      <c r="FN47" s="496"/>
      <c r="FO47" s="496"/>
      <c r="FP47" s="496"/>
      <c r="FQ47" s="496"/>
      <c r="FR47" s="496"/>
      <c r="FS47" s="496"/>
      <c r="FT47" s="496"/>
      <c r="FU47" s="496"/>
      <c r="FV47" s="496"/>
    </row>
    <row r="48" spans="1:179">
      <c r="A48" s="427" t="s">
        <v>412</v>
      </c>
      <c r="B48" s="428" t="s">
        <v>403</v>
      </c>
      <c r="C48" s="378" t="s">
        <v>352</v>
      </c>
      <c r="D48" s="378"/>
      <c r="E48" s="379"/>
      <c r="F48" s="471" t="s">
        <v>398</v>
      </c>
      <c r="G48" s="446">
        <f t="shared" ref="G48:R48" si="70">G4*G14</f>
        <v>556625585.65250707</v>
      </c>
      <c r="H48" s="446">
        <f t="shared" si="70"/>
        <v>438835527.40303999</v>
      </c>
      <c r="I48" s="446">
        <f t="shared" si="70"/>
        <v>423976503.311378</v>
      </c>
      <c r="J48" s="446">
        <f t="shared" si="70"/>
        <v>346124986.33125669</v>
      </c>
      <c r="K48" s="446">
        <f t="shared" si="70"/>
        <v>353102550.82908803</v>
      </c>
      <c r="L48" s="446">
        <f t="shared" si="70"/>
        <v>340828462.19349068</v>
      </c>
      <c r="M48" s="446">
        <f t="shared" si="70"/>
        <v>349585250.93480539</v>
      </c>
      <c r="N48" s="446">
        <f t="shared" si="70"/>
        <v>359127243.20921671</v>
      </c>
      <c r="O48" s="446">
        <f t="shared" si="70"/>
        <v>332970476.15172005</v>
      </c>
      <c r="P48" s="446">
        <f t="shared" si="70"/>
        <v>320690470.17301506</v>
      </c>
      <c r="Q48" s="446">
        <f t="shared" si="70"/>
        <v>308686908.14997339</v>
      </c>
      <c r="R48" s="446">
        <f t="shared" si="70"/>
        <v>270778857.16742402</v>
      </c>
      <c r="S48" s="446">
        <f t="shared" ref="S48:AS48" si="71">S4*S14</f>
        <v>281551870.52743602</v>
      </c>
      <c r="T48" s="446">
        <f t="shared" si="71"/>
        <v>341211434.68296802</v>
      </c>
      <c r="U48" s="446">
        <f t="shared" si="71"/>
        <v>374690484.70866168</v>
      </c>
      <c r="V48" s="446">
        <f t="shared" si="71"/>
        <v>312097333.33333337</v>
      </c>
      <c r="W48" s="446">
        <f t="shared" si="71"/>
        <v>254841333.33333334</v>
      </c>
      <c r="X48" s="446">
        <f t="shared" si="71"/>
        <v>252937333.33333334</v>
      </c>
      <c r="Y48" s="446">
        <f t="shared" si="71"/>
        <v>276159333.33333337</v>
      </c>
      <c r="Z48" s="446">
        <f t="shared" si="71"/>
        <v>301761333.33333337</v>
      </c>
      <c r="AA48" s="446">
        <f t="shared" si="71"/>
        <v>290926666.66666669</v>
      </c>
      <c r="AB48" s="446">
        <f t="shared" si="71"/>
        <v>246284666.66666669</v>
      </c>
      <c r="AC48" s="446">
        <f t="shared" si="71"/>
        <v>230248000</v>
      </c>
      <c r="AD48" s="446">
        <f t="shared" si="71"/>
        <v>253356666.66666669</v>
      </c>
      <c r="AE48" s="446">
        <f t="shared" si="71"/>
        <v>292785333.33333337</v>
      </c>
      <c r="AF48" s="446">
        <f t="shared" si="71"/>
        <v>353860666.66666669</v>
      </c>
      <c r="AG48" s="446">
        <f t="shared" si="71"/>
        <v>337518000</v>
      </c>
      <c r="AH48" s="446">
        <f t="shared" si="71"/>
        <v>399409333.33333337</v>
      </c>
      <c r="AI48" s="446">
        <f t="shared" si="71"/>
        <v>475807333.33333337</v>
      </c>
      <c r="AJ48" s="446">
        <f t="shared" si="71"/>
        <v>467522666.66666669</v>
      </c>
      <c r="AK48" s="446">
        <f t="shared" si="71"/>
        <v>374158666.66666669</v>
      </c>
      <c r="AL48" s="446">
        <f t="shared" si="71"/>
        <v>297817333.33333337</v>
      </c>
      <c r="AM48" s="446">
        <f t="shared" si="71"/>
        <v>297930666.66666669</v>
      </c>
      <c r="AN48" s="446">
        <f t="shared" si="71"/>
        <v>278426000</v>
      </c>
      <c r="AO48" s="446">
        <f t="shared" si="71"/>
        <v>348930666.66666669</v>
      </c>
      <c r="AP48" s="446">
        <f t="shared" si="71"/>
        <v>382273333.33333337</v>
      </c>
      <c r="AQ48" s="446">
        <f t="shared" si="71"/>
        <v>446873333.33333337</v>
      </c>
      <c r="AR48" s="446">
        <f t="shared" si="71"/>
        <v>445683333.33333337</v>
      </c>
      <c r="AS48" s="446">
        <f t="shared" si="71"/>
        <v>433352666.66666669</v>
      </c>
      <c r="AT48" s="446">
        <f t="shared" ref="AT48:CL48" si="72">AT4*AT14</f>
        <v>429928480.72903568</v>
      </c>
      <c r="AU48" s="447">
        <f t="shared" si="72"/>
        <v>385079925.02018911</v>
      </c>
      <c r="AV48" s="447">
        <f t="shared" si="72"/>
        <v>358381905.97104824</v>
      </c>
      <c r="AW48" s="447">
        <f t="shared" si="72"/>
        <v>365450349.45459408</v>
      </c>
      <c r="AX48" s="447">
        <f t="shared" si="72"/>
        <v>404426627.86456275</v>
      </c>
      <c r="AY48" s="447">
        <f t="shared" si="72"/>
        <v>450271600.75166714</v>
      </c>
      <c r="AZ48" s="447">
        <f t="shared" si="72"/>
        <v>464124553.01326114</v>
      </c>
      <c r="BA48" s="447">
        <f t="shared" si="72"/>
        <v>490336763.18999994</v>
      </c>
      <c r="BB48" s="447">
        <f t="shared" si="72"/>
        <v>543865990.58020711</v>
      </c>
      <c r="BC48" s="447">
        <f t="shared" si="72"/>
        <v>571576013.79636884</v>
      </c>
      <c r="BD48" s="447">
        <f t="shared" si="72"/>
        <v>447972006.50337148</v>
      </c>
      <c r="BE48" s="447">
        <f t="shared" si="72"/>
        <v>348009572.91704518</v>
      </c>
      <c r="BF48" s="447">
        <f t="shared" si="72"/>
        <v>352653624.82164407</v>
      </c>
      <c r="BG48" s="447">
        <f t="shared" si="72"/>
        <v>396779623.7170344</v>
      </c>
      <c r="BH48" s="447">
        <f t="shared" si="72"/>
        <v>428264388.52257901</v>
      </c>
      <c r="BI48" s="447">
        <f t="shared" si="72"/>
        <v>440493304.01240301</v>
      </c>
      <c r="BJ48" s="447">
        <f t="shared" si="72"/>
        <v>438353684.37427515</v>
      </c>
      <c r="BK48" s="447">
        <f t="shared" si="72"/>
        <v>341574302.39495516</v>
      </c>
      <c r="BL48" s="447">
        <f t="shared" si="72"/>
        <v>289550906.34884405</v>
      </c>
      <c r="BM48" s="447">
        <f t="shared" si="72"/>
        <v>303289587.04156291</v>
      </c>
      <c r="BN48" s="447">
        <f t="shared" si="72"/>
        <v>304560622.44171983</v>
      </c>
      <c r="BO48" s="447">
        <f t="shared" si="72"/>
        <v>366278522.67173648</v>
      </c>
      <c r="BP48" s="447">
        <f t="shared" si="72"/>
        <v>376871752.68364006</v>
      </c>
      <c r="BQ48" s="447">
        <f t="shared" si="72"/>
        <v>383983297.46523815</v>
      </c>
      <c r="BR48" s="447">
        <f t="shared" si="72"/>
        <v>498839665.80887091</v>
      </c>
      <c r="BS48" s="447">
        <f t="shared" si="72"/>
        <v>462136776.70313042</v>
      </c>
      <c r="BT48" s="447">
        <f t="shared" si="72"/>
        <v>422339719.04686475</v>
      </c>
      <c r="BU48" s="447">
        <f t="shared" si="72"/>
        <v>216757577.51937988</v>
      </c>
      <c r="BV48" s="447">
        <f t="shared" si="72"/>
        <v>304911337</v>
      </c>
      <c r="BW48" s="447">
        <f t="shared" si="72"/>
        <v>296476164.95898461</v>
      </c>
      <c r="BX48" s="447">
        <f t="shared" si="72"/>
        <v>302313693.91750538</v>
      </c>
      <c r="BY48" s="447">
        <f t="shared" si="72"/>
        <v>305445491.78158271</v>
      </c>
      <c r="BZ48" s="447">
        <f t="shared" si="72"/>
        <v>309317829.16913664</v>
      </c>
      <c r="CA48" s="447">
        <f t="shared" si="72"/>
        <v>331013338.95160294</v>
      </c>
      <c r="CB48" s="447">
        <f t="shared" si="72"/>
        <v>387430433.51402414</v>
      </c>
      <c r="CC48" s="447">
        <f t="shared" si="72"/>
        <v>401306632.7953257</v>
      </c>
      <c r="CD48" s="447">
        <f t="shared" si="72"/>
        <v>459550694.32154572</v>
      </c>
      <c r="CE48" s="447">
        <f t="shared" si="72"/>
        <v>504916903.97234732</v>
      </c>
      <c r="CF48" s="447">
        <f t="shared" si="72"/>
        <v>513723584.20511931</v>
      </c>
      <c r="CG48" s="447">
        <f t="shared" si="72"/>
        <v>468121623.78720415</v>
      </c>
      <c r="CH48" s="447">
        <f t="shared" si="72"/>
        <v>413099474.54769146</v>
      </c>
      <c r="CI48" s="447">
        <f t="shared" si="72"/>
        <v>458131228.0794524</v>
      </c>
      <c r="CJ48" s="447">
        <f t="shared" si="72"/>
        <v>547141941.14295363</v>
      </c>
      <c r="CK48" s="447">
        <f t="shared" si="72"/>
        <v>575501124.98956645</v>
      </c>
      <c r="CL48" s="471">
        <f t="shared" si="72"/>
        <v>579275174.2837553</v>
      </c>
      <c r="CM48" s="380">
        <f t="shared" si="26"/>
        <v>379637814.62153572</v>
      </c>
      <c r="CN48" s="435"/>
      <c r="CO48" s="435"/>
      <c r="CP48" s="435"/>
      <c r="CQ48" s="435"/>
      <c r="CR48" s="435"/>
      <c r="CS48" s="435"/>
      <c r="CT48" s="435"/>
      <c r="CU48" s="435"/>
      <c r="CV48" s="435"/>
      <c r="CW48" s="435"/>
      <c r="CX48" s="435"/>
      <c r="CY48" s="435"/>
      <c r="CZ48" s="435"/>
      <c r="DA48" s="435"/>
      <c r="DB48" s="435"/>
      <c r="DC48" s="435"/>
      <c r="DD48" s="435"/>
      <c r="DE48" s="435"/>
      <c r="DF48" s="435"/>
      <c r="DG48" s="435"/>
      <c r="DH48" s="435"/>
      <c r="DI48" s="435"/>
      <c r="DJ48" s="435"/>
      <c r="DK48" s="435"/>
      <c r="DL48" s="435"/>
      <c r="DM48" s="435"/>
      <c r="DN48" s="435"/>
      <c r="DO48" s="435"/>
      <c r="DP48" s="435"/>
      <c r="DQ48" s="435"/>
      <c r="DR48" s="435"/>
      <c r="DS48" s="435"/>
      <c r="DT48" s="435"/>
      <c r="DU48" s="435"/>
      <c r="DV48" s="435"/>
      <c r="DW48" s="435"/>
      <c r="DX48" s="435"/>
      <c r="DY48" s="435"/>
      <c r="DZ48" s="435"/>
      <c r="EA48" s="435"/>
      <c r="EB48" s="435"/>
      <c r="EC48" s="435"/>
      <c r="ED48" s="435"/>
      <c r="EE48" s="435"/>
      <c r="EF48" s="435"/>
      <c r="EG48" s="435"/>
      <c r="EH48" s="435"/>
      <c r="EI48" s="435"/>
      <c r="EJ48" s="435"/>
      <c r="EK48" s="435"/>
      <c r="EL48" s="435"/>
      <c r="EM48" s="435"/>
      <c r="EN48" s="435"/>
      <c r="EO48" s="435"/>
      <c r="EP48" s="435"/>
      <c r="EQ48" s="435"/>
      <c r="ER48" s="435"/>
      <c r="ES48" s="435"/>
      <c r="ET48" s="435"/>
      <c r="EU48" s="435"/>
      <c r="EV48" s="435"/>
      <c r="EW48" s="435"/>
      <c r="EX48" s="435"/>
      <c r="EY48" s="435"/>
      <c r="EZ48" s="435"/>
      <c r="FA48" s="435"/>
      <c r="FB48" s="435"/>
      <c r="FC48" s="435"/>
      <c r="FD48" s="435"/>
      <c r="FE48" s="435"/>
      <c r="FF48" s="435"/>
      <c r="FG48" s="435"/>
      <c r="FH48" s="435"/>
      <c r="FI48" s="435"/>
      <c r="FJ48" s="435"/>
      <c r="FK48" s="435"/>
      <c r="FL48" s="435"/>
      <c r="FM48" s="435"/>
      <c r="FN48" s="435"/>
      <c r="FO48" s="435"/>
      <c r="FP48" s="435"/>
      <c r="FQ48" s="435"/>
      <c r="FR48" s="435"/>
      <c r="FS48" s="435"/>
      <c r="FT48" s="435"/>
      <c r="FU48" s="435"/>
      <c r="FV48" s="435"/>
    </row>
    <row r="49" spans="1:178">
      <c r="A49" s="427" t="s">
        <v>412</v>
      </c>
      <c r="B49" s="428" t="s">
        <v>403</v>
      </c>
      <c r="C49" s="378" t="s">
        <v>352</v>
      </c>
      <c r="D49" s="378"/>
      <c r="E49" s="379"/>
      <c r="F49" s="471" t="s">
        <v>1</v>
      </c>
      <c r="G49" s="446">
        <f t="shared" ref="G49:R49" si="73">G5*G15</f>
        <v>9047457819.6088428</v>
      </c>
      <c r="H49" s="446">
        <f t="shared" si="73"/>
        <v>8136231903.1581335</v>
      </c>
      <c r="I49" s="446">
        <f t="shared" si="73"/>
        <v>6467101537.1417408</v>
      </c>
      <c r="J49" s="446">
        <f t="shared" si="73"/>
        <v>5083308802.4483137</v>
      </c>
      <c r="K49" s="446">
        <f t="shared" si="73"/>
        <v>6427802981.7036819</v>
      </c>
      <c r="L49" s="446">
        <f t="shared" si="73"/>
        <v>6397442563.0303745</v>
      </c>
      <c r="M49" s="446">
        <f t="shared" si="73"/>
        <v>6745513395.2256546</v>
      </c>
      <c r="N49" s="446">
        <f t="shared" si="73"/>
        <v>7206872410.8659554</v>
      </c>
      <c r="O49" s="446">
        <f t="shared" si="73"/>
        <v>6994573758.406415</v>
      </c>
      <c r="P49" s="446">
        <f t="shared" si="73"/>
        <v>6018916510.4536858</v>
      </c>
      <c r="Q49" s="446">
        <f t="shared" si="73"/>
        <v>5343058591.0010509</v>
      </c>
      <c r="R49" s="446">
        <f t="shared" si="73"/>
        <v>5695954647.9618559</v>
      </c>
      <c r="S49" s="446">
        <f t="shared" ref="S49:AS49" si="74">S5*S15</f>
        <v>5898433180.152441</v>
      </c>
      <c r="T49" s="446">
        <f t="shared" si="74"/>
        <v>5945431184.235836</v>
      </c>
      <c r="U49" s="446">
        <f t="shared" si="74"/>
        <v>5482216599.2344646</v>
      </c>
      <c r="V49" s="446">
        <f t="shared" si="74"/>
        <v>4447486297.8983698</v>
      </c>
      <c r="W49" s="446">
        <f t="shared" si="74"/>
        <v>4238469274.3436484</v>
      </c>
      <c r="X49" s="446">
        <f t="shared" si="74"/>
        <v>4798479803.5033264</v>
      </c>
      <c r="Y49" s="446">
        <f t="shared" si="74"/>
        <v>5198608464.3701715</v>
      </c>
      <c r="Z49" s="446">
        <f t="shared" si="74"/>
        <v>5479914008.5459194</v>
      </c>
      <c r="AA49" s="446">
        <f t="shared" si="74"/>
        <v>5681827320.7714462</v>
      </c>
      <c r="AB49" s="446">
        <f t="shared" si="74"/>
        <v>5176541448.1413298</v>
      </c>
      <c r="AC49" s="446">
        <f t="shared" si="74"/>
        <v>4972431378.3252821</v>
      </c>
      <c r="AD49" s="446">
        <f t="shared" si="74"/>
        <v>5299884748.3039875</v>
      </c>
      <c r="AE49" s="446">
        <f t="shared" si="74"/>
        <v>5931824129.5675983</v>
      </c>
      <c r="AF49" s="446">
        <f t="shared" si="74"/>
        <v>5878931836.7810659</v>
      </c>
      <c r="AG49" s="446">
        <f t="shared" si="74"/>
        <v>6492829416.4002085</v>
      </c>
      <c r="AH49" s="446">
        <f t="shared" si="74"/>
        <v>6983703353.85987</v>
      </c>
      <c r="AI49" s="446">
        <f t="shared" si="74"/>
        <v>6948029699.5792131</v>
      </c>
      <c r="AJ49" s="446">
        <f t="shared" si="74"/>
        <v>6151778974.2511053</v>
      </c>
      <c r="AK49" s="446">
        <f t="shared" si="74"/>
        <v>6201481611.705308</v>
      </c>
      <c r="AL49" s="446">
        <f t="shared" si="74"/>
        <v>5773080441.7120237</v>
      </c>
      <c r="AM49" s="446">
        <f t="shared" si="74"/>
        <v>5337930435.7122049</v>
      </c>
      <c r="AN49" s="446">
        <f t="shared" si="74"/>
        <v>5479283783.0496054</v>
      </c>
      <c r="AO49" s="446">
        <f t="shared" si="74"/>
        <v>5968160714.7225504</v>
      </c>
      <c r="AP49" s="446">
        <f t="shared" si="74"/>
        <v>6576819606.5250006</v>
      </c>
      <c r="AQ49" s="446">
        <f t="shared" si="74"/>
        <v>6918202389.1996288</v>
      </c>
      <c r="AR49" s="446">
        <f t="shared" si="74"/>
        <v>7685043446.2784824</v>
      </c>
      <c r="AS49" s="446">
        <f t="shared" si="74"/>
        <v>7648957500.7068005</v>
      </c>
      <c r="AT49" s="446">
        <f t="shared" ref="AT49:CL49" si="75">AT5*AT15</f>
        <v>5030202217.9910574</v>
      </c>
      <c r="AU49" s="447">
        <f t="shared" si="75"/>
        <v>4696037514.2893448</v>
      </c>
      <c r="AV49" s="447">
        <f t="shared" si="75"/>
        <v>4966609196.5035572</v>
      </c>
      <c r="AW49" s="447">
        <f t="shared" si="75"/>
        <v>5156735108.5827198</v>
      </c>
      <c r="AX49" s="447">
        <f t="shared" si="75"/>
        <v>5783180778.2421961</v>
      </c>
      <c r="AY49" s="447">
        <f t="shared" si="75"/>
        <v>5684026050.8294287</v>
      </c>
      <c r="AZ49" s="447">
        <f t="shared" si="75"/>
        <v>5930735442.4069881</v>
      </c>
      <c r="BA49" s="447">
        <f t="shared" si="75"/>
        <v>6101645450.4320116</v>
      </c>
      <c r="BB49" s="447">
        <f t="shared" si="75"/>
        <v>6494321631.537281</v>
      </c>
      <c r="BC49" s="447">
        <f t="shared" si="75"/>
        <v>6677123582.1894426</v>
      </c>
      <c r="BD49" s="447">
        <f t="shared" si="75"/>
        <v>4908005751.3308287</v>
      </c>
      <c r="BE49" s="447">
        <f t="shared" si="75"/>
        <v>4213774854.3266935</v>
      </c>
      <c r="BF49" s="447">
        <f t="shared" si="75"/>
        <v>4289918510.497251</v>
      </c>
      <c r="BG49" s="447">
        <f t="shared" si="75"/>
        <v>4764343215.0946264</v>
      </c>
      <c r="BH49" s="447">
        <f t="shared" si="75"/>
        <v>4987618472.2459564</v>
      </c>
      <c r="BI49" s="447">
        <f t="shared" si="75"/>
        <v>5400137510.1751614</v>
      </c>
      <c r="BJ49" s="447">
        <f t="shared" si="75"/>
        <v>5340036481.5680666</v>
      </c>
      <c r="BK49" s="447">
        <f t="shared" si="75"/>
        <v>4404217760.1270571</v>
      </c>
      <c r="BL49" s="447">
        <f t="shared" si="75"/>
        <v>4678885617.810997</v>
      </c>
      <c r="BM49" s="447">
        <f t="shared" si="75"/>
        <v>4395803062.5862684</v>
      </c>
      <c r="BN49" s="447">
        <f t="shared" si="75"/>
        <v>4556645632.7140312</v>
      </c>
      <c r="BO49" s="447">
        <f t="shared" si="75"/>
        <v>4854623755.9281235</v>
      </c>
      <c r="BP49" s="447">
        <f t="shared" si="75"/>
        <v>4860963964.634923</v>
      </c>
      <c r="BQ49" s="447">
        <f t="shared" si="75"/>
        <v>5264265093.3009176</v>
      </c>
      <c r="BR49" s="447">
        <f t="shared" si="75"/>
        <v>5102239717.3726568</v>
      </c>
      <c r="BS49" s="447">
        <f t="shared" si="75"/>
        <v>4557642401.9652891</v>
      </c>
      <c r="BT49" s="447">
        <f t="shared" si="75"/>
        <v>2930708447.3615656</v>
      </c>
      <c r="BU49" s="447">
        <f t="shared" si="75"/>
        <v>5587216503.4159889</v>
      </c>
      <c r="BV49" s="447">
        <f t="shared" si="75"/>
        <v>4872350017.9123583</v>
      </c>
      <c r="BW49" s="447">
        <f t="shared" si="75"/>
        <v>5400952681.235425</v>
      </c>
      <c r="BX49" s="447">
        <f t="shared" si="75"/>
        <v>3891170028.2907062</v>
      </c>
      <c r="BY49" s="447">
        <f t="shared" si="75"/>
        <v>3933018157.6299548</v>
      </c>
      <c r="BZ49" s="447">
        <f t="shared" si="75"/>
        <v>3768567776.355536</v>
      </c>
      <c r="CA49" s="447">
        <f t="shared" si="75"/>
        <v>3117196435.8266759</v>
      </c>
      <c r="CB49" s="447">
        <f t="shared" si="75"/>
        <v>3716058549.3068819</v>
      </c>
      <c r="CC49" s="447">
        <f t="shared" si="75"/>
        <v>4282108683.9819984</v>
      </c>
      <c r="CD49" s="447">
        <f t="shared" si="75"/>
        <v>4880338833.9860449</v>
      </c>
      <c r="CE49" s="447">
        <f t="shared" si="75"/>
        <v>5388093340.0656729</v>
      </c>
      <c r="CF49" s="447">
        <f t="shared" si="75"/>
        <v>5765184638.427537</v>
      </c>
      <c r="CG49" s="447">
        <f t="shared" si="75"/>
        <v>5512504536.7665443</v>
      </c>
      <c r="CH49" s="447">
        <f t="shared" si="75"/>
        <v>5808469798.17274</v>
      </c>
      <c r="CI49" s="447">
        <f t="shared" si="75"/>
        <v>6278124365.1220627</v>
      </c>
      <c r="CJ49" s="447">
        <f t="shared" si="75"/>
        <v>6692115965.5554724</v>
      </c>
      <c r="CK49" s="447">
        <f t="shared" si="75"/>
        <v>6438478441.353652</v>
      </c>
      <c r="CL49" s="471">
        <f t="shared" si="75"/>
        <v>6604833704.6826477</v>
      </c>
      <c r="CM49" s="380">
        <f t="shared" si="26"/>
        <v>5549133876.7739868</v>
      </c>
      <c r="CN49" s="435"/>
      <c r="CO49" s="435"/>
      <c r="CP49" s="435"/>
      <c r="CQ49" s="435"/>
      <c r="CR49" s="435"/>
      <c r="CS49" s="435"/>
      <c r="CT49" s="435"/>
      <c r="CU49" s="435"/>
      <c r="CV49" s="435"/>
      <c r="CW49" s="435"/>
      <c r="CX49" s="435"/>
      <c r="CY49" s="435"/>
      <c r="CZ49" s="435"/>
      <c r="DA49" s="435"/>
      <c r="DB49" s="435"/>
      <c r="DC49" s="435"/>
      <c r="DD49" s="435"/>
      <c r="DE49" s="435"/>
      <c r="DF49" s="435"/>
      <c r="DG49" s="435"/>
      <c r="DH49" s="435"/>
      <c r="DI49" s="435"/>
      <c r="DJ49" s="435"/>
      <c r="DK49" s="435"/>
      <c r="DL49" s="435"/>
      <c r="DM49" s="435"/>
      <c r="DN49" s="435"/>
      <c r="DO49" s="435"/>
      <c r="DP49" s="435"/>
      <c r="DQ49" s="435"/>
      <c r="DR49" s="435"/>
      <c r="DS49" s="435"/>
      <c r="DT49" s="435"/>
      <c r="DU49" s="435"/>
      <c r="DV49" s="435"/>
      <c r="DW49" s="435"/>
      <c r="DX49" s="435"/>
      <c r="DY49" s="435"/>
      <c r="DZ49" s="435"/>
      <c r="EA49" s="435"/>
      <c r="EB49" s="435"/>
      <c r="EC49" s="435"/>
      <c r="ED49" s="435"/>
      <c r="EE49" s="435"/>
      <c r="EF49" s="435"/>
      <c r="EG49" s="435"/>
      <c r="EH49" s="435"/>
      <c r="EI49" s="435"/>
      <c r="EJ49" s="435"/>
      <c r="EK49" s="435"/>
      <c r="EL49" s="435"/>
      <c r="EM49" s="435"/>
      <c r="EN49" s="435"/>
      <c r="EO49" s="435"/>
      <c r="EP49" s="435"/>
      <c r="EQ49" s="435"/>
      <c r="ER49" s="435"/>
      <c r="ES49" s="435"/>
      <c r="ET49" s="435"/>
      <c r="EU49" s="435"/>
      <c r="EV49" s="435"/>
      <c r="EW49" s="435"/>
      <c r="EX49" s="435"/>
      <c r="EY49" s="435"/>
      <c r="EZ49" s="435"/>
      <c r="FA49" s="435"/>
      <c r="FB49" s="435"/>
      <c r="FC49" s="435"/>
      <c r="FD49" s="435"/>
      <c r="FE49" s="435"/>
      <c r="FF49" s="435"/>
      <c r="FG49" s="435"/>
      <c r="FH49" s="435"/>
      <c r="FI49" s="435"/>
      <c r="FJ49" s="435"/>
      <c r="FK49" s="435"/>
      <c r="FL49" s="435"/>
      <c r="FM49" s="435"/>
      <c r="FN49" s="435"/>
      <c r="FO49" s="435"/>
      <c r="FP49" s="435"/>
      <c r="FQ49" s="435"/>
      <c r="FR49" s="435"/>
      <c r="FS49" s="435"/>
      <c r="FT49" s="435"/>
      <c r="FU49" s="435"/>
      <c r="FV49" s="435"/>
    </row>
    <row r="50" spans="1:178">
      <c r="A50" s="427" t="s">
        <v>413</v>
      </c>
      <c r="B50" s="428" t="s">
        <v>403</v>
      </c>
      <c r="C50" s="378" t="s">
        <v>352</v>
      </c>
      <c r="D50" s="378"/>
      <c r="E50" s="379"/>
      <c r="F50" s="471" t="s">
        <v>421</v>
      </c>
      <c r="G50" s="446">
        <f t="shared" ref="G50:AL50" si="76">G46*$CO$4+G47*$CP$4+G48*$CQ$4+G49*$CR$4</f>
        <v>8530402753.5654879</v>
      </c>
      <c r="H50" s="446">
        <f t="shared" si="76"/>
        <v>7764514059.0486784</v>
      </c>
      <c r="I50" s="446">
        <f t="shared" si="76"/>
        <v>6677152043.9956207</v>
      </c>
      <c r="J50" s="446">
        <f t="shared" si="76"/>
        <v>5498716184.2238598</v>
      </c>
      <c r="K50" s="446">
        <f t="shared" si="76"/>
        <v>6341286108.022913</v>
      </c>
      <c r="L50" s="446">
        <f t="shared" si="76"/>
        <v>6455227296.6223383</v>
      </c>
      <c r="M50" s="446">
        <f t="shared" si="76"/>
        <v>6569092703.1766472</v>
      </c>
      <c r="N50" s="446">
        <f t="shared" si="76"/>
        <v>6886091722.5079699</v>
      </c>
      <c r="O50" s="446">
        <f t="shared" si="76"/>
        <v>6536614668.1376305</v>
      </c>
      <c r="P50" s="446">
        <f t="shared" si="76"/>
        <v>5934108283.2999334</v>
      </c>
      <c r="Q50" s="446">
        <f t="shared" si="76"/>
        <v>5496763820.9957142</v>
      </c>
      <c r="R50" s="446">
        <f t="shared" si="76"/>
        <v>5575205654.5692072</v>
      </c>
      <c r="S50" s="446">
        <f t="shared" si="76"/>
        <v>5788813337.4749403</v>
      </c>
      <c r="T50" s="446">
        <f t="shared" si="76"/>
        <v>5971432191.9472561</v>
      </c>
      <c r="U50" s="446">
        <f t="shared" si="76"/>
        <v>5771546464.9633579</v>
      </c>
      <c r="V50" s="446">
        <f t="shared" si="76"/>
        <v>4849824257.7600536</v>
      </c>
      <c r="W50" s="446">
        <f t="shared" si="76"/>
        <v>4547037673.5427065</v>
      </c>
      <c r="X50" s="446">
        <f t="shared" si="76"/>
        <v>4852236177.1181469</v>
      </c>
      <c r="Y50" s="446">
        <f t="shared" si="76"/>
        <v>5053564668.1724453</v>
      </c>
      <c r="Z50" s="446">
        <f t="shared" si="76"/>
        <v>5253108300.1589079</v>
      </c>
      <c r="AA50" s="446">
        <f t="shared" si="76"/>
        <v>5382560504.6463375</v>
      </c>
      <c r="AB50" s="446">
        <f t="shared" si="76"/>
        <v>4965525983.555438</v>
      </c>
      <c r="AC50" s="446">
        <f t="shared" si="76"/>
        <v>4810903859.3512363</v>
      </c>
      <c r="AD50" s="446">
        <f t="shared" si="76"/>
        <v>5037005962.0822563</v>
      </c>
      <c r="AE50" s="446">
        <f t="shared" si="76"/>
        <v>5455012933.5088539</v>
      </c>
      <c r="AF50" s="446">
        <f t="shared" si="76"/>
        <v>5617862227.3663216</v>
      </c>
      <c r="AG50" s="446">
        <f t="shared" si="76"/>
        <v>5934123890.5402842</v>
      </c>
      <c r="AH50" s="446">
        <f t="shared" si="76"/>
        <v>6408718631.9246922</v>
      </c>
      <c r="AI50" s="446">
        <f t="shared" si="76"/>
        <v>6605696839.4604263</v>
      </c>
      <c r="AJ50" s="446">
        <f t="shared" si="76"/>
        <v>6029897596.5889225</v>
      </c>
      <c r="AK50" s="446">
        <f t="shared" si="76"/>
        <v>5840630076.5207186</v>
      </c>
      <c r="AL50" s="446">
        <f t="shared" si="76"/>
        <v>5432911918.3103619</v>
      </c>
      <c r="AM50" s="446">
        <f t="shared" ref="AM50:BR50" si="77">AM46*$CO$4+AM47*$CP$4+AM48*$CQ$4+AM49*$CR$4</f>
        <v>5181599814.1364174</v>
      </c>
      <c r="AN50" s="446">
        <f t="shared" si="77"/>
        <v>5146674460.0152397</v>
      </c>
      <c r="AO50" s="446">
        <f t="shared" si="77"/>
        <v>5656093215.5659714</v>
      </c>
      <c r="AP50" s="446">
        <f t="shared" si="77"/>
        <v>6193361673.5599861</v>
      </c>
      <c r="AQ50" s="446">
        <f t="shared" si="77"/>
        <v>6751141156.792264</v>
      </c>
      <c r="AR50" s="446">
        <f t="shared" si="77"/>
        <v>7189788493.5827274</v>
      </c>
      <c r="AS50" s="446">
        <f t="shared" si="77"/>
        <v>7178145703.7697659</v>
      </c>
      <c r="AT50" s="446">
        <f t="shared" si="77"/>
        <v>6018218841.6087494</v>
      </c>
      <c r="AU50" s="447">
        <f t="shared" si="77"/>
        <v>5652297659.7882071</v>
      </c>
      <c r="AV50" s="447">
        <f t="shared" si="77"/>
        <v>5938740230.337965</v>
      </c>
      <c r="AW50" s="447">
        <f t="shared" si="77"/>
        <v>6013219807.0803194</v>
      </c>
      <c r="AX50" s="447">
        <f t="shared" si="77"/>
        <v>6158750082.1766682</v>
      </c>
      <c r="AY50" s="447">
        <f t="shared" si="77"/>
        <v>6753115249.5705585</v>
      </c>
      <c r="AZ50" s="447">
        <f t="shared" si="77"/>
        <v>7118038576.6812658</v>
      </c>
      <c r="BA50" s="447">
        <f t="shared" si="77"/>
        <v>7384894901.635294</v>
      </c>
      <c r="BB50" s="447">
        <f t="shared" si="77"/>
        <v>7778675782.1568642</v>
      </c>
      <c r="BC50" s="447">
        <f t="shared" si="77"/>
        <v>7338962067.0605879</v>
      </c>
      <c r="BD50" s="447">
        <f t="shared" si="77"/>
        <v>5738225061.6714478</v>
      </c>
      <c r="BE50" s="447">
        <f t="shared" si="77"/>
        <v>4988380534.2075262</v>
      </c>
      <c r="BF50" s="447">
        <f t="shared" si="77"/>
        <v>5022739878.0982075</v>
      </c>
      <c r="BG50" s="447">
        <f t="shared" si="77"/>
        <v>5331371796.42696</v>
      </c>
      <c r="BH50" s="447">
        <f t="shared" si="77"/>
        <v>5589835860.9681931</v>
      </c>
      <c r="BI50" s="447">
        <f t="shared" si="77"/>
        <v>5964246674.9713125</v>
      </c>
      <c r="BJ50" s="447">
        <f t="shared" si="77"/>
        <v>5958196363.5134048</v>
      </c>
      <c r="BK50" s="447">
        <f t="shared" si="77"/>
        <v>5102701431.9134417</v>
      </c>
      <c r="BL50" s="447">
        <f t="shared" si="77"/>
        <v>5080292825.4896526</v>
      </c>
      <c r="BM50" s="447">
        <f t="shared" si="77"/>
        <v>4978366927.8897991</v>
      </c>
      <c r="BN50" s="447">
        <f t="shared" si="77"/>
        <v>4966148196.7766018</v>
      </c>
      <c r="BO50" s="447">
        <f t="shared" si="77"/>
        <v>5288887021.8525772</v>
      </c>
      <c r="BP50" s="447">
        <f t="shared" si="77"/>
        <v>5333834911.1779938</v>
      </c>
      <c r="BQ50" s="447">
        <f t="shared" si="77"/>
        <v>5612911916.7418699</v>
      </c>
      <c r="BR50" s="447">
        <f t="shared" si="77"/>
        <v>5970600812.9051151</v>
      </c>
      <c r="BS50" s="447">
        <f t="shared" ref="BS50:CL50" si="78">BS46*$CO$4+BS47*$CP$4+BS48*$CQ$4+BS49*$CR$4</f>
        <v>5483088672.9042568</v>
      </c>
      <c r="BT50" s="447">
        <f t="shared" si="78"/>
        <v>4318618210.6591778</v>
      </c>
      <c r="BU50" s="447">
        <f t="shared" si="78"/>
        <v>5027060424.7329636</v>
      </c>
      <c r="BV50" s="447">
        <f t="shared" si="78"/>
        <v>5003009762.5413418</v>
      </c>
      <c r="BW50" s="447">
        <f t="shared" si="78"/>
        <v>5358374050.7268009</v>
      </c>
      <c r="BX50" s="447">
        <f t="shared" si="78"/>
        <v>4481136823.4408646</v>
      </c>
      <c r="BY50" s="447">
        <f t="shared" si="78"/>
        <v>4538113004.2209625</v>
      </c>
      <c r="BZ50" s="447">
        <f t="shared" si="78"/>
        <v>4462475507.9961872</v>
      </c>
      <c r="CA50" s="447">
        <f t="shared" si="78"/>
        <v>3989781303.8524714</v>
      </c>
      <c r="CB50" s="447">
        <f t="shared" si="78"/>
        <v>4513451113.577343</v>
      </c>
      <c r="CC50" s="447">
        <f t="shared" si="78"/>
        <v>4953425657.1573496</v>
      </c>
      <c r="CD50" s="447">
        <f t="shared" si="78"/>
        <v>5581229069.3444729</v>
      </c>
      <c r="CE50" s="447">
        <f t="shared" si="78"/>
        <v>6079948336.9101601</v>
      </c>
      <c r="CF50" s="447">
        <f t="shared" si="78"/>
        <v>6369746434.4960642</v>
      </c>
      <c r="CG50" s="447">
        <f t="shared" si="78"/>
        <v>6026728467.4684181</v>
      </c>
      <c r="CH50" s="447">
        <f t="shared" si="78"/>
        <v>5962436626.7826633</v>
      </c>
      <c r="CI50" s="447">
        <f t="shared" si="78"/>
        <v>6364063159.7277718</v>
      </c>
      <c r="CJ50" s="447">
        <f t="shared" si="78"/>
        <v>6951363962.7886696</v>
      </c>
      <c r="CK50" s="447">
        <f t="shared" si="78"/>
        <v>6897427828.2551594</v>
      </c>
      <c r="CL50" s="471">
        <f t="shared" si="78"/>
        <v>6997633151.0164948</v>
      </c>
      <c r="CM50" s="380">
        <f t="shared" si="26"/>
        <v>5804894741.5700274</v>
      </c>
      <c r="CN50" s="435"/>
      <c r="CO50" s="435"/>
      <c r="CP50" s="435"/>
      <c r="CQ50" s="435"/>
      <c r="CR50" s="435"/>
      <c r="CS50" s="435"/>
      <c r="CT50" s="435"/>
      <c r="CU50" s="435"/>
      <c r="CV50" s="435"/>
      <c r="CW50" s="435"/>
      <c r="CX50" s="435"/>
      <c r="CY50" s="435"/>
      <c r="CZ50" s="435"/>
      <c r="DA50" s="435"/>
      <c r="DB50" s="435"/>
      <c r="DC50" s="435"/>
      <c r="DD50" s="435"/>
      <c r="DE50" s="435"/>
      <c r="DF50" s="435"/>
      <c r="DG50" s="435"/>
      <c r="DH50" s="435"/>
      <c r="DI50" s="435"/>
      <c r="DJ50" s="435"/>
      <c r="DK50" s="435"/>
      <c r="DL50" s="435"/>
      <c r="DM50" s="435"/>
      <c r="DN50" s="435"/>
      <c r="DO50" s="435"/>
      <c r="DP50" s="435"/>
      <c r="DQ50" s="435"/>
      <c r="DR50" s="435"/>
      <c r="DS50" s="435"/>
      <c r="DT50" s="435"/>
      <c r="DU50" s="435"/>
      <c r="DV50" s="435"/>
      <c r="DW50" s="435"/>
      <c r="DX50" s="435"/>
      <c r="DY50" s="435"/>
      <c r="DZ50" s="435"/>
      <c r="EA50" s="435"/>
      <c r="EB50" s="435"/>
      <c r="EC50" s="435"/>
      <c r="ED50" s="435"/>
      <c r="EE50" s="435"/>
      <c r="EF50" s="435"/>
      <c r="EG50" s="435"/>
      <c r="EH50" s="435"/>
      <c r="EI50" s="435"/>
      <c r="EJ50" s="435"/>
      <c r="EK50" s="435"/>
      <c r="EL50" s="435"/>
      <c r="EM50" s="435"/>
      <c r="EN50" s="435"/>
      <c r="EO50" s="435"/>
      <c r="EP50" s="435"/>
      <c r="EQ50" s="435"/>
      <c r="ER50" s="435"/>
      <c r="ES50" s="435"/>
      <c r="ET50" s="435"/>
      <c r="EU50" s="435"/>
      <c r="EV50" s="435"/>
      <c r="EW50" s="435"/>
      <c r="EX50" s="435"/>
      <c r="EY50" s="435"/>
      <c r="EZ50" s="435"/>
      <c r="FA50" s="435"/>
      <c r="FB50" s="435"/>
      <c r="FC50" s="435"/>
      <c r="FD50" s="435"/>
      <c r="FE50" s="435"/>
      <c r="FF50" s="435"/>
      <c r="FG50" s="435"/>
      <c r="FH50" s="435"/>
      <c r="FI50" s="435"/>
      <c r="FJ50" s="435"/>
      <c r="FK50" s="435"/>
      <c r="FL50" s="435"/>
      <c r="FM50" s="435"/>
      <c r="FN50" s="435"/>
      <c r="FO50" s="435"/>
      <c r="FP50" s="435"/>
      <c r="FQ50" s="435"/>
      <c r="FR50" s="435"/>
      <c r="FS50" s="435"/>
      <c r="FT50" s="435"/>
      <c r="FU50" s="435"/>
      <c r="FV50" s="435"/>
    </row>
    <row r="51" spans="1:178">
      <c r="A51" s="427" t="s">
        <v>414</v>
      </c>
      <c r="B51" s="428" t="s">
        <v>403</v>
      </c>
      <c r="C51" s="378" t="s">
        <v>352</v>
      </c>
      <c r="D51" s="378"/>
      <c r="E51" s="379"/>
      <c r="F51" s="471" t="s">
        <v>422</v>
      </c>
      <c r="G51" s="446">
        <f t="shared" ref="G51:AL51" si="79">$CO$5*G46+G47*$CP$5+G48*$CQ$5+G49*$CR$5</f>
        <v>5000516105.8392601</v>
      </c>
      <c r="H51" s="446">
        <f t="shared" si="79"/>
        <v>4412594669.9539051</v>
      </c>
      <c r="I51" s="446">
        <f t="shared" si="79"/>
        <v>3638407798.1677938</v>
      </c>
      <c r="J51" s="446">
        <f t="shared" si="79"/>
        <v>2853498473.8000784</v>
      </c>
      <c r="K51" s="446">
        <f t="shared" si="79"/>
        <v>3454336549.5018721</v>
      </c>
      <c r="L51" s="446">
        <f t="shared" si="79"/>
        <v>3505944547.2625885</v>
      </c>
      <c r="M51" s="446">
        <f t="shared" si="79"/>
        <v>3606316510.7908936</v>
      </c>
      <c r="N51" s="446">
        <f t="shared" si="79"/>
        <v>3821344021.2642226</v>
      </c>
      <c r="O51" s="446">
        <f t="shared" si="79"/>
        <v>3640769335.0457516</v>
      </c>
      <c r="P51" s="446">
        <f t="shared" si="79"/>
        <v>3209912730.3669705</v>
      </c>
      <c r="Q51" s="446">
        <f t="shared" si="79"/>
        <v>2891623034.8620272</v>
      </c>
      <c r="R51" s="446">
        <f t="shared" si="79"/>
        <v>2963698805.6067882</v>
      </c>
      <c r="S51" s="446">
        <f t="shared" si="79"/>
        <v>3107018400.0556931</v>
      </c>
      <c r="T51" s="446">
        <f t="shared" si="79"/>
        <v>3208720044.0159845</v>
      </c>
      <c r="U51" s="446">
        <f t="shared" si="79"/>
        <v>3119635271.1450491</v>
      </c>
      <c r="V51" s="446">
        <f t="shared" si="79"/>
        <v>2503369610.5617065</v>
      </c>
      <c r="W51" s="446">
        <f t="shared" si="79"/>
        <v>2311310370.9209547</v>
      </c>
      <c r="X51" s="446">
        <f t="shared" si="79"/>
        <v>2543785517.7087245</v>
      </c>
      <c r="Y51" s="446">
        <f t="shared" si="79"/>
        <v>2761414698.4707284</v>
      </c>
      <c r="Z51" s="446">
        <f t="shared" si="79"/>
        <v>2900527051.0019927</v>
      </c>
      <c r="AA51" s="446">
        <f t="shared" si="79"/>
        <v>2989693233.5817375</v>
      </c>
      <c r="AB51" s="446">
        <f t="shared" si="79"/>
        <v>2707755772.2228732</v>
      </c>
      <c r="AC51" s="446">
        <f t="shared" si="79"/>
        <v>2600858173.5294867</v>
      </c>
      <c r="AD51" s="446">
        <f t="shared" si="79"/>
        <v>2761235186.391099</v>
      </c>
      <c r="AE51" s="446">
        <f t="shared" si="79"/>
        <v>3105176513.8117275</v>
      </c>
      <c r="AF51" s="446">
        <f t="shared" si="79"/>
        <v>3187095298.2511187</v>
      </c>
      <c r="AG51" s="446">
        <f t="shared" si="79"/>
        <v>3424116563.8806953</v>
      </c>
      <c r="AH51" s="446">
        <f t="shared" si="79"/>
        <v>3737039340.7704945</v>
      </c>
      <c r="AI51" s="446">
        <f t="shared" si="79"/>
        <v>3848000606.0379324</v>
      </c>
      <c r="AJ51" s="446">
        <f t="shared" si="79"/>
        <v>3455710894.0895782</v>
      </c>
      <c r="AK51" s="446">
        <f t="shared" si="79"/>
        <v>3356951448.2234449</v>
      </c>
      <c r="AL51" s="446">
        <f t="shared" si="79"/>
        <v>3084070071.168891</v>
      </c>
      <c r="AM51" s="446">
        <f t="shared" ref="AM51:BR51" si="80">$CO$5*AM46+AM47*$CP$5+AM48*$CQ$5+AM49*$CR$5</f>
        <v>2901106872.7573104</v>
      </c>
      <c r="AN51" s="446">
        <f t="shared" si="80"/>
        <v>2898034028.3122616</v>
      </c>
      <c r="AO51" s="446">
        <f t="shared" si="80"/>
        <v>3230922684.1074557</v>
      </c>
      <c r="AP51" s="446">
        <f t="shared" si="80"/>
        <v>3586312823.7103486</v>
      </c>
      <c r="AQ51" s="446">
        <f t="shared" si="80"/>
        <v>3891659201.9805822</v>
      </c>
      <c r="AR51" s="446">
        <f t="shared" si="80"/>
        <v>4211968390.7147422</v>
      </c>
      <c r="AS51" s="446">
        <f t="shared" si="80"/>
        <v>4203315937.0225182</v>
      </c>
      <c r="AT51" s="446">
        <f t="shared" si="80"/>
        <v>3097555758.1031346</v>
      </c>
      <c r="AU51" s="447">
        <f t="shared" si="80"/>
        <v>2859425205.4915657</v>
      </c>
      <c r="AV51" s="447">
        <f t="shared" si="80"/>
        <v>2911789520.706151</v>
      </c>
      <c r="AW51" s="447">
        <f t="shared" si="80"/>
        <v>2993344230.4775147</v>
      </c>
      <c r="AX51" s="447">
        <f t="shared" si="80"/>
        <v>3323704234.9436264</v>
      </c>
      <c r="AY51" s="447">
        <f t="shared" si="80"/>
        <v>3394101976.1147513</v>
      </c>
      <c r="AZ51" s="447">
        <f t="shared" si="80"/>
        <v>3509715948.1301737</v>
      </c>
      <c r="BA51" s="447">
        <f t="shared" si="80"/>
        <v>3639573341.0752177</v>
      </c>
      <c r="BB51" s="447">
        <f t="shared" si="80"/>
        <v>3890692693.4882402</v>
      </c>
      <c r="BC51" s="447">
        <f t="shared" si="80"/>
        <v>4071044727.8123894</v>
      </c>
      <c r="BD51" s="447">
        <f t="shared" si="80"/>
        <v>3076610294.6793108</v>
      </c>
      <c r="BE51" s="447">
        <f t="shared" si="80"/>
        <v>2590180220.8867836</v>
      </c>
      <c r="BF51" s="447">
        <f t="shared" si="80"/>
        <v>2602321828.9666276</v>
      </c>
      <c r="BG51" s="447">
        <f t="shared" si="80"/>
        <v>2839128737.5446415</v>
      </c>
      <c r="BH51" s="447">
        <f t="shared" si="80"/>
        <v>3002738999.3044791</v>
      </c>
      <c r="BI51" s="447">
        <f t="shared" si="80"/>
        <v>3218355934.8250585</v>
      </c>
      <c r="BJ51" s="447">
        <f t="shared" si="80"/>
        <v>3210020584.3042979</v>
      </c>
      <c r="BK51" s="447">
        <f t="shared" si="80"/>
        <v>2634321263.1969767</v>
      </c>
      <c r="BL51" s="447">
        <f t="shared" si="80"/>
        <v>2643729703.7199879</v>
      </c>
      <c r="BM51" s="447">
        <f t="shared" si="80"/>
        <v>2540999583.3432732</v>
      </c>
      <c r="BN51" s="447">
        <f t="shared" si="80"/>
        <v>2581255435.6023235</v>
      </c>
      <c r="BO51" s="447">
        <f t="shared" si="80"/>
        <v>2832795407.6365857</v>
      </c>
      <c r="BP51" s="447">
        <f t="shared" si="80"/>
        <v>2858375743.1174827</v>
      </c>
      <c r="BQ51" s="447">
        <f t="shared" si="80"/>
        <v>3044001011.9146447</v>
      </c>
      <c r="BR51" s="447">
        <f t="shared" si="80"/>
        <v>3211323291.6920729</v>
      </c>
      <c r="BS51" s="447">
        <f t="shared" ref="BS51:CL51" si="81">$CO$5*BS46+BS47*$CP$5+BS48*$CQ$5+BS49*$CR$5</f>
        <v>2879729494.1890535</v>
      </c>
      <c r="BT51" s="447">
        <f t="shared" si="81"/>
        <v>2090239899.9455748</v>
      </c>
      <c r="BU51" s="447">
        <f t="shared" si="81"/>
        <v>2820666461.0852084</v>
      </c>
      <c r="BV51" s="447">
        <f t="shared" si="81"/>
        <v>2727677481.1017714</v>
      </c>
      <c r="BW51" s="447">
        <f t="shared" si="81"/>
        <v>2963422849.5365362</v>
      </c>
      <c r="BX51" s="447">
        <f t="shared" si="81"/>
        <v>2339920237.2752762</v>
      </c>
      <c r="BY51" s="447">
        <f t="shared" si="81"/>
        <v>2364527206.00071</v>
      </c>
      <c r="BZ51" s="447">
        <f t="shared" si="81"/>
        <v>2288372653.5340338</v>
      </c>
      <c r="CA51" s="447">
        <f t="shared" si="81"/>
        <v>2036713290.0276623</v>
      </c>
      <c r="CB51" s="447">
        <f t="shared" si="81"/>
        <v>2403530515.2202134</v>
      </c>
      <c r="CC51" s="447">
        <f t="shared" si="81"/>
        <v>2673093336.5252085</v>
      </c>
      <c r="CD51" s="447">
        <f t="shared" si="81"/>
        <v>3097120900.0059996</v>
      </c>
      <c r="CE51" s="447">
        <f t="shared" si="81"/>
        <v>3409882121.8589988</v>
      </c>
      <c r="CF51" s="447">
        <f t="shared" si="81"/>
        <v>3603283031.9485068</v>
      </c>
      <c r="CG51" s="447">
        <f t="shared" si="81"/>
        <v>3398178088.1751385</v>
      </c>
      <c r="CH51" s="447">
        <f t="shared" si="81"/>
        <v>3387163892.5529137</v>
      </c>
      <c r="CI51" s="447">
        <f t="shared" si="81"/>
        <v>3660075582.6506376</v>
      </c>
      <c r="CJ51" s="447">
        <f t="shared" si="81"/>
        <v>4020706564.4770246</v>
      </c>
      <c r="CK51" s="447">
        <f t="shared" si="81"/>
        <v>3982795340.7170029</v>
      </c>
      <c r="CL51" s="471">
        <f t="shared" si="81"/>
        <v>4053475486.6312051</v>
      </c>
      <c r="CM51" s="380">
        <f t="shared" si="26"/>
        <v>3159683889.2552772</v>
      </c>
      <c r="CN51" s="435"/>
      <c r="CO51" s="435"/>
      <c r="CP51" s="435"/>
      <c r="CQ51" s="435"/>
      <c r="CR51" s="435"/>
      <c r="CS51" s="435"/>
      <c r="CT51" s="435"/>
      <c r="CU51" s="435"/>
      <c r="CV51" s="435"/>
      <c r="CW51" s="435"/>
      <c r="CX51" s="435"/>
      <c r="CY51" s="435"/>
      <c r="CZ51" s="435"/>
      <c r="DA51" s="435"/>
      <c r="DB51" s="435"/>
      <c r="DC51" s="435"/>
      <c r="DD51" s="435"/>
      <c r="DE51" s="435"/>
      <c r="DF51" s="435"/>
      <c r="DG51" s="435"/>
      <c r="DH51" s="435"/>
      <c r="DI51" s="435"/>
      <c r="DJ51" s="435"/>
      <c r="DK51" s="435"/>
      <c r="DL51" s="435"/>
      <c r="DM51" s="435"/>
      <c r="DN51" s="435"/>
      <c r="DO51" s="435"/>
      <c r="DP51" s="435"/>
      <c r="DQ51" s="435"/>
      <c r="DR51" s="435"/>
      <c r="DS51" s="435"/>
      <c r="DT51" s="435"/>
      <c r="DU51" s="435"/>
      <c r="DV51" s="435"/>
      <c r="DW51" s="435"/>
      <c r="DX51" s="435"/>
      <c r="DY51" s="435"/>
      <c r="DZ51" s="435"/>
      <c r="EA51" s="435"/>
      <c r="EB51" s="435"/>
      <c r="EC51" s="435"/>
      <c r="ED51" s="435"/>
      <c r="EE51" s="435"/>
      <c r="EF51" s="435"/>
      <c r="EG51" s="435"/>
      <c r="EH51" s="435"/>
      <c r="EI51" s="435"/>
      <c r="EJ51" s="435"/>
      <c r="EK51" s="435"/>
      <c r="EL51" s="435"/>
      <c r="EM51" s="435"/>
      <c r="EN51" s="435"/>
      <c r="EO51" s="435"/>
      <c r="EP51" s="435"/>
      <c r="EQ51" s="435"/>
      <c r="ER51" s="435"/>
      <c r="ES51" s="435"/>
      <c r="ET51" s="435"/>
      <c r="EU51" s="435"/>
      <c r="EV51" s="435"/>
      <c r="EW51" s="435"/>
      <c r="EX51" s="435"/>
      <c r="EY51" s="435"/>
      <c r="EZ51" s="435"/>
      <c r="FA51" s="435"/>
      <c r="FB51" s="435"/>
      <c r="FC51" s="435"/>
      <c r="FD51" s="435"/>
      <c r="FE51" s="435"/>
      <c r="FF51" s="435"/>
      <c r="FG51" s="435"/>
      <c r="FH51" s="435"/>
      <c r="FI51" s="435"/>
      <c r="FJ51" s="435"/>
      <c r="FK51" s="435"/>
      <c r="FL51" s="435"/>
      <c r="FM51" s="435"/>
      <c r="FN51" s="435"/>
      <c r="FO51" s="435"/>
      <c r="FP51" s="435"/>
      <c r="FQ51" s="435"/>
      <c r="FR51" s="435"/>
      <c r="FS51" s="435"/>
      <c r="FT51" s="435"/>
      <c r="FU51" s="435"/>
      <c r="FV51" s="435"/>
    </row>
    <row r="52" spans="1:178" s="75" customFormat="1">
      <c r="A52" s="427" t="s">
        <v>415</v>
      </c>
      <c r="B52" s="428" t="s">
        <v>403</v>
      </c>
      <c r="C52" s="427"/>
      <c r="D52" s="427"/>
      <c r="E52" s="498"/>
      <c r="F52" s="471" t="s">
        <v>423</v>
      </c>
      <c r="G52" s="499">
        <f t="shared" ref="G52:R52" si="82">G50/(G2*G12+G13*G3+G4*G14+G15*G5)</f>
        <v>0.63043780265051097</v>
      </c>
      <c r="H52" s="499">
        <f t="shared" si="82"/>
        <v>0.6376319889922395</v>
      </c>
      <c r="I52" s="499">
        <f t="shared" si="82"/>
        <v>0.64728935182981451</v>
      </c>
      <c r="J52" s="499">
        <f t="shared" si="82"/>
        <v>0.65835427001882252</v>
      </c>
      <c r="K52" s="499">
        <f t="shared" si="82"/>
        <v>0.64735916538717164</v>
      </c>
      <c r="L52" s="499">
        <f t="shared" si="82"/>
        <v>0.64803894539628337</v>
      </c>
      <c r="M52" s="499">
        <f t="shared" si="82"/>
        <v>0.64558511260258811</v>
      </c>
      <c r="N52" s="499">
        <f t="shared" si="82"/>
        <v>0.64311305594461821</v>
      </c>
      <c r="O52" s="499">
        <f t="shared" si="82"/>
        <v>0.64226864841623776</v>
      </c>
      <c r="P52" s="499">
        <f t="shared" si="82"/>
        <v>0.6489604818745115</v>
      </c>
      <c r="Q52" s="499">
        <f t="shared" si="82"/>
        <v>0.65528258477459689</v>
      </c>
      <c r="R52" s="499">
        <f t="shared" si="82"/>
        <v>0.65291814430891248</v>
      </c>
      <c r="S52" s="499">
        <f t="shared" ref="S52:AS52" si="83">S50/(S2*S12+S13*S3+S4*S14+S15*S5)</f>
        <v>0.65073323195317523</v>
      </c>
      <c r="T52" s="499">
        <f t="shared" si="83"/>
        <v>0.65047202251768477</v>
      </c>
      <c r="U52" s="499">
        <f t="shared" si="83"/>
        <v>0.6491315368714432</v>
      </c>
      <c r="V52" s="499">
        <f t="shared" si="83"/>
        <v>0.65955343278157608</v>
      </c>
      <c r="W52" s="499">
        <f t="shared" si="83"/>
        <v>0.66299313538239879</v>
      </c>
      <c r="X52" s="499">
        <f t="shared" si="83"/>
        <v>0.65606029529524379</v>
      </c>
      <c r="Y52" s="499">
        <f t="shared" si="83"/>
        <v>0.64665105703831705</v>
      </c>
      <c r="Z52" s="499">
        <f t="shared" si="83"/>
        <v>0.64426578745773555</v>
      </c>
      <c r="AA52" s="499">
        <f t="shared" si="83"/>
        <v>0.64290460764099067</v>
      </c>
      <c r="AB52" s="499">
        <f t="shared" si="83"/>
        <v>0.64711894357537225</v>
      </c>
      <c r="AC52" s="499">
        <f t="shared" si="83"/>
        <v>0.64909043733577421</v>
      </c>
      <c r="AD52" s="499">
        <f t="shared" si="83"/>
        <v>0.64591564510265742</v>
      </c>
      <c r="AE52" s="499">
        <f t="shared" si="83"/>
        <v>0.63725376255736055</v>
      </c>
      <c r="AF52" s="499">
        <f t="shared" si="83"/>
        <v>0.63803399516937176</v>
      </c>
      <c r="AG52" s="499">
        <f t="shared" si="83"/>
        <v>0.63410679811469384</v>
      </c>
      <c r="AH52" s="499">
        <f t="shared" si="83"/>
        <v>0.63166484447708915</v>
      </c>
      <c r="AI52" s="499">
        <f t="shared" si="83"/>
        <v>0.63190051882599829</v>
      </c>
      <c r="AJ52" s="499">
        <f t="shared" si="83"/>
        <v>0.63568906544208492</v>
      </c>
      <c r="AK52" s="499">
        <f t="shared" si="83"/>
        <v>0.63501802738119018</v>
      </c>
      <c r="AL52" s="499">
        <f t="shared" si="83"/>
        <v>0.63789167630288046</v>
      </c>
      <c r="AM52" s="499">
        <f t="shared" si="83"/>
        <v>0.64107235544480246</v>
      </c>
      <c r="AN52" s="499">
        <f t="shared" si="83"/>
        <v>0.63975897541630322</v>
      </c>
      <c r="AO52" s="499">
        <f t="shared" si="83"/>
        <v>0.63644459281026111</v>
      </c>
      <c r="AP52" s="499">
        <f t="shared" si="83"/>
        <v>0.63328914221926857</v>
      </c>
      <c r="AQ52" s="499">
        <f t="shared" si="83"/>
        <v>0.63433879516750569</v>
      </c>
      <c r="AR52" s="499">
        <f t="shared" si="83"/>
        <v>0.63058601990404861</v>
      </c>
      <c r="AS52" s="499">
        <f t="shared" si="83"/>
        <v>0.63068751012107116</v>
      </c>
      <c r="AT52" s="499">
        <f t="shared" ref="AT52:CL52" si="84">AT50/(AT2*AT12+AT13*AT3+AT4*AT14+AT15*AT5)</f>
        <v>0.6601982942622302</v>
      </c>
      <c r="AU52" s="500">
        <f t="shared" si="84"/>
        <v>0.66406034938526171</v>
      </c>
      <c r="AV52" s="500">
        <f t="shared" si="84"/>
        <v>0.67100392828320343</v>
      </c>
      <c r="AW52" s="500">
        <f t="shared" si="84"/>
        <v>0.66764859296007706</v>
      </c>
      <c r="AX52" s="500">
        <f t="shared" si="84"/>
        <v>0.64948903271352698</v>
      </c>
      <c r="AY52" s="500">
        <f t="shared" si="84"/>
        <v>0.66551401230246898</v>
      </c>
      <c r="AZ52" s="500">
        <f t="shared" si="84"/>
        <v>0.66975940779057053</v>
      </c>
      <c r="BA52" s="500">
        <f t="shared" si="84"/>
        <v>0.66986404596142413</v>
      </c>
      <c r="BB52" s="500">
        <f t="shared" si="84"/>
        <v>0.66658926731052981</v>
      </c>
      <c r="BC52" s="500">
        <f t="shared" si="84"/>
        <v>0.64320400495802588</v>
      </c>
      <c r="BD52" s="500">
        <f t="shared" si="84"/>
        <v>0.65097359504704444</v>
      </c>
      <c r="BE52" s="500">
        <f t="shared" si="84"/>
        <v>0.65822267517672617</v>
      </c>
      <c r="BF52" s="500">
        <f t="shared" si="84"/>
        <v>0.65871465321316647</v>
      </c>
      <c r="BG52" s="500">
        <f t="shared" si="84"/>
        <v>0.65251471121750626</v>
      </c>
      <c r="BH52" s="500">
        <f t="shared" si="84"/>
        <v>0.6505425849488391</v>
      </c>
      <c r="BI52" s="500">
        <f t="shared" si="84"/>
        <v>0.64951593011423725</v>
      </c>
      <c r="BJ52" s="500">
        <f t="shared" si="84"/>
        <v>0.64987514992559436</v>
      </c>
      <c r="BK52" s="500">
        <f t="shared" si="84"/>
        <v>0.6595174439824516</v>
      </c>
      <c r="BL52" s="500">
        <f t="shared" si="84"/>
        <v>0.65772630857531855</v>
      </c>
      <c r="BM52" s="500">
        <f t="shared" si="84"/>
        <v>0.66207265205821386</v>
      </c>
      <c r="BN52" s="500">
        <f t="shared" si="84"/>
        <v>0.65799425056206817</v>
      </c>
      <c r="BO52" s="500">
        <f t="shared" si="84"/>
        <v>0.65120583915582098</v>
      </c>
      <c r="BP52" s="500">
        <f t="shared" si="84"/>
        <v>0.65108615198771391</v>
      </c>
      <c r="BQ52" s="500">
        <f t="shared" si="84"/>
        <v>0.64837338240537778</v>
      </c>
      <c r="BR52" s="500">
        <f t="shared" si="84"/>
        <v>0.65025595342437725</v>
      </c>
      <c r="BS52" s="500">
        <f t="shared" si="84"/>
        <v>0.65565083006103797</v>
      </c>
      <c r="BT52" s="500">
        <f t="shared" si="84"/>
        <v>0.67385143127340419</v>
      </c>
      <c r="BU52" s="500">
        <f t="shared" si="84"/>
        <v>0.64057535358646256</v>
      </c>
      <c r="BV52" s="500">
        <f t="shared" si="84"/>
        <v>0.64716235502287078</v>
      </c>
      <c r="BW52" s="500">
        <f t="shared" si="84"/>
        <v>0.64389627804509852</v>
      </c>
      <c r="BX52" s="500">
        <f t="shared" si="84"/>
        <v>0.65695636080346631</v>
      </c>
      <c r="BY52" s="500">
        <f t="shared" si="84"/>
        <v>0.65744597226736012</v>
      </c>
      <c r="BZ52" s="500">
        <f t="shared" si="84"/>
        <v>0.66102442259413441</v>
      </c>
      <c r="CA52" s="500">
        <f t="shared" si="84"/>
        <v>0.6620401365503702</v>
      </c>
      <c r="CB52" s="500">
        <f t="shared" si="84"/>
        <v>0.65251743546439889</v>
      </c>
      <c r="CC52" s="500">
        <f t="shared" si="84"/>
        <v>0.64950020596035085</v>
      </c>
      <c r="CD52" s="500">
        <f t="shared" si="84"/>
        <v>0.64312099524170241</v>
      </c>
      <c r="CE52" s="500">
        <f t="shared" si="84"/>
        <v>0.64068039606460325</v>
      </c>
      <c r="CF52" s="500">
        <f t="shared" si="84"/>
        <v>0.6386972439946984</v>
      </c>
      <c r="CG52" s="500">
        <f t="shared" si="84"/>
        <v>0.63944702601424341</v>
      </c>
      <c r="CH52" s="500">
        <f t="shared" si="84"/>
        <v>0.63772100363560558</v>
      </c>
      <c r="CI52" s="500">
        <f t="shared" si="84"/>
        <v>0.63487381043748214</v>
      </c>
      <c r="CJ52" s="500">
        <f t="shared" si="84"/>
        <v>0.63355079112137203</v>
      </c>
      <c r="CK52" s="500">
        <f t="shared" si="84"/>
        <v>0.63394176030552385</v>
      </c>
      <c r="CL52" s="607">
        <f t="shared" si="84"/>
        <v>0.63320643932299503</v>
      </c>
      <c r="CM52" s="617">
        <f t="shared" si="26"/>
        <v>0.64835295511894719</v>
      </c>
      <c r="CN52" s="496"/>
      <c r="CO52" s="496"/>
      <c r="CP52" s="496"/>
      <c r="CQ52" s="496"/>
      <c r="CR52" s="496"/>
      <c r="CS52" s="496"/>
      <c r="CT52" s="496"/>
      <c r="CU52" s="496"/>
      <c r="CV52" s="496"/>
      <c r="CW52" s="496"/>
      <c r="CX52" s="496"/>
      <c r="CY52" s="496"/>
      <c r="CZ52" s="496"/>
      <c r="DA52" s="496"/>
      <c r="DB52" s="496"/>
      <c r="DC52" s="496"/>
      <c r="DD52" s="496"/>
      <c r="DE52" s="496"/>
      <c r="DF52" s="496"/>
      <c r="DG52" s="496"/>
      <c r="DH52" s="496"/>
      <c r="DI52" s="496"/>
      <c r="DJ52" s="496"/>
      <c r="DK52" s="496"/>
      <c r="DL52" s="496"/>
      <c r="DM52" s="496"/>
      <c r="DN52" s="496"/>
      <c r="DO52" s="496"/>
      <c r="DP52" s="496"/>
      <c r="DQ52" s="496"/>
      <c r="DR52" s="496"/>
      <c r="DS52" s="496"/>
      <c r="DT52" s="496"/>
      <c r="DU52" s="496"/>
      <c r="DV52" s="496"/>
      <c r="DW52" s="496"/>
      <c r="DX52" s="496"/>
      <c r="DY52" s="496"/>
      <c r="DZ52" s="496"/>
      <c r="EA52" s="496"/>
      <c r="EB52" s="496"/>
      <c r="EC52" s="496"/>
      <c r="ED52" s="496"/>
      <c r="EE52" s="496"/>
      <c r="EF52" s="496"/>
      <c r="EG52" s="496"/>
      <c r="EH52" s="496"/>
      <c r="EI52" s="496"/>
      <c r="EJ52" s="496"/>
      <c r="EK52" s="496"/>
      <c r="EL52" s="496"/>
      <c r="EM52" s="496"/>
      <c r="EN52" s="496"/>
      <c r="EO52" s="496"/>
      <c r="EP52" s="496"/>
      <c r="EQ52" s="496"/>
      <c r="ER52" s="496"/>
      <c r="ES52" s="496"/>
      <c r="ET52" s="496"/>
      <c r="EU52" s="496"/>
      <c r="EV52" s="496"/>
      <c r="EW52" s="496"/>
      <c r="EX52" s="496"/>
      <c r="EY52" s="496"/>
      <c r="EZ52" s="496"/>
      <c r="FA52" s="496"/>
      <c r="FB52" s="496"/>
      <c r="FC52" s="496"/>
      <c r="FD52" s="496"/>
      <c r="FE52" s="496"/>
      <c r="FF52" s="496"/>
      <c r="FG52" s="496"/>
      <c r="FH52" s="496"/>
      <c r="FI52" s="496"/>
      <c r="FJ52" s="496"/>
      <c r="FK52" s="496"/>
      <c r="FL52" s="496"/>
      <c r="FM52" s="496"/>
      <c r="FN52" s="496"/>
      <c r="FO52" s="496"/>
      <c r="FP52" s="496"/>
      <c r="FQ52" s="496"/>
      <c r="FR52" s="496"/>
      <c r="FS52" s="496"/>
      <c r="FT52" s="496"/>
      <c r="FU52" s="496"/>
      <c r="FV52" s="496"/>
    </row>
    <row r="53" spans="1:178">
      <c r="A53" s="427" t="s">
        <v>415</v>
      </c>
      <c r="B53" s="428" t="s">
        <v>403</v>
      </c>
      <c r="C53" s="378"/>
      <c r="D53" s="378"/>
      <c r="E53" s="379"/>
      <c r="F53" s="471" t="s">
        <v>424</v>
      </c>
      <c r="G53" s="499">
        <f t="shared" ref="G53:R53" si="85">G51/(G2*G12+G13*G3+G4*G14+G15*G5)</f>
        <v>0.36956219734948897</v>
      </c>
      <c r="H53" s="499">
        <f t="shared" si="85"/>
        <v>0.36236801100776056</v>
      </c>
      <c r="I53" s="499">
        <f t="shared" si="85"/>
        <v>0.35271064817018538</v>
      </c>
      <c r="J53" s="499">
        <f t="shared" si="85"/>
        <v>0.34164572998117737</v>
      </c>
      <c r="K53" s="499">
        <f t="shared" si="85"/>
        <v>0.35264083461282841</v>
      </c>
      <c r="L53" s="499">
        <f t="shared" si="85"/>
        <v>0.35196105460371679</v>
      </c>
      <c r="M53" s="499">
        <f t="shared" si="85"/>
        <v>0.35441488739741189</v>
      </c>
      <c r="N53" s="499">
        <f t="shared" si="85"/>
        <v>0.35688694405538191</v>
      </c>
      <c r="O53" s="499">
        <f t="shared" si="85"/>
        <v>0.35773135158376218</v>
      </c>
      <c r="P53" s="499">
        <f t="shared" si="85"/>
        <v>0.35103951812548845</v>
      </c>
      <c r="Q53" s="499">
        <f t="shared" si="85"/>
        <v>0.34471741522540322</v>
      </c>
      <c r="R53" s="499">
        <f t="shared" si="85"/>
        <v>0.34708185569108746</v>
      </c>
      <c r="S53" s="499">
        <f t="shared" ref="S53:AS53" si="86">S51/(S2*S12+S13*S3+S4*S14+S15*S5)</f>
        <v>0.34926676804682466</v>
      </c>
      <c r="T53" s="499">
        <f t="shared" si="86"/>
        <v>0.34952797748231512</v>
      </c>
      <c r="U53" s="499">
        <f t="shared" si="86"/>
        <v>0.35086846312855663</v>
      </c>
      <c r="V53" s="499">
        <f t="shared" si="86"/>
        <v>0.34044656721842387</v>
      </c>
      <c r="W53" s="499">
        <f t="shared" si="86"/>
        <v>0.33700686461760115</v>
      </c>
      <c r="X53" s="499">
        <f t="shared" si="86"/>
        <v>0.34393970470475616</v>
      </c>
      <c r="Y53" s="499">
        <f t="shared" si="86"/>
        <v>0.35334894296168301</v>
      </c>
      <c r="Z53" s="499">
        <f t="shared" si="86"/>
        <v>0.35573421254226439</v>
      </c>
      <c r="AA53" s="499">
        <f t="shared" si="86"/>
        <v>0.35709539235900939</v>
      </c>
      <c r="AB53" s="499">
        <f t="shared" si="86"/>
        <v>0.3528810564246278</v>
      </c>
      <c r="AC53" s="499">
        <f t="shared" si="86"/>
        <v>0.35090956266422563</v>
      </c>
      <c r="AD53" s="499">
        <f t="shared" si="86"/>
        <v>0.35408435489734241</v>
      </c>
      <c r="AE53" s="499">
        <f t="shared" si="86"/>
        <v>0.36274623744263934</v>
      </c>
      <c r="AF53" s="499">
        <f t="shared" si="86"/>
        <v>0.36196600483062819</v>
      </c>
      <c r="AG53" s="499">
        <f t="shared" si="86"/>
        <v>0.36589320188530627</v>
      </c>
      <c r="AH53" s="499">
        <f t="shared" si="86"/>
        <v>0.36833515552291085</v>
      </c>
      <c r="AI53" s="499">
        <f t="shared" si="86"/>
        <v>0.36809948117400165</v>
      </c>
      <c r="AJ53" s="499">
        <f t="shared" si="86"/>
        <v>0.36431093455791497</v>
      </c>
      <c r="AK53" s="499">
        <f t="shared" si="86"/>
        <v>0.36498197261880977</v>
      </c>
      <c r="AL53" s="499">
        <f t="shared" si="86"/>
        <v>0.36210832369711965</v>
      </c>
      <c r="AM53" s="499">
        <f t="shared" si="86"/>
        <v>0.35892764455519754</v>
      </c>
      <c r="AN53" s="499">
        <f t="shared" si="86"/>
        <v>0.36024102458369678</v>
      </c>
      <c r="AO53" s="499">
        <f t="shared" si="86"/>
        <v>0.36355540718973878</v>
      </c>
      <c r="AP53" s="499">
        <f t="shared" si="86"/>
        <v>0.36671085778073154</v>
      </c>
      <c r="AQ53" s="499">
        <f t="shared" si="86"/>
        <v>0.36566120483249437</v>
      </c>
      <c r="AR53" s="499">
        <f t="shared" si="86"/>
        <v>0.36941398009595139</v>
      </c>
      <c r="AS53" s="499">
        <f t="shared" si="86"/>
        <v>0.36931248987892901</v>
      </c>
      <c r="AT53" s="499">
        <f t="shared" ref="AT53:CL53" si="87">AT51/(AT2*AT12+AT13*AT3+AT4*AT14+AT15*AT5)</f>
        <v>0.33980170573776991</v>
      </c>
      <c r="AU53" s="500">
        <f t="shared" si="87"/>
        <v>0.33593965061473824</v>
      </c>
      <c r="AV53" s="500">
        <f t="shared" si="87"/>
        <v>0.32899607171679646</v>
      </c>
      <c r="AW53" s="500">
        <f t="shared" si="87"/>
        <v>0.33235140703992283</v>
      </c>
      <c r="AX53" s="500">
        <f t="shared" si="87"/>
        <v>0.35051096728647302</v>
      </c>
      <c r="AY53" s="500">
        <f t="shared" si="87"/>
        <v>0.33448598769753102</v>
      </c>
      <c r="AZ53" s="500">
        <f t="shared" si="87"/>
        <v>0.33024059220942947</v>
      </c>
      <c r="BA53" s="500">
        <f t="shared" si="87"/>
        <v>0.33013595403857598</v>
      </c>
      <c r="BB53" s="500">
        <f t="shared" si="87"/>
        <v>0.33341073268947025</v>
      </c>
      <c r="BC53" s="500">
        <f t="shared" si="87"/>
        <v>0.35679599504197407</v>
      </c>
      <c r="BD53" s="500">
        <f t="shared" si="87"/>
        <v>0.34902640495295567</v>
      </c>
      <c r="BE53" s="500">
        <f t="shared" si="87"/>
        <v>0.34177732482327389</v>
      </c>
      <c r="BF53" s="500">
        <f t="shared" si="87"/>
        <v>0.34128534678683364</v>
      </c>
      <c r="BG53" s="500">
        <f t="shared" si="87"/>
        <v>0.3474852887824938</v>
      </c>
      <c r="BH53" s="500">
        <f t="shared" si="87"/>
        <v>0.34945741505116107</v>
      </c>
      <c r="BI53" s="500">
        <f t="shared" si="87"/>
        <v>0.35048406988576269</v>
      </c>
      <c r="BJ53" s="500">
        <f t="shared" si="87"/>
        <v>0.35012485007440558</v>
      </c>
      <c r="BK53" s="500">
        <f t="shared" si="87"/>
        <v>0.34048255601754845</v>
      </c>
      <c r="BL53" s="500">
        <f t="shared" si="87"/>
        <v>0.34227369142468145</v>
      </c>
      <c r="BM53" s="500">
        <f t="shared" si="87"/>
        <v>0.33792734794178614</v>
      </c>
      <c r="BN53" s="500">
        <f t="shared" si="87"/>
        <v>0.34200574943793188</v>
      </c>
      <c r="BO53" s="500">
        <f t="shared" si="87"/>
        <v>0.34879416084417902</v>
      </c>
      <c r="BP53" s="500">
        <f t="shared" si="87"/>
        <v>0.34891384801228609</v>
      </c>
      <c r="BQ53" s="500">
        <f t="shared" si="87"/>
        <v>0.3516266175946221</v>
      </c>
      <c r="BR53" s="500">
        <f t="shared" si="87"/>
        <v>0.34974404657562286</v>
      </c>
      <c r="BS53" s="500">
        <f t="shared" si="87"/>
        <v>0.34434916993896209</v>
      </c>
      <c r="BT53" s="500">
        <f t="shared" si="87"/>
        <v>0.32614856872659576</v>
      </c>
      <c r="BU53" s="500">
        <f t="shared" si="87"/>
        <v>0.35942464641353755</v>
      </c>
      <c r="BV53" s="500">
        <f t="shared" si="87"/>
        <v>0.35283764497712938</v>
      </c>
      <c r="BW53" s="500">
        <f t="shared" si="87"/>
        <v>0.35610372195490148</v>
      </c>
      <c r="BX53" s="500">
        <f t="shared" si="87"/>
        <v>0.34304363919653363</v>
      </c>
      <c r="BY53" s="500">
        <f t="shared" si="87"/>
        <v>0.34255402773263993</v>
      </c>
      <c r="BZ53" s="500">
        <f t="shared" si="87"/>
        <v>0.33897557740586576</v>
      </c>
      <c r="CA53" s="500">
        <f t="shared" si="87"/>
        <v>0.3379598634496298</v>
      </c>
      <c r="CB53" s="500">
        <f t="shared" si="87"/>
        <v>0.34748256453560095</v>
      </c>
      <c r="CC53" s="500">
        <f t="shared" si="87"/>
        <v>0.35049979403964909</v>
      </c>
      <c r="CD53" s="500">
        <f t="shared" si="87"/>
        <v>0.3568790047582977</v>
      </c>
      <c r="CE53" s="500">
        <f t="shared" si="87"/>
        <v>0.35931960393539675</v>
      </c>
      <c r="CF53" s="500">
        <f t="shared" si="87"/>
        <v>0.36130275600530171</v>
      </c>
      <c r="CG53" s="500">
        <f t="shared" si="87"/>
        <v>0.36055297398575664</v>
      </c>
      <c r="CH53" s="500">
        <f t="shared" si="87"/>
        <v>0.36227899636439442</v>
      </c>
      <c r="CI53" s="500">
        <f t="shared" si="87"/>
        <v>0.36512618956251774</v>
      </c>
      <c r="CJ53" s="500">
        <f t="shared" si="87"/>
        <v>0.36644920887862803</v>
      </c>
      <c r="CK53" s="500">
        <f t="shared" si="87"/>
        <v>0.36605823969447593</v>
      </c>
      <c r="CL53" s="607">
        <f t="shared" si="87"/>
        <v>0.36679356067700497</v>
      </c>
      <c r="CM53" s="608">
        <f t="shared" si="26"/>
        <v>0.35164704488105275</v>
      </c>
      <c r="CN53" s="435"/>
      <c r="CO53" s="435"/>
      <c r="CP53" s="435"/>
      <c r="CQ53" s="435"/>
      <c r="CR53" s="435"/>
      <c r="CS53" s="435"/>
      <c r="CT53" s="435"/>
      <c r="CU53" s="435"/>
      <c r="CV53" s="435"/>
      <c r="CW53" s="435"/>
      <c r="CX53" s="435"/>
      <c r="CY53" s="435"/>
      <c r="CZ53" s="435"/>
      <c r="DA53" s="435"/>
      <c r="DB53" s="435"/>
      <c r="DC53" s="435"/>
      <c r="DD53" s="435"/>
      <c r="DE53" s="435"/>
      <c r="DF53" s="435"/>
      <c r="DG53" s="435"/>
      <c r="DH53" s="435"/>
      <c r="DI53" s="435"/>
      <c r="DJ53" s="435"/>
      <c r="DK53" s="435"/>
      <c r="DL53" s="435"/>
      <c r="DM53" s="435"/>
      <c r="DN53" s="435"/>
      <c r="DO53" s="435"/>
      <c r="DP53" s="435"/>
      <c r="DQ53" s="435"/>
      <c r="DR53" s="435"/>
      <c r="DS53" s="435"/>
      <c r="DT53" s="435"/>
      <c r="DU53" s="435"/>
      <c r="DV53" s="435"/>
      <c r="DW53" s="435"/>
      <c r="DX53" s="435"/>
      <c r="DY53" s="435"/>
      <c r="DZ53" s="435"/>
      <c r="EA53" s="435"/>
      <c r="EB53" s="435"/>
      <c r="EC53" s="435"/>
      <c r="ED53" s="435"/>
      <c r="EE53" s="435"/>
      <c r="EF53" s="435"/>
      <c r="EG53" s="435"/>
      <c r="EH53" s="435"/>
      <c r="EI53" s="435"/>
      <c r="EJ53" s="435"/>
      <c r="EK53" s="435"/>
      <c r="EL53" s="435"/>
      <c r="EM53" s="435"/>
      <c r="EN53" s="435"/>
      <c r="EO53" s="435"/>
      <c r="EP53" s="435"/>
      <c r="EQ53" s="435"/>
      <c r="ER53" s="435"/>
      <c r="ES53" s="435"/>
      <c r="ET53" s="435"/>
      <c r="EU53" s="435"/>
      <c r="EV53" s="435"/>
      <c r="EW53" s="435"/>
      <c r="EX53" s="435"/>
      <c r="EY53" s="435"/>
      <c r="EZ53" s="435"/>
      <c r="FA53" s="435"/>
      <c r="FB53" s="435"/>
      <c r="FC53" s="435"/>
      <c r="FD53" s="435"/>
      <c r="FE53" s="435"/>
      <c r="FF53" s="435"/>
      <c r="FG53" s="435"/>
      <c r="FH53" s="435"/>
      <c r="FI53" s="435"/>
      <c r="FJ53" s="435"/>
      <c r="FK53" s="435"/>
      <c r="FL53" s="435"/>
      <c r="FM53" s="435"/>
      <c r="FN53" s="435"/>
      <c r="FO53" s="435"/>
      <c r="FP53" s="435"/>
      <c r="FQ53" s="435"/>
      <c r="FR53" s="435"/>
      <c r="FS53" s="435"/>
      <c r="FT53" s="435"/>
      <c r="FU53" s="435"/>
      <c r="FV53" s="435"/>
    </row>
    <row r="54" spans="1:178">
      <c r="A54" s="427" t="s">
        <v>416</v>
      </c>
      <c r="B54" s="428" t="s">
        <v>403</v>
      </c>
      <c r="C54" s="378" t="s">
        <v>352</v>
      </c>
      <c r="D54" s="378"/>
      <c r="E54" s="379"/>
      <c r="F54" s="471" t="s">
        <v>405</v>
      </c>
      <c r="G54" s="446">
        <f t="shared" ref="G54:R54" si="88">G7*G18+G8*G19+G9*G20+G10*G21+G11*G22</f>
        <v>2258010360.4628057</v>
      </c>
      <c r="H54" s="446">
        <f t="shared" si="88"/>
        <v>2220749402.4020081</v>
      </c>
      <c r="I54" s="446">
        <f t="shared" si="88"/>
        <v>2232383654.3412108</v>
      </c>
      <c r="J54" s="446">
        <f t="shared" si="88"/>
        <v>2246346249.6137452</v>
      </c>
      <c r="K54" s="446">
        <f t="shared" si="88"/>
        <v>2217280829.719615</v>
      </c>
      <c r="L54" s="446">
        <f t="shared" si="88"/>
        <v>2269661089.9921498</v>
      </c>
      <c r="M54" s="446">
        <f t="shared" si="88"/>
        <v>2231143287.2646866</v>
      </c>
      <c r="N54" s="446">
        <f t="shared" si="88"/>
        <v>2281096772.0372214</v>
      </c>
      <c r="O54" s="446">
        <f t="shared" si="88"/>
        <v>2185401307.3097563</v>
      </c>
      <c r="P54" s="446">
        <f t="shared" si="88"/>
        <v>2234891427.082293</v>
      </c>
      <c r="Q54" s="446">
        <f t="shared" si="88"/>
        <v>2180080980.1881609</v>
      </c>
      <c r="R54" s="446">
        <f t="shared" si="88"/>
        <v>2078107051.2940304</v>
      </c>
      <c r="S54" s="446">
        <f t="shared" ref="S54:AS54" si="89">S7*S18+S8*S19+S9*S20+S10*S21+S11*S22</f>
        <v>2102808985.5922716</v>
      </c>
      <c r="T54" s="446">
        <f t="shared" si="89"/>
        <v>2094395049.3050249</v>
      </c>
      <c r="U54" s="446">
        <f t="shared" si="89"/>
        <v>1983615871.9781337</v>
      </c>
      <c r="V54" s="446">
        <f t="shared" si="89"/>
        <v>2060988786.6136267</v>
      </c>
      <c r="W54" s="446">
        <f t="shared" si="89"/>
        <v>1900418067.2194202</v>
      </c>
      <c r="X54" s="446">
        <f t="shared" si="89"/>
        <v>1913198835.265507</v>
      </c>
      <c r="Y54" s="446">
        <f t="shared" si="89"/>
        <v>1995151780.1449268</v>
      </c>
      <c r="Z54" s="446">
        <f t="shared" si="89"/>
        <v>1981173865.1160665</v>
      </c>
      <c r="AA54" s="446">
        <f t="shared" si="89"/>
        <v>2005437432.6743467</v>
      </c>
      <c r="AB54" s="446">
        <f t="shared" si="89"/>
        <v>2048819166.553767</v>
      </c>
      <c r="AC54" s="446">
        <f t="shared" si="89"/>
        <v>2063460704.8331866</v>
      </c>
      <c r="AD54" s="446">
        <f t="shared" si="89"/>
        <v>2013238255.1069734</v>
      </c>
      <c r="AE54" s="446">
        <f t="shared" si="89"/>
        <v>2014949005.3193402</v>
      </c>
      <c r="AF54" s="446">
        <f t="shared" si="89"/>
        <v>2013481806.7586937</v>
      </c>
      <c r="AG54" s="446">
        <f t="shared" si="89"/>
        <v>2074972717.8047805</v>
      </c>
      <c r="AH54" s="446">
        <f t="shared" si="89"/>
        <v>2140939450.7752135</v>
      </c>
      <c r="AI54" s="446">
        <f t="shared" si="89"/>
        <v>2269438795.5244002</v>
      </c>
      <c r="AJ54" s="446">
        <f t="shared" si="89"/>
        <v>2222217983.1408868</v>
      </c>
      <c r="AK54" s="446">
        <f t="shared" si="89"/>
        <v>2337004703.8041515</v>
      </c>
      <c r="AL54" s="446">
        <f t="shared" si="89"/>
        <v>2284094794.0934534</v>
      </c>
      <c r="AM54" s="446">
        <f t="shared" si="89"/>
        <v>2247657412.0904379</v>
      </c>
      <c r="AN54" s="446">
        <f t="shared" si="89"/>
        <v>2276647062.5531917</v>
      </c>
      <c r="AO54" s="446">
        <f t="shared" si="89"/>
        <v>2202986984.9608784</v>
      </c>
      <c r="AP54" s="446">
        <f t="shared" si="89"/>
        <v>2200471270.6450272</v>
      </c>
      <c r="AQ54" s="446">
        <f t="shared" si="89"/>
        <v>2237474766.8286982</v>
      </c>
      <c r="AR54" s="446">
        <f t="shared" si="89"/>
        <v>2145527384.9747849</v>
      </c>
      <c r="AS54" s="446">
        <f t="shared" si="89"/>
        <v>2250712814.7542052</v>
      </c>
      <c r="AT54" s="446">
        <f t="shared" ref="AT54:CL54" si="90">AT7*AT18+AT8*AT19+AT9*AT20+AT10*AT21+AT11*AT22</f>
        <v>2300676160.8116002</v>
      </c>
      <c r="AU54" s="447">
        <f t="shared" si="90"/>
        <v>2451886183.1273866</v>
      </c>
      <c r="AV54" s="447">
        <f t="shared" si="90"/>
        <v>2517950508.3373866</v>
      </c>
      <c r="AW54" s="447">
        <f t="shared" si="90"/>
        <v>2557768472.2274933</v>
      </c>
      <c r="AX54" s="447">
        <f t="shared" si="90"/>
        <v>2588494479.6376667</v>
      </c>
      <c r="AY54" s="447">
        <f t="shared" si="90"/>
        <v>2996261859.1366801</v>
      </c>
      <c r="AZ54" s="447">
        <f t="shared" si="90"/>
        <v>2971445482.622427</v>
      </c>
      <c r="BA54" s="447">
        <f t="shared" si="90"/>
        <v>2974318840.3188133</v>
      </c>
      <c r="BB54" s="447">
        <f t="shared" si="90"/>
        <v>3125550351.2361999</v>
      </c>
      <c r="BC54" s="447">
        <f t="shared" si="90"/>
        <v>3068394328.99368</v>
      </c>
      <c r="BD54" s="447">
        <f t="shared" si="90"/>
        <v>2791529831.2483063</v>
      </c>
      <c r="BE54" s="447">
        <f t="shared" si="90"/>
        <v>2359796154.8733335</v>
      </c>
      <c r="BF54" s="447">
        <f t="shared" si="90"/>
        <v>2195582840.8933067</v>
      </c>
      <c r="BG54" s="447">
        <f t="shared" si="90"/>
        <v>2190283191.4180803</v>
      </c>
      <c r="BH54" s="447">
        <f t="shared" si="90"/>
        <v>2252812382.6593471</v>
      </c>
      <c r="BI54" s="447">
        <f t="shared" si="90"/>
        <v>2232716288.2701335</v>
      </c>
      <c r="BJ54" s="447">
        <f t="shared" si="90"/>
        <v>2200682916.7238803</v>
      </c>
      <c r="BK54" s="447">
        <f t="shared" si="90"/>
        <v>2261483235.9346671</v>
      </c>
      <c r="BL54" s="447">
        <f t="shared" si="90"/>
        <v>2229202840.5999999</v>
      </c>
      <c r="BM54" s="447">
        <f t="shared" si="90"/>
        <v>2339376825.4666667</v>
      </c>
      <c r="BN54" s="447">
        <f t="shared" si="90"/>
        <v>2390779042.9306669</v>
      </c>
      <c r="BO54" s="447">
        <f t="shared" si="90"/>
        <v>2516340573.738667</v>
      </c>
      <c r="BP54" s="447">
        <f t="shared" si="90"/>
        <v>2386322329.5720005</v>
      </c>
      <c r="BQ54" s="447">
        <f t="shared" si="90"/>
        <v>2163231820.5079999</v>
      </c>
      <c r="BR54" s="447">
        <f t="shared" si="90"/>
        <v>2306015347.6546664</v>
      </c>
      <c r="BS54" s="447">
        <f t="shared" si="90"/>
        <v>2323892936.9759998</v>
      </c>
      <c r="BT54" s="447">
        <f t="shared" si="90"/>
        <v>2097458339.9199998</v>
      </c>
      <c r="BU54" s="447">
        <f t="shared" si="90"/>
        <v>1624241709.7333336</v>
      </c>
      <c r="BV54" s="447">
        <f t="shared" si="90"/>
        <v>1034569051.7573335</v>
      </c>
      <c r="BW54" s="447">
        <f t="shared" si="90"/>
        <v>1136510014.3</v>
      </c>
      <c r="BX54" s="447">
        <f t="shared" si="90"/>
        <v>1397502858.1853333</v>
      </c>
      <c r="BY54" s="447">
        <f t="shared" si="90"/>
        <v>1509846351.2653337</v>
      </c>
      <c r="BZ54" s="447">
        <f t="shared" si="90"/>
        <v>1669469487.8973336</v>
      </c>
      <c r="CA54" s="447">
        <f t="shared" si="90"/>
        <v>1757537748.1066666</v>
      </c>
      <c r="CB54" s="447">
        <f t="shared" si="90"/>
        <v>1943228871.2479999</v>
      </c>
      <c r="CC54" s="447">
        <f t="shared" si="90"/>
        <v>2312667422.4813337</v>
      </c>
      <c r="CD54" s="447">
        <f t="shared" si="90"/>
        <v>2359788019.6853333</v>
      </c>
      <c r="CE54" s="447">
        <f t="shared" si="90"/>
        <v>2149517166.3333335</v>
      </c>
      <c r="CF54" s="447">
        <f t="shared" si="90"/>
        <v>2312813118.5573339</v>
      </c>
      <c r="CG54" s="447">
        <f t="shared" si="90"/>
        <v>2678021835.0786667</v>
      </c>
      <c r="CH54" s="447">
        <f t="shared" si="90"/>
        <v>2654193820.3413334</v>
      </c>
      <c r="CI54" s="447">
        <f t="shared" si="90"/>
        <v>2772984620.4773331</v>
      </c>
      <c r="CJ54" s="447">
        <f t="shared" si="90"/>
        <v>2960501277.9237337</v>
      </c>
      <c r="CK54" s="447">
        <f t="shared" si="90"/>
        <v>3328318475.7601337</v>
      </c>
      <c r="CL54" s="471">
        <f t="shared" si="90"/>
        <v>3307077775.8606672</v>
      </c>
      <c r="CM54" s="381">
        <f t="shared" si="26"/>
        <v>2254946182.8210549</v>
      </c>
      <c r="CN54" s="435"/>
      <c r="CO54" s="435"/>
      <c r="CP54" s="435"/>
      <c r="CQ54" s="435"/>
      <c r="CR54" s="435"/>
      <c r="CS54" s="435"/>
      <c r="CT54" s="435"/>
      <c r="CU54" s="435"/>
      <c r="CV54" s="435"/>
      <c r="CW54" s="435"/>
      <c r="CX54" s="435"/>
      <c r="CY54" s="435"/>
      <c r="CZ54" s="435"/>
      <c r="DA54" s="435"/>
      <c r="DB54" s="435"/>
      <c r="DC54" s="435"/>
      <c r="DD54" s="435"/>
      <c r="DE54" s="435"/>
      <c r="DF54" s="435"/>
      <c r="DG54" s="435"/>
      <c r="DH54" s="435"/>
      <c r="DI54" s="435"/>
      <c r="DJ54" s="435"/>
      <c r="DK54" s="435"/>
      <c r="DL54" s="435"/>
      <c r="DM54" s="435"/>
      <c r="DN54" s="435"/>
      <c r="DO54" s="435"/>
      <c r="DP54" s="435"/>
      <c r="DQ54" s="435"/>
      <c r="DR54" s="435"/>
      <c r="DS54" s="435"/>
      <c r="DT54" s="435"/>
      <c r="DU54" s="435"/>
      <c r="DV54" s="435"/>
      <c r="DW54" s="435"/>
      <c r="DX54" s="435"/>
      <c r="DY54" s="435"/>
      <c r="DZ54" s="435"/>
      <c r="EA54" s="435"/>
      <c r="EB54" s="435"/>
      <c r="EC54" s="435"/>
      <c r="ED54" s="435"/>
      <c r="EE54" s="435"/>
      <c r="EF54" s="435"/>
      <c r="EG54" s="435"/>
      <c r="EH54" s="435"/>
      <c r="EI54" s="435"/>
      <c r="EJ54" s="435"/>
      <c r="EK54" s="435"/>
      <c r="EL54" s="435"/>
      <c r="EM54" s="435"/>
      <c r="EN54" s="435"/>
      <c r="EO54" s="435"/>
      <c r="EP54" s="435"/>
      <c r="EQ54" s="435"/>
      <c r="ER54" s="435"/>
      <c r="ES54" s="435"/>
      <c r="ET54" s="435"/>
      <c r="EU54" s="435"/>
      <c r="EV54" s="435"/>
      <c r="EW54" s="435"/>
      <c r="EX54" s="435"/>
      <c r="EY54" s="435"/>
      <c r="EZ54" s="435"/>
      <c r="FA54" s="435"/>
      <c r="FB54" s="435"/>
      <c r="FC54" s="435"/>
      <c r="FD54" s="435"/>
      <c r="FE54" s="435"/>
      <c r="FF54" s="435"/>
      <c r="FG54" s="435"/>
      <c r="FH54" s="435"/>
      <c r="FI54" s="435"/>
      <c r="FJ54" s="435"/>
      <c r="FK54" s="435"/>
      <c r="FL54" s="435"/>
      <c r="FM54" s="435"/>
      <c r="FN54" s="435"/>
      <c r="FO54" s="435"/>
      <c r="FP54" s="435"/>
      <c r="FQ54" s="435"/>
      <c r="FR54" s="435"/>
      <c r="FS54" s="435"/>
      <c r="FT54" s="435"/>
      <c r="FU54" s="435"/>
      <c r="FV54" s="435"/>
    </row>
    <row r="55" spans="1:178">
      <c r="A55" s="422" t="s">
        <v>417</v>
      </c>
      <c r="B55" s="423" t="s">
        <v>403</v>
      </c>
      <c r="C55" s="385" t="s">
        <v>352</v>
      </c>
      <c r="D55" s="385"/>
      <c r="E55" s="386"/>
      <c r="F55" s="501" t="s">
        <v>210</v>
      </c>
      <c r="G55" s="451">
        <f t="shared" ref="G55:R55" si="91">G23*G2+G3*G24+G25*G4+G5*G26+G27*CP41</f>
        <v>2494994815.780035</v>
      </c>
      <c r="H55" s="451">
        <f t="shared" si="91"/>
        <v>2203012398.9556751</v>
      </c>
      <c r="I55" s="451">
        <f t="shared" si="91"/>
        <v>1854833134.5547853</v>
      </c>
      <c r="J55" s="451">
        <f t="shared" si="91"/>
        <v>1470299099.0637634</v>
      </c>
      <c r="K55" s="451">
        <f t="shared" si="91"/>
        <v>1736112493.55265</v>
      </c>
      <c r="L55" s="451">
        <f t="shared" si="91"/>
        <v>1774355526.6163039</v>
      </c>
      <c r="M55" s="451">
        <f t="shared" si="91"/>
        <v>1806216832.9191935</v>
      </c>
      <c r="N55" s="451">
        <f t="shared" si="91"/>
        <v>1904099972.9628456</v>
      </c>
      <c r="O55" s="451">
        <f t="shared" si="91"/>
        <v>1801540031.8577571</v>
      </c>
      <c r="P55" s="451">
        <f t="shared" si="91"/>
        <v>1612193314.5042326</v>
      </c>
      <c r="Q55" s="451">
        <f t="shared" si="91"/>
        <v>1468842498.6055906</v>
      </c>
      <c r="R55" s="451">
        <f t="shared" si="91"/>
        <v>1482708200.3518</v>
      </c>
      <c r="S55" s="451">
        <f t="shared" ref="S55:AX55" si="92">S23*S2+S3*S24+S25*S4+S5*S26+S27*DB41</f>
        <v>1557401466.6363814</v>
      </c>
      <c r="T55" s="451">
        <f t="shared" si="92"/>
        <v>1620619147.2573838</v>
      </c>
      <c r="U55" s="451">
        <f t="shared" si="92"/>
        <v>1600112564.8230057</v>
      </c>
      <c r="V55" s="451">
        <f t="shared" si="92"/>
        <v>1293949745.2005193</v>
      </c>
      <c r="W55" s="451">
        <f t="shared" si="92"/>
        <v>1187808156.1635809</v>
      </c>
      <c r="X55" s="451">
        <f t="shared" si="92"/>
        <v>1286040898.5616705</v>
      </c>
      <c r="Y55" s="451">
        <f t="shared" si="92"/>
        <v>1383911035.5043423</v>
      </c>
      <c r="Z55" s="451">
        <f t="shared" si="92"/>
        <v>1448392858.0939431</v>
      </c>
      <c r="AA55" s="451">
        <f t="shared" si="92"/>
        <v>1488053747.5236375</v>
      </c>
      <c r="AB55" s="451">
        <f t="shared" si="92"/>
        <v>1351211101.9050326</v>
      </c>
      <c r="AC55" s="451">
        <f t="shared" si="92"/>
        <v>1300710851.0612538</v>
      </c>
      <c r="AD55" s="451">
        <f t="shared" si="92"/>
        <v>1374545759.4303479</v>
      </c>
      <c r="AE55" s="451">
        <f t="shared" si="92"/>
        <v>1535071325.0272164</v>
      </c>
      <c r="AF55" s="451">
        <f t="shared" si="92"/>
        <v>1594923218.8906116</v>
      </c>
      <c r="AG55" s="451">
        <f t="shared" si="92"/>
        <v>1691633354.5768065</v>
      </c>
      <c r="AH55" s="451">
        <f t="shared" si="92"/>
        <v>1850593940.19152</v>
      </c>
      <c r="AI55" s="451">
        <f t="shared" si="92"/>
        <v>1927072347.4308662</v>
      </c>
      <c r="AJ55" s="451">
        <f t="shared" si="92"/>
        <v>1744918426.1840532</v>
      </c>
      <c r="AK55" s="451">
        <f t="shared" si="92"/>
        <v>1674759756.0778944</v>
      </c>
      <c r="AL55" s="451">
        <f t="shared" si="92"/>
        <v>1536840371.5755994</v>
      </c>
      <c r="AM55" s="451">
        <f t="shared" si="92"/>
        <v>1458592260.6167176</v>
      </c>
      <c r="AN55" s="451">
        <f t="shared" si="92"/>
        <v>1442502698.9458785</v>
      </c>
      <c r="AO55" s="451">
        <f t="shared" si="92"/>
        <v>1614796097.7410376</v>
      </c>
      <c r="AP55" s="451">
        <f t="shared" si="92"/>
        <v>1790830876.1356518</v>
      </c>
      <c r="AQ55" s="451">
        <f t="shared" si="92"/>
        <v>1963694559.9803629</v>
      </c>
      <c r="AR55" s="451">
        <f t="shared" si="92"/>
        <v>2100483211.6343563</v>
      </c>
      <c r="AS55" s="451">
        <f t="shared" si="92"/>
        <v>2098329839.3753283</v>
      </c>
      <c r="AT55" s="451">
        <f t="shared" si="92"/>
        <v>1644312714.2556798</v>
      </c>
      <c r="AU55" s="450">
        <f t="shared" si="92"/>
        <v>1519884573.3524368</v>
      </c>
      <c r="AV55" s="450">
        <f t="shared" si="92"/>
        <v>1541873304.3007467</v>
      </c>
      <c r="AW55" s="450">
        <f t="shared" si="92"/>
        <v>1575538034.9230461</v>
      </c>
      <c r="AX55" s="450">
        <f t="shared" si="92"/>
        <v>1714072371.781924</v>
      </c>
      <c r="AY55" s="450">
        <f t="shared" ref="AY55:CD55" si="93">AY23*AY2+AY3*AY24+AY25*AY4+AY5*AY26+AY27*EH41</f>
        <v>1798681387.6840489</v>
      </c>
      <c r="AZ55" s="450">
        <f t="shared" si="93"/>
        <v>1863610111.8073301</v>
      </c>
      <c r="BA55" s="450">
        <f t="shared" si="93"/>
        <v>1934812074.9336491</v>
      </c>
      <c r="BB55" s="450">
        <f t="shared" si="93"/>
        <v>2062364388.6632142</v>
      </c>
      <c r="BC55" s="450">
        <f t="shared" si="93"/>
        <v>2118448720.4556508</v>
      </c>
      <c r="BD55" s="450">
        <f t="shared" si="93"/>
        <v>1628252312.9920225</v>
      </c>
      <c r="BE55" s="450">
        <f t="shared" si="93"/>
        <v>1373863604.4920371</v>
      </c>
      <c r="BF55" s="450">
        <f t="shared" si="93"/>
        <v>1375721465.0059133</v>
      </c>
      <c r="BG55" s="450">
        <f t="shared" si="93"/>
        <v>1483731730.908031</v>
      </c>
      <c r="BH55" s="450">
        <f t="shared" si="93"/>
        <v>1570200227.949374</v>
      </c>
      <c r="BI55" s="450">
        <f t="shared" si="93"/>
        <v>1679081115.244786</v>
      </c>
      <c r="BJ55" s="450">
        <f t="shared" si="93"/>
        <v>1680008167.728915</v>
      </c>
      <c r="BK55" s="450">
        <f t="shared" si="93"/>
        <v>1391808913.3456123</v>
      </c>
      <c r="BL55" s="450">
        <f t="shared" si="93"/>
        <v>1374422586.3775623</v>
      </c>
      <c r="BM55" s="450">
        <f t="shared" si="93"/>
        <v>1331966433.9713838</v>
      </c>
      <c r="BN55" s="450">
        <f t="shared" si="93"/>
        <v>1340038744.3756604</v>
      </c>
      <c r="BO55" s="450">
        <f t="shared" si="93"/>
        <v>1472519184.9480376</v>
      </c>
      <c r="BP55" s="450">
        <f t="shared" si="93"/>
        <v>1489664675.2485232</v>
      </c>
      <c r="BQ55" s="450">
        <f t="shared" si="93"/>
        <v>1573264766.5446064</v>
      </c>
      <c r="BR55" s="450">
        <f t="shared" si="93"/>
        <v>1701198738.3913839</v>
      </c>
      <c r="BS55" s="450">
        <f t="shared" si="93"/>
        <v>1534549682.8017168</v>
      </c>
      <c r="BT55" s="450">
        <f t="shared" si="93"/>
        <v>1169308899.7940035</v>
      </c>
      <c r="BU55" s="450">
        <f t="shared" si="93"/>
        <v>1387284535.9006429</v>
      </c>
      <c r="BV55" s="450">
        <f t="shared" si="93"/>
        <v>1395877302.3535178</v>
      </c>
      <c r="BW55" s="450">
        <f t="shared" si="93"/>
        <v>1500546775.893831</v>
      </c>
      <c r="BX55" s="450">
        <f t="shared" si="93"/>
        <v>1234181042.223506</v>
      </c>
      <c r="BY55" s="450">
        <f t="shared" si="93"/>
        <v>1247697434.9741211</v>
      </c>
      <c r="BZ55" s="450">
        <f t="shared" si="93"/>
        <v>1215593511.4364529</v>
      </c>
      <c r="CA55" s="450">
        <f t="shared" si="93"/>
        <v>1106661812.1651123</v>
      </c>
      <c r="CB55" s="450">
        <f t="shared" si="93"/>
        <v>1289823587.8427467</v>
      </c>
      <c r="CC55" s="450">
        <f t="shared" si="93"/>
        <v>1414667801.8354745</v>
      </c>
      <c r="CD55" s="450">
        <f t="shared" si="93"/>
        <v>1636428471.4742761</v>
      </c>
      <c r="CE55" s="450">
        <f t="shared" ref="CE55:CL55" si="94">CE23*CE2+CE3*CE24+CE25*CE4+CE5*CE26+CE27*FN41</f>
        <v>1797184872.6842172</v>
      </c>
      <c r="CF55" s="450">
        <f t="shared" si="94"/>
        <v>1888665055.7712564</v>
      </c>
      <c r="CG55" s="450">
        <f t="shared" si="94"/>
        <v>1776283740.570477</v>
      </c>
      <c r="CH55" s="450">
        <f t="shared" si="94"/>
        <v>1737522276.5154564</v>
      </c>
      <c r="CI55" s="450">
        <f t="shared" si="94"/>
        <v>1873092305.3109338</v>
      </c>
      <c r="CJ55" s="450">
        <f t="shared" si="94"/>
        <v>2072069835.968684</v>
      </c>
      <c r="CK55" s="450">
        <f t="shared" si="94"/>
        <v>2070695899.1789467</v>
      </c>
      <c r="CL55" s="501">
        <f t="shared" si="94"/>
        <v>2101136121.5706892</v>
      </c>
      <c r="CM55" s="381">
        <f t="shared" si="26"/>
        <v>1621614514.9073486</v>
      </c>
      <c r="CN55" s="435"/>
      <c r="CO55" s="435"/>
      <c r="CP55" s="435"/>
      <c r="CQ55" s="435"/>
      <c r="CR55" s="435"/>
      <c r="CS55" s="435"/>
      <c r="CT55" s="435"/>
      <c r="CU55" s="435"/>
      <c r="CV55" s="435"/>
      <c r="CW55" s="435"/>
      <c r="CX55" s="435"/>
      <c r="CY55" s="435"/>
      <c r="CZ55" s="435"/>
      <c r="DA55" s="435"/>
      <c r="DB55" s="435"/>
      <c r="DC55" s="435"/>
      <c r="DD55" s="435"/>
      <c r="DE55" s="435"/>
      <c r="DF55" s="435"/>
      <c r="DG55" s="435"/>
      <c r="DH55" s="435"/>
      <c r="DI55" s="435"/>
      <c r="DJ55" s="435"/>
      <c r="DK55" s="435"/>
      <c r="DL55" s="435"/>
      <c r="DM55" s="435"/>
      <c r="DN55" s="435"/>
      <c r="DO55" s="435"/>
      <c r="DP55" s="435"/>
      <c r="DQ55" s="435"/>
      <c r="DR55" s="435"/>
      <c r="DS55" s="435"/>
      <c r="DT55" s="435"/>
      <c r="DU55" s="435"/>
      <c r="DV55" s="435"/>
      <c r="DW55" s="435"/>
      <c r="DX55" s="435"/>
      <c r="DY55" s="435"/>
      <c r="DZ55" s="435"/>
      <c r="EA55" s="435"/>
      <c r="EB55" s="435"/>
      <c r="EC55" s="435"/>
      <c r="ED55" s="435"/>
      <c r="EE55" s="435"/>
      <c r="EF55" s="435"/>
      <c r="EG55" s="435"/>
      <c r="EH55" s="435"/>
      <c r="EI55" s="435"/>
      <c r="EJ55" s="435"/>
      <c r="EK55" s="435"/>
      <c r="EL55" s="435"/>
      <c r="EM55" s="435"/>
      <c r="EN55" s="435"/>
      <c r="EO55" s="435"/>
      <c r="EP55" s="435"/>
      <c r="EQ55" s="435"/>
      <c r="ER55" s="435"/>
      <c r="ES55" s="435"/>
      <c r="ET55" s="435"/>
      <c r="EU55" s="435"/>
      <c r="EV55" s="435"/>
      <c r="EW55" s="435"/>
      <c r="EX55" s="435"/>
      <c r="EY55" s="435"/>
      <c r="EZ55" s="435"/>
      <c r="FA55" s="435"/>
      <c r="FB55" s="435"/>
      <c r="FC55" s="435"/>
      <c r="FD55" s="435"/>
      <c r="FE55" s="435"/>
      <c r="FF55" s="435"/>
      <c r="FG55" s="435"/>
      <c r="FH55" s="435"/>
      <c r="FI55" s="435"/>
      <c r="FJ55" s="435"/>
      <c r="FK55" s="435"/>
      <c r="FL55" s="435"/>
      <c r="FM55" s="435"/>
      <c r="FN55" s="435"/>
      <c r="FO55" s="435"/>
      <c r="FP55" s="435"/>
      <c r="FQ55" s="435"/>
      <c r="FR55" s="435"/>
      <c r="FS55" s="435"/>
      <c r="FT55" s="435"/>
      <c r="FU55" s="435"/>
      <c r="FV55" s="435"/>
    </row>
    <row r="56" spans="1:178">
      <c r="A56" s="429" t="s">
        <v>419</v>
      </c>
      <c r="B56" s="131" t="s">
        <v>403</v>
      </c>
      <c r="C56" s="373" t="s">
        <v>418</v>
      </c>
      <c r="D56" s="1390"/>
      <c r="E56" s="388" t="s">
        <v>462</v>
      </c>
      <c r="F56" s="503" t="s">
        <v>460</v>
      </c>
      <c r="G56" s="503">
        <v>61200</v>
      </c>
      <c r="H56" s="503">
        <v>59900</v>
      </c>
      <c r="I56" s="503">
        <v>56300</v>
      </c>
      <c r="J56" s="503">
        <v>55700</v>
      </c>
      <c r="K56" s="503">
        <v>56300</v>
      </c>
      <c r="L56" s="503">
        <v>58150</v>
      </c>
      <c r="M56" s="503">
        <v>53250</v>
      </c>
      <c r="N56" s="503">
        <v>56120</v>
      </c>
      <c r="O56" s="503">
        <v>54550</v>
      </c>
      <c r="P56" s="503">
        <v>53770</v>
      </c>
      <c r="Q56" s="503">
        <v>49150</v>
      </c>
      <c r="R56" s="502">
        <v>50422</v>
      </c>
      <c r="S56" s="446">
        <v>49632</v>
      </c>
      <c r="T56" s="446">
        <v>49654</v>
      </c>
      <c r="U56" s="446">
        <v>48444</v>
      </c>
      <c r="V56" s="446">
        <v>47003</v>
      </c>
      <c r="W56" s="446">
        <v>40139</v>
      </c>
      <c r="X56" s="446">
        <v>34287</v>
      </c>
      <c r="Y56" s="446">
        <v>33539</v>
      </c>
      <c r="Z56" s="446">
        <v>36223</v>
      </c>
      <c r="AA56" s="446">
        <v>39941</v>
      </c>
      <c r="AB56" s="446">
        <v>49192</v>
      </c>
      <c r="AC56" s="446">
        <v>45859</v>
      </c>
      <c r="AD56" s="446">
        <v>44209</v>
      </c>
      <c r="AE56" s="446">
        <v>45177</v>
      </c>
      <c r="AF56" s="446">
        <v>47421</v>
      </c>
      <c r="AG56" s="446">
        <v>49984</v>
      </c>
      <c r="AH56" s="446">
        <v>56419</v>
      </c>
      <c r="AI56" s="446">
        <v>63173</v>
      </c>
      <c r="AJ56" s="446">
        <v>81400</v>
      </c>
      <c r="AK56" s="503">
        <v>69960</v>
      </c>
      <c r="AL56" s="503">
        <v>74305</v>
      </c>
      <c r="AM56" s="503">
        <v>66880</v>
      </c>
      <c r="AN56" s="503">
        <v>61600</v>
      </c>
      <c r="AO56" s="503">
        <v>63800</v>
      </c>
      <c r="AP56" s="503">
        <v>58300</v>
      </c>
      <c r="AQ56" s="503">
        <v>60500</v>
      </c>
      <c r="AR56" s="503">
        <v>61600</v>
      </c>
      <c r="AS56" s="503">
        <v>63800</v>
      </c>
      <c r="AT56" s="504">
        <v>59857.599999999999</v>
      </c>
      <c r="AU56" s="504">
        <v>61148.175000000003</v>
      </c>
      <c r="AV56" s="504">
        <v>61942.375</v>
      </c>
      <c r="AW56" s="504">
        <v>63729.324999999997</v>
      </c>
      <c r="AX56" s="504">
        <v>66608.3</v>
      </c>
      <c r="AY56" s="504">
        <v>64722.074999999997</v>
      </c>
      <c r="AZ56" s="504">
        <v>61644.55</v>
      </c>
      <c r="BA56" s="504">
        <v>57177.175000000003</v>
      </c>
      <c r="BB56" s="504">
        <v>58269.2</v>
      </c>
      <c r="BC56" s="504">
        <v>60949.625</v>
      </c>
      <c r="BD56" s="504">
        <v>60651.8</v>
      </c>
      <c r="BE56" s="504">
        <v>62587.662499999999</v>
      </c>
      <c r="BF56" s="504">
        <v>60909.914999999994</v>
      </c>
      <c r="BG56" s="504">
        <v>59480.354999999996</v>
      </c>
      <c r="BH56" s="504">
        <v>57584.202499999992</v>
      </c>
      <c r="BI56" s="504">
        <v>54526.532500000001</v>
      </c>
      <c r="BJ56" s="504">
        <v>52094.294999999998</v>
      </c>
      <c r="BK56" s="504">
        <v>48689.162499999999</v>
      </c>
      <c r="BL56" s="504">
        <v>46852.574999999997</v>
      </c>
      <c r="BM56" s="504">
        <v>48421.119999999995</v>
      </c>
      <c r="BN56" s="504">
        <v>53891.172500000001</v>
      </c>
      <c r="BO56" s="504">
        <v>54953.414999999994</v>
      </c>
      <c r="BP56" s="504">
        <v>51756.759999999995</v>
      </c>
      <c r="BQ56" s="504">
        <v>50287.490000000005</v>
      </c>
      <c r="BR56" s="504">
        <v>51697.195</v>
      </c>
      <c r="BS56" s="504">
        <v>53851.462500000001</v>
      </c>
      <c r="BT56" s="504">
        <v>47621.956250000003</v>
      </c>
      <c r="BU56" s="504">
        <v>52521.177499999991</v>
      </c>
      <c r="BV56" s="504">
        <v>53633.057499999995</v>
      </c>
      <c r="BW56" s="504">
        <v>53235.957499999997</v>
      </c>
      <c r="BX56" s="504">
        <v>56442.539999999994</v>
      </c>
      <c r="BY56" s="504">
        <v>64255.482499999998</v>
      </c>
      <c r="BZ56" s="504">
        <v>63828.6</v>
      </c>
      <c r="CA56" s="504">
        <v>65099.32</v>
      </c>
      <c r="CB56" s="504">
        <v>69417.782500000001</v>
      </c>
      <c r="CC56" s="504">
        <v>77578.1875</v>
      </c>
      <c r="CD56" s="504">
        <v>73001.609999999986</v>
      </c>
      <c r="CE56" s="504">
        <v>81950</v>
      </c>
      <c r="CF56" s="504">
        <v>84480</v>
      </c>
      <c r="CG56" s="504">
        <v>86790</v>
      </c>
      <c r="CH56" s="504">
        <v>90640</v>
      </c>
      <c r="CI56" s="504">
        <v>95370</v>
      </c>
      <c r="CJ56" s="504">
        <v>76525.350000000006</v>
      </c>
      <c r="CK56" s="504">
        <v>69617.899999999994</v>
      </c>
      <c r="CL56" s="609">
        <v>68019.05</v>
      </c>
      <c r="CM56" s="381">
        <f t="shared" si="26"/>
        <v>58590.053407738094</v>
      </c>
      <c r="CN56" s="435"/>
      <c r="CO56" s="435"/>
      <c r="CP56" s="435"/>
      <c r="CQ56" s="435"/>
      <c r="CR56" s="435"/>
      <c r="CS56" s="435"/>
      <c r="CT56" s="435"/>
      <c r="CU56" s="435"/>
      <c r="CV56" s="435"/>
      <c r="CW56" s="435"/>
      <c r="CX56" s="435"/>
      <c r="CY56" s="435"/>
      <c r="CZ56" s="435"/>
      <c r="DA56" s="435"/>
      <c r="DB56" s="435"/>
      <c r="DC56" s="435"/>
      <c r="DD56" s="435"/>
      <c r="DE56" s="435"/>
      <c r="DF56" s="435"/>
      <c r="DG56" s="435"/>
      <c r="DH56" s="435"/>
      <c r="DI56" s="435"/>
      <c r="DJ56" s="435"/>
      <c r="DK56" s="435"/>
      <c r="DL56" s="435"/>
      <c r="DM56" s="435"/>
      <c r="DN56" s="435"/>
      <c r="DO56" s="435"/>
      <c r="DP56" s="435"/>
      <c r="DQ56" s="435"/>
      <c r="DR56" s="435"/>
      <c r="DS56" s="435"/>
      <c r="DT56" s="435"/>
      <c r="DU56" s="435"/>
      <c r="DV56" s="435"/>
      <c r="DW56" s="435"/>
      <c r="DX56" s="435"/>
      <c r="DY56" s="435"/>
      <c r="DZ56" s="435"/>
      <c r="EA56" s="435"/>
      <c r="EB56" s="435"/>
      <c r="EC56" s="435"/>
      <c r="ED56" s="435"/>
      <c r="EE56" s="435"/>
      <c r="EF56" s="435"/>
      <c r="EG56" s="435"/>
      <c r="EH56" s="435"/>
      <c r="EI56" s="435"/>
      <c r="EJ56" s="435"/>
      <c r="EK56" s="435"/>
      <c r="EL56" s="435"/>
      <c r="EM56" s="435"/>
      <c r="EN56" s="435"/>
      <c r="EO56" s="435"/>
      <c r="EP56" s="435"/>
      <c r="EQ56" s="435"/>
      <c r="ER56" s="435"/>
      <c r="ES56" s="435"/>
      <c r="ET56" s="435"/>
      <c r="EU56" s="435"/>
      <c r="EV56" s="435"/>
      <c r="EW56" s="435"/>
      <c r="EX56" s="435"/>
      <c r="EY56" s="435"/>
      <c r="EZ56" s="435"/>
      <c r="FA56" s="435"/>
      <c r="FB56" s="435"/>
      <c r="FC56" s="435"/>
      <c r="FD56" s="435"/>
      <c r="FE56" s="435"/>
      <c r="FF56" s="435"/>
      <c r="FG56" s="435"/>
      <c r="FH56" s="435"/>
      <c r="FI56" s="435"/>
      <c r="FJ56" s="435"/>
      <c r="FK56" s="435"/>
      <c r="FL56" s="435"/>
      <c r="FM56" s="435"/>
      <c r="FN56" s="435"/>
      <c r="FO56" s="435"/>
      <c r="FP56" s="435"/>
      <c r="FQ56" s="435"/>
      <c r="FR56" s="435"/>
      <c r="FS56" s="435"/>
      <c r="FT56" s="435"/>
      <c r="FU56" s="435"/>
      <c r="FV56" s="435"/>
    </row>
    <row r="57" spans="1:178">
      <c r="A57" s="385" t="s">
        <v>459</v>
      </c>
      <c r="B57" s="384" t="s">
        <v>403</v>
      </c>
      <c r="C57" s="385" t="s">
        <v>418</v>
      </c>
      <c r="D57" s="1391"/>
      <c r="E57" s="390" t="s">
        <v>462</v>
      </c>
      <c r="F57" s="605" t="s">
        <v>461</v>
      </c>
      <c r="G57" s="606">
        <v>77300</v>
      </c>
      <c r="H57" s="606">
        <v>75200</v>
      </c>
      <c r="I57" s="606">
        <v>72150</v>
      </c>
      <c r="J57" s="606">
        <v>70700</v>
      </c>
      <c r="K57" s="606">
        <v>71399</v>
      </c>
      <c r="L57" s="606">
        <v>74500</v>
      </c>
      <c r="M57" s="606">
        <v>72800</v>
      </c>
      <c r="N57" s="606">
        <v>69900</v>
      </c>
      <c r="O57" s="606">
        <v>65300</v>
      </c>
      <c r="P57" s="606">
        <v>67800</v>
      </c>
      <c r="Q57" s="606">
        <v>65900</v>
      </c>
      <c r="R57" s="557">
        <v>63400</v>
      </c>
      <c r="S57" s="446">
        <v>69927</v>
      </c>
      <c r="T57" s="446">
        <v>59774</v>
      </c>
      <c r="U57" s="446">
        <v>58597</v>
      </c>
      <c r="V57" s="446">
        <v>59664</v>
      </c>
      <c r="W57" s="446">
        <v>60951</v>
      </c>
      <c r="X57" s="446">
        <v>59686</v>
      </c>
      <c r="Y57" s="446">
        <v>68849</v>
      </c>
      <c r="Z57" s="446">
        <v>67639</v>
      </c>
      <c r="AA57" s="446">
        <v>76131</v>
      </c>
      <c r="AB57" s="446">
        <v>73282</v>
      </c>
      <c r="AC57" s="446">
        <v>66891</v>
      </c>
      <c r="AD57" s="446">
        <v>68827</v>
      </c>
      <c r="AE57" s="446">
        <v>67826</v>
      </c>
      <c r="AF57" s="446">
        <v>67529</v>
      </c>
      <c r="AG57" s="446">
        <v>70037</v>
      </c>
      <c r="AH57" s="446">
        <v>61501</v>
      </c>
      <c r="AI57" s="446">
        <v>68992</v>
      </c>
      <c r="AJ57" s="446">
        <v>72501</v>
      </c>
      <c r="AK57" s="505">
        <v>68786.3</v>
      </c>
      <c r="AL57" s="505">
        <v>63184</v>
      </c>
      <c r="AM57" s="505">
        <v>61679.199999999997</v>
      </c>
      <c r="AN57" s="505">
        <v>62747.3</v>
      </c>
      <c r="AO57" s="505">
        <v>64520.5</v>
      </c>
      <c r="AP57" s="505">
        <v>63347.9</v>
      </c>
      <c r="AQ57" s="505">
        <v>70908.2</v>
      </c>
      <c r="AR57" s="505">
        <v>81957.7</v>
      </c>
      <c r="AS57" s="505">
        <v>81801.5</v>
      </c>
      <c r="AT57" s="505">
        <v>86989.1</v>
      </c>
      <c r="AU57" s="387">
        <v>86608.5</v>
      </c>
      <c r="AV57" s="387">
        <v>89952.5</v>
      </c>
      <c r="AW57" s="387">
        <v>91206.5</v>
      </c>
      <c r="AX57" s="387">
        <v>92878.5</v>
      </c>
      <c r="AY57" s="387">
        <v>88176</v>
      </c>
      <c r="AZ57" s="387">
        <v>90161.5</v>
      </c>
      <c r="BA57" s="387">
        <v>90788.5</v>
      </c>
      <c r="BB57" s="387">
        <v>91729</v>
      </c>
      <c r="BC57" s="387">
        <v>94550.5</v>
      </c>
      <c r="BD57" s="387">
        <v>98208</v>
      </c>
      <c r="BE57" s="387">
        <v>94968.5</v>
      </c>
      <c r="BF57" s="387">
        <v>90140.6</v>
      </c>
      <c r="BG57" s="387">
        <v>86817.5</v>
      </c>
      <c r="BH57" s="387">
        <v>83369</v>
      </c>
      <c r="BI57" s="387">
        <v>82533</v>
      </c>
      <c r="BJ57" s="387">
        <v>80234</v>
      </c>
      <c r="BK57" s="387">
        <v>78457.5</v>
      </c>
      <c r="BL57" s="387">
        <v>78353</v>
      </c>
      <c r="BM57" s="387">
        <v>74382</v>
      </c>
      <c r="BN57" s="387">
        <v>75395.649999999994</v>
      </c>
      <c r="BO57" s="387">
        <v>74068.5</v>
      </c>
      <c r="BP57" s="387">
        <v>70411</v>
      </c>
      <c r="BQ57" s="387">
        <v>65656.25</v>
      </c>
      <c r="BR57" s="387">
        <v>71038</v>
      </c>
      <c r="BS57" s="387">
        <v>78457.5</v>
      </c>
      <c r="BT57" s="387">
        <v>76472</v>
      </c>
      <c r="BU57" s="387">
        <v>72501</v>
      </c>
      <c r="BV57" s="387">
        <v>71665</v>
      </c>
      <c r="BW57" s="387">
        <v>72344.25</v>
      </c>
      <c r="BX57" s="387">
        <v>73755</v>
      </c>
      <c r="BY57" s="387">
        <v>73964</v>
      </c>
      <c r="BZ57" s="387">
        <v>75845</v>
      </c>
      <c r="CA57" s="387">
        <v>74800</v>
      </c>
      <c r="CB57" s="387">
        <v>75427</v>
      </c>
      <c r="CC57" s="387">
        <v>80735.600000000006</v>
      </c>
      <c r="CD57" s="387">
        <v>73838.600000000006</v>
      </c>
      <c r="CE57" s="387">
        <v>80432.55</v>
      </c>
      <c r="CF57" s="387">
        <v>100078.55</v>
      </c>
      <c r="CG57" s="387">
        <v>97455.6</v>
      </c>
      <c r="CH57" s="387">
        <v>100151.7</v>
      </c>
      <c r="CI57" s="387">
        <v>101771.45</v>
      </c>
      <c r="CJ57" s="387">
        <v>103359.85</v>
      </c>
      <c r="CK57" s="387">
        <v>106359</v>
      </c>
      <c r="CL57" s="510">
        <v>110852.5</v>
      </c>
      <c r="CM57" s="381">
        <f t="shared" si="26"/>
        <v>77038.391071428574</v>
      </c>
      <c r="CN57" s="435"/>
      <c r="CO57" s="435"/>
      <c r="CP57" s="435"/>
      <c r="CQ57" s="435"/>
      <c r="CR57" s="435"/>
      <c r="CS57" s="435"/>
      <c r="CT57" s="435"/>
      <c r="CU57" s="435"/>
      <c r="CV57" s="435"/>
      <c r="CW57" s="435"/>
      <c r="CX57" s="435"/>
      <c r="CY57" s="435"/>
      <c r="CZ57" s="435"/>
      <c r="DA57" s="435"/>
      <c r="DB57" s="435"/>
      <c r="DC57" s="435"/>
      <c r="DD57" s="435"/>
      <c r="DE57" s="435"/>
      <c r="DF57" s="435"/>
      <c r="DG57" s="435"/>
      <c r="DH57" s="435"/>
      <c r="DI57" s="435"/>
      <c r="DJ57" s="435"/>
      <c r="DK57" s="435"/>
      <c r="DL57" s="435"/>
      <c r="DM57" s="435"/>
      <c r="DN57" s="435"/>
      <c r="DO57" s="435"/>
      <c r="DP57" s="435"/>
      <c r="DQ57" s="435"/>
      <c r="DR57" s="435"/>
      <c r="DS57" s="435"/>
      <c r="DT57" s="435"/>
      <c r="DU57" s="435"/>
      <c r="DV57" s="435"/>
      <c r="DW57" s="435"/>
      <c r="DX57" s="435"/>
      <c r="DY57" s="435"/>
      <c r="DZ57" s="435"/>
      <c r="EA57" s="435"/>
      <c r="EB57" s="435"/>
      <c r="EC57" s="435"/>
      <c r="ED57" s="435"/>
      <c r="EE57" s="435"/>
      <c r="EF57" s="435"/>
      <c r="EG57" s="435"/>
      <c r="EH57" s="435"/>
      <c r="EI57" s="435"/>
      <c r="EJ57" s="435"/>
      <c r="EK57" s="435"/>
      <c r="EL57" s="435"/>
      <c r="EM57" s="435"/>
      <c r="EN57" s="435"/>
      <c r="EO57" s="435"/>
      <c r="EP57" s="435"/>
      <c r="EQ57" s="435"/>
      <c r="ER57" s="435"/>
      <c r="ES57" s="435"/>
      <c r="ET57" s="435"/>
      <c r="EU57" s="435"/>
      <c r="EV57" s="435"/>
      <c r="EW57" s="435"/>
      <c r="EX57" s="435"/>
      <c r="EY57" s="435"/>
      <c r="EZ57" s="435"/>
      <c r="FA57" s="435"/>
      <c r="FB57" s="435"/>
      <c r="FC57" s="435"/>
      <c r="FD57" s="435"/>
      <c r="FE57" s="435"/>
      <c r="FF57" s="435"/>
      <c r="FG57" s="435"/>
      <c r="FH57" s="435"/>
      <c r="FI57" s="435"/>
      <c r="FJ57" s="435"/>
      <c r="FK57" s="435"/>
      <c r="FL57" s="435"/>
      <c r="FM57" s="435"/>
      <c r="FN57" s="435"/>
      <c r="FO57" s="435"/>
      <c r="FP57" s="435"/>
      <c r="FQ57" s="435"/>
      <c r="FR57" s="435"/>
      <c r="FS57" s="435"/>
      <c r="FT57" s="435"/>
      <c r="FU57" s="435"/>
      <c r="FV57" s="435"/>
    </row>
    <row r="58" spans="1:178">
      <c r="A58" s="379"/>
      <c r="B58" s="379"/>
      <c r="C58" s="379"/>
      <c r="D58" s="379"/>
      <c r="E58" s="379"/>
      <c r="F58" s="506"/>
      <c r="G58" s="506"/>
      <c r="H58" s="506"/>
      <c r="I58" s="506"/>
      <c r="J58" s="506"/>
      <c r="K58" s="506"/>
      <c r="L58" s="506"/>
      <c r="M58" s="506"/>
      <c r="N58" s="506"/>
      <c r="O58" s="506"/>
      <c r="P58" s="506"/>
      <c r="Q58" s="506"/>
      <c r="R58" s="506"/>
      <c r="S58" s="507"/>
      <c r="T58" s="507"/>
      <c r="U58" s="507"/>
      <c r="V58" s="507"/>
      <c r="W58" s="507"/>
      <c r="X58" s="507"/>
      <c r="Y58" s="507"/>
      <c r="Z58" s="507"/>
      <c r="AA58" s="507"/>
      <c r="AB58" s="507"/>
      <c r="AC58" s="507"/>
      <c r="AD58" s="507"/>
      <c r="AE58" s="507"/>
      <c r="AF58" s="507"/>
      <c r="AG58" s="507"/>
      <c r="AH58" s="507"/>
      <c r="AI58" s="507"/>
      <c r="AJ58" s="507"/>
      <c r="AK58" s="507"/>
      <c r="AL58" s="507"/>
      <c r="AM58" s="507"/>
      <c r="AN58" s="507"/>
      <c r="AO58" s="507"/>
      <c r="AP58" s="507"/>
      <c r="AQ58" s="507"/>
      <c r="AR58" s="507"/>
      <c r="AS58" s="507"/>
      <c r="AT58" s="439">
        <v>8000</v>
      </c>
      <c r="AU58" s="507"/>
      <c r="AV58" s="507"/>
      <c r="AW58" s="507"/>
      <c r="AX58" s="507"/>
      <c r="AY58" s="507"/>
      <c r="AZ58" s="507"/>
      <c r="BA58" s="507"/>
      <c r="BB58" s="507"/>
      <c r="BC58" s="507"/>
      <c r="BD58" s="507"/>
      <c r="BE58" s="507"/>
      <c r="BF58" s="507"/>
      <c r="BG58" s="507"/>
      <c r="BH58" s="507"/>
      <c r="BI58" s="507"/>
      <c r="BJ58" s="507"/>
      <c r="BK58" s="507"/>
      <c r="BL58" s="507"/>
      <c r="BM58" s="507"/>
      <c r="BN58" s="507"/>
      <c r="BO58" s="507"/>
      <c r="BP58" s="507"/>
      <c r="BQ58" s="507"/>
      <c r="BR58" s="507"/>
      <c r="BS58" s="507"/>
      <c r="BT58" s="507"/>
      <c r="BU58" s="507"/>
      <c r="BV58" s="507"/>
      <c r="BW58" s="507"/>
      <c r="BX58" s="507"/>
      <c r="BY58" s="507"/>
      <c r="BZ58" s="507"/>
      <c r="CA58" s="507"/>
      <c r="CB58" s="507"/>
      <c r="CC58" s="507"/>
      <c r="CD58" s="507"/>
      <c r="CE58" s="507"/>
      <c r="CF58" s="507"/>
      <c r="CG58" s="507"/>
      <c r="CH58" s="507"/>
      <c r="CI58" s="507"/>
      <c r="CJ58" s="507"/>
      <c r="CK58" s="507"/>
      <c r="CL58" s="507"/>
      <c r="CM58" s="430"/>
      <c r="CN58" s="435"/>
      <c r="CO58" s="435"/>
      <c r="CP58" s="435"/>
      <c r="CQ58" s="435"/>
      <c r="CR58" s="435"/>
      <c r="CS58" s="435"/>
      <c r="CT58" s="435"/>
      <c r="CU58" s="435"/>
      <c r="CV58" s="435"/>
      <c r="CW58" s="435"/>
      <c r="CX58" s="435"/>
      <c r="CY58" s="435"/>
      <c r="CZ58" s="435"/>
      <c r="DA58" s="435"/>
      <c r="DB58" s="435"/>
      <c r="DC58" s="435"/>
      <c r="DD58" s="435"/>
      <c r="DE58" s="435"/>
      <c r="DF58" s="435"/>
      <c r="DG58" s="435"/>
      <c r="DH58" s="435"/>
      <c r="DI58" s="435"/>
      <c r="DJ58" s="435"/>
      <c r="DK58" s="435"/>
      <c r="DL58" s="435"/>
      <c r="DM58" s="435"/>
      <c r="DN58" s="435"/>
      <c r="DO58" s="435"/>
      <c r="DP58" s="435"/>
      <c r="DQ58" s="435"/>
      <c r="DR58" s="435"/>
      <c r="DS58" s="435"/>
      <c r="DT58" s="435"/>
      <c r="DU58" s="435"/>
      <c r="DV58" s="435"/>
      <c r="DW58" s="435"/>
      <c r="DX58" s="435"/>
      <c r="DY58" s="435"/>
      <c r="DZ58" s="435"/>
      <c r="EA58" s="435"/>
      <c r="EB58" s="435"/>
      <c r="EC58" s="435"/>
      <c r="ED58" s="435"/>
      <c r="EE58" s="435"/>
      <c r="EF58" s="435"/>
      <c r="EG58" s="435"/>
      <c r="EH58" s="435"/>
      <c r="EI58" s="435"/>
      <c r="EJ58" s="435"/>
      <c r="EK58" s="435"/>
      <c r="EL58" s="435"/>
      <c r="EM58" s="435"/>
      <c r="EN58" s="435"/>
      <c r="EO58" s="435"/>
      <c r="EP58" s="435"/>
      <c r="EQ58" s="435"/>
      <c r="ER58" s="435"/>
      <c r="ES58" s="435"/>
      <c r="ET58" s="435"/>
      <c r="EU58" s="435"/>
      <c r="EV58" s="435"/>
      <c r="EW58" s="435"/>
      <c r="EX58" s="435"/>
      <c r="EY58" s="435"/>
      <c r="EZ58" s="435"/>
      <c r="FA58" s="435"/>
      <c r="FB58" s="435"/>
      <c r="FC58" s="435"/>
      <c r="FD58" s="435"/>
      <c r="FE58" s="435"/>
      <c r="FF58" s="435"/>
      <c r="FG58" s="435"/>
      <c r="FH58" s="435"/>
      <c r="FI58" s="435"/>
      <c r="FJ58" s="435"/>
      <c r="FK58" s="435"/>
      <c r="FL58" s="435"/>
      <c r="FM58" s="435"/>
      <c r="FN58" s="435"/>
      <c r="FO58" s="435"/>
      <c r="FP58" s="435"/>
      <c r="FQ58" s="435"/>
      <c r="FR58" s="435"/>
      <c r="FS58" s="435"/>
      <c r="FT58" s="435"/>
      <c r="FU58" s="435"/>
      <c r="FV58" s="435"/>
    </row>
    <row r="59" spans="1:178" ht="12.75" customHeight="1">
      <c r="A59" s="1368" t="s">
        <v>651</v>
      </c>
      <c r="B59" s="1368"/>
      <c r="C59" s="1368"/>
      <c r="D59" s="1368"/>
      <c r="E59" s="1369"/>
      <c r="F59" s="508" t="s">
        <v>211</v>
      </c>
      <c r="G59" s="508"/>
      <c r="H59" s="508"/>
      <c r="I59" s="508"/>
      <c r="J59" s="508"/>
      <c r="K59" s="508"/>
      <c r="L59" s="508"/>
      <c r="M59" s="508"/>
      <c r="N59" s="508"/>
      <c r="O59" s="508"/>
      <c r="P59" s="508"/>
      <c r="Q59" s="508"/>
      <c r="R59" s="508"/>
      <c r="S59" s="431"/>
      <c r="T59" s="431"/>
      <c r="U59" s="431"/>
      <c r="V59" s="431"/>
      <c r="W59" s="431"/>
      <c r="X59" s="431"/>
      <c r="Y59" s="431"/>
      <c r="Z59" s="431"/>
      <c r="AA59" s="431"/>
      <c r="AB59" s="431"/>
      <c r="AC59" s="431"/>
      <c r="AD59" s="431"/>
      <c r="AE59" s="431"/>
      <c r="AF59" s="431"/>
      <c r="AG59" s="431"/>
      <c r="AH59" s="431"/>
      <c r="AI59" s="431"/>
      <c r="AJ59" s="431"/>
      <c r="AK59" s="431"/>
      <c r="AL59" s="431"/>
      <c r="AM59" s="431"/>
      <c r="AN59" s="431"/>
      <c r="AO59" s="431"/>
      <c r="AP59" s="431"/>
      <c r="AQ59" s="431"/>
      <c r="AR59" s="431"/>
      <c r="AS59" s="431"/>
      <c r="AT59" s="437"/>
      <c r="AU59" s="375"/>
      <c r="AV59" s="375"/>
      <c r="AW59" s="375"/>
      <c r="AX59" s="375"/>
      <c r="AY59" s="375"/>
      <c r="AZ59" s="375"/>
      <c r="BA59" s="375"/>
      <c r="BB59" s="375"/>
      <c r="BC59" s="375"/>
      <c r="BD59" s="375"/>
      <c r="BE59" s="375"/>
      <c r="BF59" s="375"/>
      <c r="BG59" s="375"/>
      <c r="BH59" s="375"/>
      <c r="BI59" s="375"/>
      <c r="BJ59" s="375"/>
      <c r="BK59" s="375"/>
      <c r="BL59" s="375"/>
      <c r="BM59" s="375"/>
      <c r="BN59" s="375"/>
      <c r="BO59" s="375"/>
      <c r="BP59" s="375"/>
      <c r="BQ59" s="375"/>
      <c r="BR59" s="375"/>
      <c r="BS59" s="375"/>
      <c r="BT59" s="375"/>
      <c r="BU59" s="375"/>
      <c r="BV59" s="375"/>
      <c r="BW59" s="375"/>
      <c r="BX59" s="375"/>
      <c r="BY59" s="375"/>
      <c r="BZ59" s="375"/>
      <c r="CA59" s="375"/>
      <c r="CB59" s="375"/>
      <c r="CC59" s="375"/>
      <c r="CD59" s="375"/>
      <c r="CE59" s="375"/>
      <c r="CF59" s="375"/>
      <c r="CG59" s="375"/>
      <c r="CH59" s="375"/>
      <c r="CI59" s="375"/>
      <c r="CJ59" s="375"/>
      <c r="CK59" s="375"/>
      <c r="CL59" s="375"/>
      <c r="CM59" s="431"/>
      <c r="CN59" s="435"/>
      <c r="CO59" s="435"/>
      <c r="CP59" s="435"/>
      <c r="CQ59" s="435"/>
      <c r="CR59" s="435"/>
      <c r="CS59" s="435"/>
      <c r="CT59" s="435"/>
      <c r="CU59" s="435"/>
      <c r="CV59" s="435"/>
      <c r="CW59" s="435"/>
      <c r="CX59" s="435"/>
      <c r="CY59" s="435"/>
      <c r="CZ59" s="435"/>
      <c r="DA59" s="435"/>
      <c r="DB59" s="435"/>
      <c r="DC59" s="435"/>
      <c r="DD59" s="435"/>
      <c r="DE59" s="435"/>
      <c r="DF59" s="435"/>
      <c r="DG59" s="435"/>
      <c r="DH59" s="435"/>
      <c r="DI59" s="435"/>
      <c r="DJ59" s="435"/>
      <c r="DK59" s="435"/>
      <c r="DL59" s="435"/>
      <c r="DM59" s="435"/>
      <c r="DN59" s="435"/>
      <c r="DO59" s="435"/>
      <c r="DP59" s="435"/>
      <c r="DQ59" s="435"/>
      <c r="DR59" s="435"/>
      <c r="DS59" s="435"/>
      <c r="DT59" s="435"/>
      <c r="DU59" s="435"/>
      <c r="DV59" s="435"/>
      <c r="DW59" s="435"/>
      <c r="DX59" s="435"/>
      <c r="DY59" s="435"/>
      <c r="DZ59" s="435"/>
      <c r="EA59" s="435"/>
      <c r="EB59" s="435"/>
      <c r="EC59" s="435"/>
      <c r="ED59" s="435"/>
      <c r="EE59" s="435"/>
      <c r="EF59" s="435"/>
      <c r="EG59" s="435"/>
      <c r="EH59" s="435"/>
      <c r="EI59" s="435"/>
      <c r="EJ59" s="435"/>
      <c r="EK59" s="435"/>
      <c r="EL59" s="435"/>
      <c r="EM59" s="435"/>
      <c r="EN59" s="435"/>
      <c r="EO59" s="435"/>
      <c r="EP59" s="435"/>
      <c r="EQ59" s="435"/>
      <c r="ER59" s="435"/>
      <c r="ES59" s="435"/>
      <c r="ET59" s="435"/>
      <c r="EU59" s="435"/>
      <c r="EV59" s="435"/>
      <c r="EW59" s="435"/>
      <c r="EX59" s="435"/>
      <c r="EY59" s="435"/>
      <c r="EZ59" s="435"/>
      <c r="FA59" s="435"/>
      <c r="FB59" s="435"/>
      <c r="FC59" s="435"/>
      <c r="FD59" s="435"/>
      <c r="FE59" s="435"/>
      <c r="FF59" s="435"/>
      <c r="FG59" s="435"/>
      <c r="FH59" s="435"/>
      <c r="FI59" s="435"/>
      <c r="FJ59" s="435"/>
      <c r="FK59" s="435"/>
      <c r="FL59" s="435"/>
      <c r="FM59" s="435"/>
      <c r="FN59" s="435"/>
      <c r="FO59" s="435"/>
      <c r="FP59" s="435"/>
      <c r="FQ59" s="435"/>
      <c r="FR59" s="435"/>
      <c r="FS59" s="435"/>
      <c r="FT59" s="435"/>
      <c r="FU59" s="435"/>
      <c r="FV59" s="435"/>
    </row>
    <row r="60" spans="1:178">
      <c r="A60" s="1368"/>
      <c r="B60" s="1368"/>
      <c r="C60" s="1368"/>
      <c r="D60" s="1368"/>
      <c r="E60" s="1369"/>
      <c r="F60" s="438" t="s">
        <v>212</v>
      </c>
      <c r="G60" s="439">
        <f t="shared" ref="G60:R60" si="95">G42</f>
        <v>6421791.6041608481</v>
      </c>
      <c r="H60" s="439">
        <f t="shared" si="95"/>
        <v>6421791.6041608481</v>
      </c>
      <c r="I60" s="439">
        <f t="shared" si="95"/>
        <v>6421791.6041608481</v>
      </c>
      <c r="J60" s="439">
        <f t="shared" si="95"/>
        <v>6421791.6041608481</v>
      </c>
      <c r="K60" s="439">
        <f t="shared" si="95"/>
        <v>6421791.6041608481</v>
      </c>
      <c r="L60" s="439">
        <f t="shared" si="95"/>
        <v>6421791.6041608481</v>
      </c>
      <c r="M60" s="439">
        <f t="shared" si="95"/>
        <v>6421791.6041608481</v>
      </c>
      <c r="N60" s="439">
        <f t="shared" si="95"/>
        <v>6421791.6041608481</v>
      </c>
      <c r="O60" s="439">
        <f t="shared" si="95"/>
        <v>6421791.6041608481</v>
      </c>
      <c r="P60" s="439">
        <f t="shared" si="95"/>
        <v>6421791.6041608481</v>
      </c>
      <c r="Q60" s="439">
        <f t="shared" si="95"/>
        <v>6421791.6041608481</v>
      </c>
      <c r="R60" s="439">
        <f t="shared" si="95"/>
        <v>6421791.6041608481</v>
      </c>
      <c r="S60" s="439">
        <f t="shared" ref="S60:AX60" si="96">S42</f>
        <v>6421791.6041608481</v>
      </c>
      <c r="T60" s="439">
        <f t="shared" si="96"/>
        <v>6421791.6041608481</v>
      </c>
      <c r="U60" s="439">
        <f t="shared" si="96"/>
        <v>6421791.6041608481</v>
      </c>
      <c r="V60" s="439">
        <f t="shared" si="96"/>
        <v>6421791.6041608481</v>
      </c>
      <c r="W60" s="439">
        <f t="shared" si="96"/>
        <v>6421791.6041608481</v>
      </c>
      <c r="X60" s="439">
        <f t="shared" si="96"/>
        <v>6421791.6041608481</v>
      </c>
      <c r="Y60" s="439">
        <f t="shared" si="96"/>
        <v>6421791.6041608481</v>
      </c>
      <c r="Z60" s="439">
        <f t="shared" si="96"/>
        <v>6421791.6041608481</v>
      </c>
      <c r="AA60" s="439">
        <f t="shared" si="96"/>
        <v>6421791.6041608481</v>
      </c>
      <c r="AB60" s="439">
        <f t="shared" si="96"/>
        <v>6421791.6041608481</v>
      </c>
      <c r="AC60" s="439">
        <f t="shared" si="96"/>
        <v>6421791.6041608481</v>
      </c>
      <c r="AD60" s="439">
        <f t="shared" si="96"/>
        <v>6421791.6041608481</v>
      </c>
      <c r="AE60" s="439">
        <f t="shared" si="96"/>
        <v>6421791.6041608481</v>
      </c>
      <c r="AF60" s="439">
        <f t="shared" si="96"/>
        <v>6421791.6041608481</v>
      </c>
      <c r="AG60" s="439">
        <f t="shared" si="96"/>
        <v>6421791.6041608481</v>
      </c>
      <c r="AH60" s="439">
        <f t="shared" si="96"/>
        <v>6421791.6041608481</v>
      </c>
      <c r="AI60" s="439">
        <f t="shared" si="96"/>
        <v>6421791.6041608481</v>
      </c>
      <c r="AJ60" s="439">
        <f t="shared" si="96"/>
        <v>6421791.6041608481</v>
      </c>
      <c r="AK60" s="439">
        <f t="shared" si="96"/>
        <v>6421791.6041608481</v>
      </c>
      <c r="AL60" s="439">
        <f t="shared" si="96"/>
        <v>6421791.6041608481</v>
      </c>
      <c r="AM60" s="439">
        <f t="shared" si="96"/>
        <v>6421791.6041608481</v>
      </c>
      <c r="AN60" s="439">
        <f t="shared" si="96"/>
        <v>6421791.6041608481</v>
      </c>
      <c r="AO60" s="439">
        <f t="shared" si="96"/>
        <v>6421791.6041608481</v>
      </c>
      <c r="AP60" s="439">
        <f t="shared" si="96"/>
        <v>6421791.6041608481</v>
      </c>
      <c r="AQ60" s="439">
        <f t="shared" si="96"/>
        <v>6421791.6041608481</v>
      </c>
      <c r="AR60" s="439">
        <f t="shared" si="96"/>
        <v>6421791.6041608481</v>
      </c>
      <c r="AS60" s="439">
        <f t="shared" si="96"/>
        <v>6421791.6041608481</v>
      </c>
      <c r="AT60" s="439">
        <f t="shared" si="96"/>
        <v>6421791.6041608481</v>
      </c>
      <c r="AU60" s="380">
        <f t="shared" si="96"/>
        <v>6421791.6041608481</v>
      </c>
      <c r="AV60" s="380">
        <f t="shared" si="96"/>
        <v>6421791.6041608481</v>
      </c>
      <c r="AW60" s="380">
        <f t="shared" si="96"/>
        <v>6421791.6041608481</v>
      </c>
      <c r="AX60" s="380">
        <f t="shared" si="96"/>
        <v>6421791.6041608481</v>
      </c>
      <c r="AY60" s="380">
        <f t="shared" ref="AY60:CD60" si="97">AY42</f>
        <v>6421791.6041608481</v>
      </c>
      <c r="AZ60" s="380">
        <f t="shared" si="97"/>
        <v>6421791.6041608481</v>
      </c>
      <c r="BA60" s="380">
        <f t="shared" si="97"/>
        <v>6421791.6041608481</v>
      </c>
      <c r="BB60" s="380">
        <f t="shared" si="97"/>
        <v>6421791.6041608481</v>
      </c>
      <c r="BC60" s="380">
        <f t="shared" si="97"/>
        <v>6421791.6041608481</v>
      </c>
      <c r="BD60" s="380">
        <f t="shared" si="97"/>
        <v>6421791.6041608481</v>
      </c>
      <c r="BE60" s="380">
        <f t="shared" si="97"/>
        <v>6421791.6041608481</v>
      </c>
      <c r="BF60" s="380">
        <f t="shared" si="97"/>
        <v>6421791.6041608481</v>
      </c>
      <c r="BG60" s="380">
        <f t="shared" si="97"/>
        <v>6421791.6041608481</v>
      </c>
      <c r="BH60" s="380">
        <f t="shared" si="97"/>
        <v>6421791.6041608481</v>
      </c>
      <c r="BI60" s="380">
        <f t="shared" si="97"/>
        <v>6421791.6041608481</v>
      </c>
      <c r="BJ60" s="380">
        <f t="shared" si="97"/>
        <v>6421791.6041608481</v>
      </c>
      <c r="BK60" s="380">
        <f t="shared" si="97"/>
        <v>6421791.6041608481</v>
      </c>
      <c r="BL60" s="380">
        <f t="shared" si="97"/>
        <v>6421791.6041608481</v>
      </c>
      <c r="BM60" s="380">
        <f t="shared" si="97"/>
        <v>6421791.6041608481</v>
      </c>
      <c r="BN60" s="380">
        <f t="shared" si="97"/>
        <v>6421791.6041608481</v>
      </c>
      <c r="BO60" s="380">
        <f t="shared" si="97"/>
        <v>6421791.6041608481</v>
      </c>
      <c r="BP60" s="380">
        <f t="shared" si="97"/>
        <v>6421791.6041608481</v>
      </c>
      <c r="BQ60" s="380">
        <f t="shared" si="97"/>
        <v>6421791.6041608481</v>
      </c>
      <c r="BR60" s="380">
        <f t="shared" si="97"/>
        <v>6421791.6041608481</v>
      </c>
      <c r="BS60" s="380">
        <f t="shared" si="97"/>
        <v>6421791.6041608481</v>
      </c>
      <c r="BT60" s="380">
        <f t="shared" si="97"/>
        <v>6421791.6041608481</v>
      </c>
      <c r="BU60" s="380">
        <f t="shared" si="97"/>
        <v>6421791.6041608481</v>
      </c>
      <c r="BV60" s="380">
        <f t="shared" si="97"/>
        <v>6421791.6041608481</v>
      </c>
      <c r="BW60" s="380">
        <f t="shared" si="97"/>
        <v>6421791.6041608481</v>
      </c>
      <c r="BX60" s="380">
        <f t="shared" si="97"/>
        <v>6421791.6041608481</v>
      </c>
      <c r="BY60" s="380">
        <f t="shared" si="97"/>
        <v>6421791.6041608481</v>
      </c>
      <c r="BZ60" s="380">
        <f t="shared" si="97"/>
        <v>6421791.6041608481</v>
      </c>
      <c r="CA60" s="380">
        <f t="shared" si="97"/>
        <v>6421791.6041608481</v>
      </c>
      <c r="CB60" s="380">
        <f t="shared" si="97"/>
        <v>6421791.6041608481</v>
      </c>
      <c r="CC60" s="380">
        <f t="shared" si="97"/>
        <v>6421791.6041608481</v>
      </c>
      <c r="CD60" s="380">
        <f t="shared" si="97"/>
        <v>6421791.6041608481</v>
      </c>
      <c r="CE60" s="380">
        <f t="shared" ref="CE60:CL60" si="98">CE42</f>
        <v>6421791.6041608481</v>
      </c>
      <c r="CF60" s="380">
        <f t="shared" si="98"/>
        <v>6421791.6041608481</v>
      </c>
      <c r="CG60" s="380">
        <f t="shared" si="98"/>
        <v>6421791.6041608481</v>
      </c>
      <c r="CH60" s="380">
        <f t="shared" si="98"/>
        <v>6421791.6041608481</v>
      </c>
      <c r="CI60" s="380">
        <f t="shared" si="98"/>
        <v>6421791.6041608481</v>
      </c>
      <c r="CJ60" s="380">
        <f t="shared" si="98"/>
        <v>6421791.6041608481</v>
      </c>
      <c r="CK60" s="380">
        <f t="shared" si="98"/>
        <v>6421791.6041608481</v>
      </c>
      <c r="CL60" s="380">
        <f t="shared" si="98"/>
        <v>6421791.6041608481</v>
      </c>
      <c r="CM60" s="375">
        <f t="shared" ref="CM60:CM66" si="99">AVERAGE(G60:CL60)</f>
        <v>6421791.6041608471</v>
      </c>
      <c r="CN60" s="435"/>
      <c r="CO60" s="435"/>
      <c r="CP60" s="435"/>
      <c r="CQ60" s="435"/>
      <c r="CR60" s="435"/>
      <c r="CS60" s="435"/>
      <c r="CT60" s="435"/>
      <c r="CU60" s="435"/>
      <c r="CV60" s="435"/>
      <c r="CW60" s="435"/>
      <c r="CX60" s="435"/>
      <c r="CY60" s="435"/>
      <c r="CZ60" s="435"/>
      <c r="DA60" s="435"/>
      <c r="DB60" s="435"/>
      <c r="DC60" s="435"/>
      <c r="DD60" s="435"/>
      <c r="DE60" s="435"/>
      <c r="DF60" s="435"/>
      <c r="DG60" s="435"/>
      <c r="DH60" s="435"/>
      <c r="DI60" s="435"/>
      <c r="DJ60" s="435"/>
      <c r="DK60" s="435"/>
      <c r="DL60" s="435"/>
      <c r="DM60" s="435"/>
      <c r="DN60" s="435"/>
      <c r="DO60" s="435"/>
      <c r="DP60" s="435"/>
      <c r="DQ60" s="435"/>
      <c r="DR60" s="435"/>
      <c r="DS60" s="435"/>
      <c r="DT60" s="435"/>
      <c r="DU60" s="435"/>
      <c r="DV60" s="435"/>
      <c r="DW60" s="435"/>
      <c r="DX60" s="435"/>
      <c r="DY60" s="435"/>
      <c r="DZ60" s="435"/>
      <c r="EA60" s="435"/>
      <c r="EB60" s="435"/>
      <c r="EC60" s="435"/>
      <c r="ED60" s="435"/>
      <c r="EE60" s="435"/>
      <c r="EF60" s="435"/>
      <c r="EG60" s="435"/>
      <c r="EH60" s="435"/>
      <c r="EI60" s="435"/>
      <c r="EJ60" s="435"/>
      <c r="EK60" s="435"/>
      <c r="EL60" s="435"/>
      <c r="EM60" s="435"/>
      <c r="EN60" s="435"/>
      <c r="EO60" s="435"/>
      <c r="EP60" s="435"/>
      <c r="EQ60" s="435"/>
      <c r="ER60" s="435"/>
      <c r="ES60" s="435"/>
      <c r="ET60" s="435"/>
      <c r="EU60" s="435"/>
      <c r="EV60" s="435"/>
      <c r="EW60" s="435"/>
      <c r="EX60" s="435"/>
      <c r="EY60" s="435"/>
      <c r="EZ60" s="435"/>
      <c r="FA60" s="435"/>
      <c r="FB60" s="435"/>
      <c r="FC60" s="435"/>
      <c r="FD60" s="435"/>
      <c r="FE60" s="435"/>
      <c r="FF60" s="435"/>
      <c r="FG60" s="435"/>
      <c r="FH60" s="435"/>
      <c r="FI60" s="435"/>
      <c r="FJ60" s="435"/>
      <c r="FK60" s="435"/>
      <c r="FL60" s="435"/>
      <c r="FM60" s="435"/>
      <c r="FN60" s="435"/>
      <c r="FO60" s="435"/>
      <c r="FP60" s="435"/>
      <c r="FQ60" s="435"/>
      <c r="FR60" s="435"/>
      <c r="FS60" s="435"/>
      <c r="FT60" s="435"/>
      <c r="FU60" s="435"/>
      <c r="FV60" s="435"/>
    </row>
    <row r="61" spans="1:178">
      <c r="A61" s="1368"/>
      <c r="B61" s="1368"/>
      <c r="C61" s="1368"/>
      <c r="D61" s="1368"/>
      <c r="E61" s="1369"/>
      <c r="F61" s="438" t="s">
        <v>213</v>
      </c>
      <c r="G61" s="439">
        <f t="shared" ref="G61:R61" si="100">G43</f>
        <v>12613011.550000001</v>
      </c>
      <c r="H61" s="439">
        <f t="shared" si="100"/>
        <v>12613011.550000001</v>
      </c>
      <c r="I61" s="439">
        <f t="shared" si="100"/>
        <v>12613011.550000001</v>
      </c>
      <c r="J61" s="439">
        <f t="shared" si="100"/>
        <v>12613011.550000001</v>
      </c>
      <c r="K61" s="439">
        <f t="shared" si="100"/>
        <v>12613011.550000001</v>
      </c>
      <c r="L61" s="439">
        <f t="shared" si="100"/>
        <v>12613011.550000001</v>
      </c>
      <c r="M61" s="439">
        <f t="shared" si="100"/>
        <v>12613011.550000001</v>
      </c>
      <c r="N61" s="439">
        <f t="shared" si="100"/>
        <v>12613011.550000001</v>
      </c>
      <c r="O61" s="439">
        <f t="shared" si="100"/>
        <v>12613011.550000001</v>
      </c>
      <c r="P61" s="439">
        <f t="shared" si="100"/>
        <v>12613011.550000001</v>
      </c>
      <c r="Q61" s="439">
        <f t="shared" si="100"/>
        <v>12613011.550000001</v>
      </c>
      <c r="R61" s="439">
        <f t="shared" si="100"/>
        <v>12613011.550000001</v>
      </c>
      <c r="S61" s="439">
        <f t="shared" ref="S61:AX61" si="101">S43</f>
        <v>12613011.550000001</v>
      </c>
      <c r="T61" s="439">
        <f t="shared" si="101"/>
        <v>12613011.550000001</v>
      </c>
      <c r="U61" s="439">
        <f t="shared" si="101"/>
        <v>12613011.550000001</v>
      </c>
      <c r="V61" s="439">
        <f t="shared" si="101"/>
        <v>12613011.550000001</v>
      </c>
      <c r="W61" s="439">
        <f t="shared" si="101"/>
        <v>12613011.550000001</v>
      </c>
      <c r="X61" s="439">
        <f t="shared" si="101"/>
        <v>12613011.550000001</v>
      </c>
      <c r="Y61" s="439">
        <f t="shared" si="101"/>
        <v>12613011.550000001</v>
      </c>
      <c r="Z61" s="439">
        <f t="shared" si="101"/>
        <v>12613011.550000001</v>
      </c>
      <c r="AA61" s="439">
        <f t="shared" si="101"/>
        <v>12613011.550000001</v>
      </c>
      <c r="AB61" s="439">
        <f t="shared" si="101"/>
        <v>12613011.550000001</v>
      </c>
      <c r="AC61" s="439">
        <f t="shared" si="101"/>
        <v>12613011.550000001</v>
      </c>
      <c r="AD61" s="439">
        <f t="shared" si="101"/>
        <v>12613011.550000001</v>
      </c>
      <c r="AE61" s="439">
        <f t="shared" si="101"/>
        <v>12613011.550000001</v>
      </c>
      <c r="AF61" s="439">
        <f t="shared" si="101"/>
        <v>12613011.550000001</v>
      </c>
      <c r="AG61" s="439">
        <f t="shared" si="101"/>
        <v>12613011.550000001</v>
      </c>
      <c r="AH61" s="439">
        <f t="shared" si="101"/>
        <v>12613011.550000001</v>
      </c>
      <c r="AI61" s="439">
        <f t="shared" si="101"/>
        <v>12613011.550000001</v>
      </c>
      <c r="AJ61" s="439">
        <f t="shared" si="101"/>
        <v>12613011.550000001</v>
      </c>
      <c r="AK61" s="439">
        <f t="shared" si="101"/>
        <v>12613011.550000001</v>
      </c>
      <c r="AL61" s="439">
        <f t="shared" si="101"/>
        <v>12613011.550000001</v>
      </c>
      <c r="AM61" s="439">
        <f t="shared" si="101"/>
        <v>12613011.550000001</v>
      </c>
      <c r="AN61" s="439">
        <f t="shared" si="101"/>
        <v>12613011.550000001</v>
      </c>
      <c r="AO61" s="439">
        <f t="shared" si="101"/>
        <v>12613011.550000001</v>
      </c>
      <c r="AP61" s="439">
        <f t="shared" si="101"/>
        <v>12613011.550000001</v>
      </c>
      <c r="AQ61" s="439">
        <f t="shared" si="101"/>
        <v>12613011.550000001</v>
      </c>
      <c r="AR61" s="439">
        <f t="shared" si="101"/>
        <v>12613011.550000001</v>
      </c>
      <c r="AS61" s="439">
        <f t="shared" si="101"/>
        <v>12613011.550000001</v>
      </c>
      <c r="AT61" s="439">
        <f t="shared" si="101"/>
        <v>12613011.550000001</v>
      </c>
      <c r="AU61" s="380">
        <f t="shared" si="101"/>
        <v>12613011.550000001</v>
      </c>
      <c r="AV61" s="380">
        <f t="shared" si="101"/>
        <v>12613011.550000001</v>
      </c>
      <c r="AW61" s="380">
        <f t="shared" si="101"/>
        <v>12613011.550000001</v>
      </c>
      <c r="AX61" s="380">
        <f t="shared" si="101"/>
        <v>12613011.550000001</v>
      </c>
      <c r="AY61" s="380">
        <f t="shared" ref="AY61:CD61" si="102">AY43</f>
        <v>12613011.550000001</v>
      </c>
      <c r="AZ61" s="380">
        <f t="shared" si="102"/>
        <v>12613011.550000001</v>
      </c>
      <c r="BA61" s="380">
        <f t="shared" si="102"/>
        <v>12613011.550000001</v>
      </c>
      <c r="BB61" s="380">
        <f t="shared" si="102"/>
        <v>12613011.550000001</v>
      </c>
      <c r="BC61" s="380">
        <f t="shared" si="102"/>
        <v>12613011.550000001</v>
      </c>
      <c r="BD61" s="380">
        <f t="shared" si="102"/>
        <v>12613011.550000001</v>
      </c>
      <c r="BE61" s="380">
        <f t="shared" si="102"/>
        <v>12613011.550000001</v>
      </c>
      <c r="BF61" s="380">
        <f t="shared" si="102"/>
        <v>12613011.550000001</v>
      </c>
      <c r="BG61" s="380">
        <f t="shared" si="102"/>
        <v>12613011.550000001</v>
      </c>
      <c r="BH61" s="380">
        <f t="shared" si="102"/>
        <v>12613011.550000001</v>
      </c>
      <c r="BI61" s="380">
        <f t="shared" si="102"/>
        <v>12613011.550000001</v>
      </c>
      <c r="BJ61" s="380">
        <f t="shared" si="102"/>
        <v>12613011.550000001</v>
      </c>
      <c r="BK61" s="380">
        <f t="shared" si="102"/>
        <v>12613011.550000001</v>
      </c>
      <c r="BL61" s="380">
        <f t="shared" si="102"/>
        <v>12613011.550000001</v>
      </c>
      <c r="BM61" s="380">
        <f t="shared" si="102"/>
        <v>12613011.550000001</v>
      </c>
      <c r="BN61" s="380">
        <f t="shared" si="102"/>
        <v>12613011.550000001</v>
      </c>
      <c r="BO61" s="380">
        <f t="shared" si="102"/>
        <v>12613011.550000001</v>
      </c>
      <c r="BP61" s="380">
        <f t="shared" si="102"/>
        <v>12613011.550000001</v>
      </c>
      <c r="BQ61" s="380">
        <f t="shared" si="102"/>
        <v>12613011.550000001</v>
      </c>
      <c r="BR61" s="380">
        <f t="shared" si="102"/>
        <v>12613011.550000001</v>
      </c>
      <c r="BS61" s="380">
        <f t="shared" si="102"/>
        <v>12613011.550000001</v>
      </c>
      <c r="BT61" s="380">
        <f t="shared" si="102"/>
        <v>12613011.550000001</v>
      </c>
      <c r="BU61" s="380">
        <f t="shared" si="102"/>
        <v>12613011.550000001</v>
      </c>
      <c r="BV61" s="380">
        <f t="shared" si="102"/>
        <v>12613011.550000001</v>
      </c>
      <c r="BW61" s="380">
        <f t="shared" si="102"/>
        <v>12613011.550000001</v>
      </c>
      <c r="BX61" s="380">
        <f t="shared" si="102"/>
        <v>12613011.550000001</v>
      </c>
      <c r="BY61" s="380">
        <f t="shared" si="102"/>
        <v>12613011.550000001</v>
      </c>
      <c r="BZ61" s="380">
        <f t="shared" si="102"/>
        <v>12613011.550000001</v>
      </c>
      <c r="CA61" s="380">
        <f t="shared" si="102"/>
        <v>12613011.550000001</v>
      </c>
      <c r="CB61" s="380">
        <f t="shared" si="102"/>
        <v>12613011.550000001</v>
      </c>
      <c r="CC61" s="380">
        <f t="shared" si="102"/>
        <v>12613011.550000001</v>
      </c>
      <c r="CD61" s="380">
        <f t="shared" si="102"/>
        <v>12613011.550000001</v>
      </c>
      <c r="CE61" s="380">
        <f t="shared" ref="CE61:CL61" si="103">CE43</f>
        <v>12613011.550000001</v>
      </c>
      <c r="CF61" s="380">
        <f t="shared" si="103"/>
        <v>12613011.550000001</v>
      </c>
      <c r="CG61" s="380">
        <f t="shared" si="103"/>
        <v>12613011.550000001</v>
      </c>
      <c r="CH61" s="380">
        <f t="shared" si="103"/>
        <v>12613011.550000001</v>
      </c>
      <c r="CI61" s="380">
        <f t="shared" si="103"/>
        <v>12613011.550000001</v>
      </c>
      <c r="CJ61" s="380">
        <f t="shared" si="103"/>
        <v>12613011.550000001</v>
      </c>
      <c r="CK61" s="380">
        <f t="shared" si="103"/>
        <v>12613011.550000001</v>
      </c>
      <c r="CL61" s="380">
        <f t="shared" si="103"/>
        <v>12613011.550000001</v>
      </c>
      <c r="CM61" s="380">
        <f t="shared" si="99"/>
        <v>12613011.54999998</v>
      </c>
      <c r="CN61" s="435"/>
      <c r="CO61" s="435"/>
      <c r="CP61" s="435"/>
      <c r="CQ61" s="435"/>
      <c r="CR61" s="435"/>
      <c r="CS61" s="435"/>
      <c r="CT61" s="435"/>
      <c r="CU61" s="435"/>
      <c r="CV61" s="435"/>
      <c r="CW61" s="435"/>
      <c r="CX61" s="435"/>
      <c r="CY61" s="435"/>
      <c r="CZ61" s="435"/>
      <c r="DA61" s="435"/>
      <c r="DB61" s="435"/>
      <c r="DC61" s="435"/>
      <c r="DD61" s="435"/>
      <c r="DE61" s="435"/>
      <c r="DF61" s="435"/>
      <c r="DG61" s="435"/>
      <c r="DH61" s="435"/>
      <c r="DI61" s="435"/>
      <c r="DJ61" s="435"/>
      <c r="DK61" s="435"/>
      <c r="DL61" s="435"/>
      <c r="DM61" s="435"/>
      <c r="DN61" s="435"/>
      <c r="DO61" s="435"/>
      <c r="DP61" s="435"/>
      <c r="DQ61" s="435"/>
      <c r="DR61" s="435"/>
      <c r="DS61" s="435"/>
      <c r="DT61" s="435"/>
      <c r="DU61" s="435"/>
      <c r="DV61" s="435"/>
      <c r="DW61" s="435"/>
      <c r="DX61" s="435"/>
      <c r="DY61" s="435"/>
      <c r="DZ61" s="435"/>
      <c r="EA61" s="435"/>
      <c r="EB61" s="435"/>
      <c r="EC61" s="435"/>
      <c r="ED61" s="435"/>
      <c r="EE61" s="435"/>
      <c r="EF61" s="435"/>
      <c r="EG61" s="435"/>
      <c r="EH61" s="435"/>
      <c r="EI61" s="435"/>
      <c r="EJ61" s="435"/>
      <c r="EK61" s="435"/>
      <c r="EL61" s="435"/>
      <c r="EM61" s="435"/>
      <c r="EN61" s="435"/>
      <c r="EO61" s="435"/>
      <c r="EP61" s="435"/>
      <c r="EQ61" s="435"/>
      <c r="ER61" s="435"/>
      <c r="ES61" s="435"/>
      <c r="ET61" s="435"/>
      <c r="EU61" s="435"/>
      <c r="EV61" s="435"/>
      <c r="EW61" s="435"/>
      <c r="EX61" s="435"/>
      <c r="EY61" s="435"/>
      <c r="EZ61" s="435"/>
      <c r="FA61" s="435"/>
      <c r="FB61" s="435"/>
      <c r="FC61" s="435"/>
      <c r="FD61" s="435"/>
      <c r="FE61" s="435"/>
      <c r="FF61" s="435"/>
      <c r="FG61" s="435"/>
      <c r="FH61" s="435"/>
      <c r="FI61" s="435"/>
      <c r="FJ61" s="435"/>
      <c r="FK61" s="435"/>
      <c r="FL61" s="435"/>
      <c r="FM61" s="435"/>
      <c r="FN61" s="435"/>
      <c r="FO61" s="435"/>
      <c r="FP61" s="435"/>
      <c r="FQ61" s="435"/>
      <c r="FR61" s="435"/>
      <c r="FS61" s="435"/>
      <c r="FT61" s="435"/>
      <c r="FU61" s="435"/>
      <c r="FV61" s="435"/>
    </row>
    <row r="62" spans="1:178">
      <c r="A62" s="1368"/>
      <c r="B62" s="1368"/>
      <c r="C62" s="1368"/>
      <c r="D62" s="1368"/>
      <c r="E62" s="1369"/>
      <c r="F62" s="509" t="s">
        <v>214</v>
      </c>
      <c r="G62" s="439">
        <f t="shared" ref="G62:R62" si="104">G41</f>
        <v>577198522.33817685</v>
      </c>
      <c r="H62" s="439">
        <f t="shared" si="104"/>
        <v>577198522.33817685</v>
      </c>
      <c r="I62" s="439">
        <f t="shared" si="104"/>
        <v>577198522.33817685</v>
      </c>
      <c r="J62" s="439">
        <f t="shared" si="104"/>
        <v>577200381.91337681</v>
      </c>
      <c r="K62" s="439">
        <f t="shared" si="104"/>
        <v>577631515.5683769</v>
      </c>
      <c r="L62" s="439">
        <f t="shared" si="104"/>
        <v>577632135.42677689</v>
      </c>
      <c r="M62" s="439">
        <f t="shared" si="104"/>
        <v>577632135.42677689</v>
      </c>
      <c r="N62" s="439">
        <f t="shared" si="104"/>
        <v>578843052.84126496</v>
      </c>
      <c r="O62" s="439">
        <f t="shared" si="104"/>
        <v>577632755.28517687</v>
      </c>
      <c r="P62" s="439">
        <f t="shared" si="104"/>
        <v>578845377.31026495</v>
      </c>
      <c r="Q62" s="439">
        <f t="shared" si="104"/>
        <v>580055674.86635494</v>
      </c>
      <c r="R62" s="439">
        <f t="shared" si="104"/>
        <v>581265972.42244482</v>
      </c>
      <c r="S62" s="439">
        <f t="shared" ref="S62:AX62" si="105">S41</f>
        <v>582476889.83693278</v>
      </c>
      <c r="T62" s="439">
        <f t="shared" si="105"/>
        <v>583689275.15835869</v>
      </c>
      <c r="U62" s="439">
        <f t="shared" si="105"/>
        <v>584899797.6274364</v>
      </c>
      <c r="V62" s="439">
        <f t="shared" si="105"/>
        <v>586209476.41527855</v>
      </c>
      <c r="W62" s="439">
        <f t="shared" si="105"/>
        <v>587383845.56370699</v>
      </c>
      <c r="X62" s="439">
        <f t="shared" si="105"/>
        <v>588558214.712134</v>
      </c>
      <c r="Y62" s="439">
        <f t="shared" si="105"/>
        <v>589732583.86056244</v>
      </c>
      <c r="Z62" s="439">
        <f t="shared" si="105"/>
        <v>590906953.00899112</v>
      </c>
      <c r="AA62" s="439">
        <f t="shared" si="105"/>
        <v>592081322.15741789</v>
      </c>
      <c r="AB62" s="439">
        <f t="shared" si="105"/>
        <v>593255691.30584645</v>
      </c>
      <c r="AC62" s="439">
        <f t="shared" si="105"/>
        <v>594430060.45427513</v>
      </c>
      <c r="AD62" s="439">
        <f t="shared" si="105"/>
        <v>595604429.6027019</v>
      </c>
      <c r="AE62" s="439">
        <f t="shared" si="105"/>
        <v>596780435.5269295</v>
      </c>
      <c r="AF62" s="439">
        <f t="shared" si="105"/>
        <v>597953167.89955723</v>
      </c>
      <c r="AG62" s="439">
        <f t="shared" si="105"/>
        <v>599127949.17480946</v>
      </c>
      <c r="AH62" s="439">
        <f t="shared" si="105"/>
        <v>600301906.19641459</v>
      </c>
      <c r="AI62" s="439">
        <f t="shared" si="105"/>
        <v>601476275.34484124</v>
      </c>
      <c r="AJ62" s="439">
        <f t="shared" si="105"/>
        <v>602650644.4932698</v>
      </c>
      <c r="AK62" s="439">
        <f t="shared" si="105"/>
        <v>603825013.64169848</v>
      </c>
      <c r="AL62" s="439">
        <f t="shared" si="105"/>
        <v>604999382.79012525</v>
      </c>
      <c r="AM62" s="439">
        <f t="shared" si="105"/>
        <v>606173751.93855393</v>
      </c>
      <c r="AN62" s="439">
        <f t="shared" si="105"/>
        <v>607348121.0869807</v>
      </c>
      <c r="AO62" s="439">
        <f t="shared" si="105"/>
        <v>608522490.23540938</v>
      </c>
      <c r="AP62" s="439">
        <f t="shared" si="105"/>
        <v>609696859.38383782</v>
      </c>
      <c r="AQ62" s="439">
        <f t="shared" si="105"/>
        <v>610871228.53226459</v>
      </c>
      <c r="AR62" s="439">
        <f t="shared" si="105"/>
        <v>612045597.68069339</v>
      </c>
      <c r="AS62" s="439">
        <f t="shared" si="105"/>
        <v>613219966.82912195</v>
      </c>
      <c r="AT62" s="439">
        <f t="shared" si="105"/>
        <v>480358962.52906466</v>
      </c>
      <c r="AU62" s="380">
        <f t="shared" si="105"/>
        <v>585156042.40356481</v>
      </c>
      <c r="AV62" s="380">
        <f t="shared" si="105"/>
        <v>588266305.13866127</v>
      </c>
      <c r="AW62" s="380">
        <f t="shared" si="105"/>
        <v>568327083.47309601</v>
      </c>
      <c r="AX62" s="380">
        <f t="shared" si="105"/>
        <v>617244859.47590363</v>
      </c>
      <c r="AY62" s="380">
        <f t="shared" ref="AY62:CD62" si="106">AY41</f>
        <v>668882724.94326699</v>
      </c>
      <c r="AZ62" s="380">
        <f t="shared" si="106"/>
        <v>683714063.11193705</v>
      </c>
      <c r="BA62" s="380">
        <f t="shared" si="106"/>
        <v>693159965.16293657</v>
      </c>
      <c r="BB62" s="380">
        <f t="shared" si="106"/>
        <v>682620157.33884144</v>
      </c>
      <c r="BC62" s="380">
        <f t="shared" si="106"/>
        <v>731160553.64582551</v>
      </c>
      <c r="BD62" s="380">
        <f t="shared" si="106"/>
        <v>692170600.59429467</v>
      </c>
      <c r="BE62" s="380">
        <f t="shared" si="106"/>
        <v>651792823.8582499</v>
      </c>
      <c r="BF62" s="380">
        <f t="shared" si="106"/>
        <v>644961217.25700843</v>
      </c>
      <c r="BG62" s="380">
        <f t="shared" si="106"/>
        <v>695591598.84839642</v>
      </c>
      <c r="BH62" s="380">
        <f t="shared" si="106"/>
        <v>625766224.5939306</v>
      </c>
      <c r="BI62" s="380">
        <f t="shared" si="106"/>
        <v>558683796.64690077</v>
      </c>
      <c r="BJ62" s="380">
        <f t="shared" si="106"/>
        <v>546952364.98086476</v>
      </c>
      <c r="BK62" s="380">
        <f t="shared" si="106"/>
        <v>578120284.28986478</v>
      </c>
      <c r="BL62" s="380">
        <f t="shared" si="106"/>
        <v>624589574.23636472</v>
      </c>
      <c r="BM62" s="380">
        <f t="shared" si="106"/>
        <v>576886323.31786478</v>
      </c>
      <c r="BN62" s="380">
        <f t="shared" si="106"/>
        <v>560357865.49526465</v>
      </c>
      <c r="BO62" s="380">
        <f t="shared" si="106"/>
        <v>659371843.60016477</v>
      </c>
      <c r="BP62" s="380">
        <f t="shared" si="106"/>
        <v>648509035.44926488</v>
      </c>
      <c r="BQ62" s="380">
        <f t="shared" si="106"/>
        <v>708137089.06026483</v>
      </c>
      <c r="BR62" s="380">
        <f t="shared" si="106"/>
        <v>613603569.22846472</v>
      </c>
      <c r="BS62" s="380">
        <f t="shared" si="106"/>
        <v>590228952.48026478</v>
      </c>
      <c r="BT62" s="380">
        <f t="shared" si="106"/>
        <v>438321560.52246475</v>
      </c>
      <c r="BU62" s="380">
        <f t="shared" si="106"/>
        <v>526692248.90126473</v>
      </c>
      <c r="BV62" s="380">
        <f t="shared" si="106"/>
        <v>505072761.21266472</v>
      </c>
      <c r="BW62" s="380">
        <f t="shared" si="106"/>
        <v>382372499.34226471</v>
      </c>
      <c r="BX62" s="380">
        <f t="shared" si="106"/>
        <v>367778044.00326473</v>
      </c>
      <c r="BY62" s="380">
        <f t="shared" si="106"/>
        <v>419785425.61786473</v>
      </c>
      <c r="BZ62" s="380">
        <f t="shared" si="106"/>
        <v>482715099.65196478</v>
      </c>
      <c r="CA62" s="380">
        <f t="shared" si="106"/>
        <v>504034642.28836477</v>
      </c>
      <c r="CB62" s="380">
        <f t="shared" si="106"/>
        <v>549559943.23616469</v>
      </c>
      <c r="CC62" s="380">
        <f t="shared" si="106"/>
        <v>589411956.97126472</v>
      </c>
      <c r="CD62" s="380">
        <f t="shared" si="106"/>
        <v>668945943.99966466</v>
      </c>
      <c r="CE62" s="380">
        <f t="shared" ref="CE62:CL62" si="107">CE41</f>
        <v>776799169.30196488</v>
      </c>
      <c r="CF62" s="380">
        <f t="shared" si="107"/>
        <v>695542562.57326472</v>
      </c>
      <c r="CG62" s="380">
        <f t="shared" si="107"/>
        <v>591919062.82126486</v>
      </c>
      <c r="CH62" s="380">
        <f t="shared" si="107"/>
        <v>586536821.26516473</v>
      </c>
      <c r="CI62" s="380">
        <f t="shared" si="107"/>
        <v>634447337.33616483</v>
      </c>
      <c r="CJ62" s="380">
        <f t="shared" si="107"/>
        <v>707840132.61106479</v>
      </c>
      <c r="CK62" s="380">
        <f t="shared" si="107"/>
        <v>807241289.76906478</v>
      </c>
      <c r="CL62" s="380">
        <f t="shared" si="107"/>
        <v>866834210.69146478</v>
      </c>
      <c r="CM62" s="380">
        <f t="shared" si="99"/>
        <v>600702624.90250778</v>
      </c>
      <c r="CN62" s="435"/>
      <c r="CO62" s="435"/>
      <c r="CP62" s="435"/>
      <c r="CQ62" s="435"/>
      <c r="CR62" s="435"/>
      <c r="CS62" s="435"/>
      <c r="CT62" s="435"/>
      <c r="CU62" s="435"/>
      <c r="CV62" s="435"/>
      <c r="CW62" s="435"/>
      <c r="CX62" s="435"/>
      <c r="CY62" s="435"/>
      <c r="CZ62" s="435"/>
      <c r="DA62" s="435"/>
      <c r="DB62" s="435"/>
      <c r="DC62" s="435"/>
      <c r="DD62" s="435"/>
      <c r="DE62" s="435"/>
      <c r="DF62" s="435"/>
      <c r="DG62" s="435"/>
      <c r="DH62" s="435"/>
      <c r="DI62" s="435"/>
      <c r="DJ62" s="435"/>
      <c r="DK62" s="435"/>
      <c r="DL62" s="435"/>
      <c r="DM62" s="435"/>
      <c r="DN62" s="435"/>
      <c r="DO62" s="435"/>
      <c r="DP62" s="435"/>
      <c r="DQ62" s="435"/>
      <c r="DR62" s="435"/>
      <c r="DS62" s="435"/>
      <c r="DT62" s="435"/>
      <c r="DU62" s="435"/>
      <c r="DV62" s="435"/>
      <c r="DW62" s="435"/>
      <c r="DX62" s="435"/>
      <c r="DY62" s="435"/>
      <c r="DZ62" s="435"/>
      <c r="EA62" s="435"/>
      <c r="EB62" s="435"/>
      <c r="EC62" s="435"/>
      <c r="ED62" s="435"/>
      <c r="EE62" s="435"/>
      <c r="EF62" s="435"/>
      <c r="EG62" s="435"/>
      <c r="EH62" s="435"/>
      <c r="EI62" s="435"/>
      <c r="EJ62" s="435"/>
      <c r="EK62" s="435"/>
      <c r="EL62" s="435"/>
      <c r="EM62" s="435"/>
      <c r="EN62" s="435"/>
      <c r="EO62" s="435"/>
      <c r="EP62" s="435"/>
      <c r="EQ62" s="435"/>
      <c r="ER62" s="435"/>
      <c r="ES62" s="435"/>
      <c r="ET62" s="435"/>
      <c r="EU62" s="435"/>
      <c r="EV62" s="435"/>
      <c r="EW62" s="435"/>
      <c r="EX62" s="435"/>
      <c r="EY62" s="435"/>
      <c r="EZ62" s="435"/>
      <c r="FA62" s="435"/>
      <c r="FB62" s="435"/>
      <c r="FC62" s="435"/>
      <c r="FD62" s="435"/>
      <c r="FE62" s="435"/>
      <c r="FF62" s="435"/>
      <c r="FG62" s="435"/>
      <c r="FH62" s="435"/>
      <c r="FI62" s="435"/>
      <c r="FJ62" s="435"/>
      <c r="FK62" s="435"/>
      <c r="FL62" s="435"/>
      <c r="FM62" s="435"/>
      <c r="FN62" s="435"/>
      <c r="FO62" s="435"/>
      <c r="FP62" s="435"/>
      <c r="FQ62" s="435"/>
      <c r="FR62" s="435"/>
      <c r="FS62" s="435"/>
      <c r="FT62" s="435"/>
      <c r="FU62" s="435"/>
      <c r="FV62" s="435"/>
    </row>
    <row r="63" spans="1:178">
      <c r="A63" s="1368"/>
      <c r="B63" s="1368"/>
      <c r="C63" s="1368"/>
      <c r="D63" s="1368"/>
      <c r="E63" s="1369"/>
      <c r="F63" s="438" t="s">
        <v>215</v>
      </c>
      <c r="G63" s="439">
        <f t="shared" ref="G63:R63" si="108">G45</f>
        <v>346567259</v>
      </c>
      <c r="H63" s="439">
        <f t="shared" si="108"/>
        <v>346567259</v>
      </c>
      <c r="I63" s="439">
        <f t="shared" si="108"/>
        <v>346567259</v>
      </c>
      <c r="J63" s="439">
        <f t="shared" si="108"/>
        <v>346567259</v>
      </c>
      <c r="K63" s="439">
        <f t="shared" si="108"/>
        <v>346567259</v>
      </c>
      <c r="L63" s="439">
        <f t="shared" si="108"/>
        <v>346567259</v>
      </c>
      <c r="M63" s="439">
        <f t="shared" si="108"/>
        <v>346567259</v>
      </c>
      <c r="N63" s="439">
        <f t="shared" si="108"/>
        <v>346567259</v>
      </c>
      <c r="O63" s="439">
        <f t="shared" si="108"/>
        <v>346567259</v>
      </c>
      <c r="P63" s="439">
        <f t="shared" si="108"/>
        <v>346567259</v>
      </c>
      <c r="Q63" s="439">
        <f t="shared" si="108"/>
        <v>346567259</v>
      </c>
      <c r="R63" s="439">
        <f t="shared" si="108"/>
        <v>346567259</v>
      </c>
      <c r="S63" s="439">
        <f t="shared" ref="S63:AX63" si="109">S45</f>
        <v>346567259</v>
      </c>
      <c r="T63" s="439">
        <f t="shared" si="109"/>
        <v>346567259</v>
      </c>
      <c r="U63" s="439">
        <f t="shared" si="109"/>
        <v>346567259</v>
      </c>
      <c r="V63" s="439">
        <f t="shared" si="109"/>
        <v>346567259</v>
      </c>
      <c r="W63" s="439">
        <f t="shared" si="109"/>
        <v>346567259</v>
      </c>
      <c r="X63" s="439">
        <f t="shared" si="109"/>
        <v>346567259</v>
      </c>
      <c r="Y63" s="439">
        <f t="shared" si="109"/>
        <v>346567259</v>
      </c>
      <c r="Z63" s="439">
        <f t="shared" si="109"/>
        <v>346567259</v>
      </c>
      <c r="AA63" s="439">
        <f t="shared" si="109"/>
        <v>346567259</v>
      </c>
      <c r="AB63" s="439">
        <f t="shared" si="109"/>
        <v>346567259</v>
      </c>
      <c r="AC63" s="439">
        <f t="shared" si="109"/>
        <v>346567259</v>
      </c>
      <c r="AD63" s="439">
        <f t="shared" si="109"/>
        <v>346567259</v>
      </c>
      <c r="AE63" s="439">
        <f t="shared" si="109"/>
        <v>346567259</v>
      </c>
      <c r="AF63" s="439">
        <f t="shared" si="109"/>
        <v>346567259</v>
      </c>
      <c r="AG63" s="439">
        <f t="shared" si="109"/>
        <v>346567259</v>
      </c>
      <c r="AH63" s="439">
        <f t="shared" si="109"/>
        <v>346567259</v>
      </c>
      <c r="AI63" s="439">
        <f t="shared" si="109"/>
        <v>346567259</v>
      </c>
      <c r="AJ63" s="439">
        <f t="shared" si="109"/>
        <v>346567259</v>
      </c>
      <c r="AK63" s="439">
        <f t="shared" si="109"/>
        <v>346567259</v>
      </c>
      <c r="AL63" s="439">
        <f t="shared" si="109"/>
        <v>346567259</v>
      </c>
      <c r="AM63" s="439">
        <f t="shared" si="109"/>
        <v>346567259</v>
      </c>
      <c r="AN63" s="439">
        <f t="shared" si="109"/>
        <v>346567259</v>
      </c>
      <c r="AO63" s="439">
        <f t="shared" si="109"/>
        <v>346567259</v>
      </c>
      <c r="AP63" s="439">
        <f t="shared" si="109"/>
        <v>346567259</v>
      </c>
      <c r="AQ63" s="439">
        <f t="shared" si="109"/>
        <v>346567259</v>
      </c>
      <c r="AR63" s="439">
        <f t="shared" si="109"/>
        <v>346567259</v>
      </c>
      <c r="AS63" s="439">
        <f t="shared" si="109"/>
        <v>346567259</v>
      </c>
      <c r="AT63" s="439">
        <f t="shared" si="109"/>
        <v>346567259</v>
      </c>
      <c r="AU63" s="380">
        <f t="shared" si="109"/>
        <v>346567259</v>
      </c>
      <c r="AV63" s="380">
        <f t="shared" si="109"/>
        <v>346567259</v>
      </c>
      <c r="AW63" s="380">
        <f t="shared" si="109"/>
        <v>346567259</v>
      </c>
      <c r="AX63" s="380">
        <f t="shared" si="109"/>
        <v>346567259</v>
      </c>
      <c r="AY63" s="380">
        <f t="shared" ref="AY63:CD63" si="110">AY45</f>
        <v>346567259</v>
      </c>
      <c r="AZ63" s="380">
        <f t="shared" si="110"/>
        <v>346567259</v>
      </c>
      <c r="BA63" s="380">
        <f t="shared" si="110"/>
        <v>346567259</v>
      </c>
      <c r="BB63" s="380">
        <f t="shared" si="110"/>
        <v>346567259</v>
      </c>
      <c r="BC63" s="380">
        <f t="shared" si="110"/>
        <v>346567259</v>
      </c>
      <c r="BD63" s="380">
        <f t="shared" si="110"/>
        <v>346567259</v>
      </c>
      <c r="BE63" s="380">
        <f t="shared" si="110"/>
        <v>346567259</v>
      </c>
      <c r="BF63" s="380">
        <f t="shared" si="110"/>
        <v>346567259</v>
      </c>
      <c r="BG63" s="380">
        <f t="shared" si="110"/>
        <v>346567259</v>
      </c>
      <c r="BH63" s="380">
        <f t="shared" si="110"/>
        <v>346567259</v>
      </c>
      <c r="BI63" s="380">
        <f t="shared" si="110"/>
        <v>346567259</v>
      </c>
      <c r="BJ63" s="380">
        <f t="shared" si="110"/>
        <v>346567259</v>
      </c>
      <c r="BK63" s="380">
        <f t="shared" si="110"/>
        <v>346567259</v>
      </c>
      <c r="BL63" s="380">
        <f t="shared" si="110"/>
        <v>346567259</v>
      </c>
      <c r="BM63" s="380">
        <f t="shared" si="110"/>
        <v>346567259</v>
      </c>
      <c r="BN63" s="380">
        <f t="shared" si="110"/>
        <v>346567259</v>
      </c>
      <c r="BO63" s="380">
        <f t="shared" si="110"/>
        <v>346567259</v>
      </c>
      <c r="BP63" s="380">
        <f t="shared" si="110"/>
        <v>346567259</v>
      </c>
      <c r="BQ63" s="380">
        <f t="shared" si="110"/>
        <v>346567259</v>
      </c>
      <c r="BR63" s="380">
        <f t="shared" si="110"/>
        <v>346567259</v>
      </c>
      <c r="BS63" s="380">
        <f t="shared" si="110"/>
        <v>346567259</v>
      </c>
      <c r="BT63" s="380">
        <f t="shared" si="110"/>
        <v>346567259</v>
      </c>
      <c r="BU63" s="380">
        <f t="shared" si="110"/>
        <v>346567259</v>
      </c>
      <c r="BV63" s="380">
        <f t="shared" si="110"/>
        <v>346567259</v>
      </c>
      <c r="BW63" s="380">
        <f t="shared" si="110"/>
        <v>346567259</v>
      </c>
      <c r="BX63" s="380">
        <f t="shared" si="110"/>
        <v>346567259</v>
      </c>
      <c r="BY63" s="380">
        <f t="shared" si="110"/>
        <v>346567259</v>
      </c>
      <c r="BZ63" s="380">
        <f t="shared" si="110"/>
        <v>346567259</v>
      </c>
      <c r="CA63" s="380">
        <f t="shared" si="110"/>
        <v>346567259</v>
      </c>
      <c r="CB63" s="380">
        <f t="shared" si="110"/>
        <v>346567259</v>
      </c>
      <c r="CC63" s="380">
        <f t="shared" si="110"/>
        <v>346567259</v>
      </c>
      <c r="CD63" s="380">
        <f t="shared" si="110"/>
        <v>346567259</v>
      </c>
      <c r="CE63" s="380">
        <f t="shared" ref="CE63:CL63" si="111">CE45</f>
        <v>346567259</v>
      </c>
      <c r="CF63" s="380">
        <f t="shared" si="111"/>
        <v>346567259</v>
      </c>
      <c r="CG63" s="380">
        <f t="shared" si="111"/>
        <v>346567259</v>
      </c>
      <c r="CH63" s="380">
        <f t="shared" si="111"/>
        <v>346567259</v>
      </c>
      <c r="CI63" s="380">
        <f t="shared" si="111"/>
        <v>346567259</v>
      </c>
      <c r="CJ63" s="380">
        <f t="shared" si="111"/>
        <v>346567259</v>
      </c>
      <c r="CK63" s="380">
        <f t="shared" si="111"/>
        <v>346567259</v>
      </c>
      <c r="CL63" s="380">
        <f t="shared" si="111"/>
        <v>346567259</v>
      </c>
      <c r="CM63" s="380">
        <f t="shared" si="99"/>
        <v>346567259</v>
      </c>
      <c r="CN63" s="435"/>
      <c r="CO63" s="435"/>
      <c r="CP63" s="435"/>
      <c r="CQ63" s="435"/>
      <c r="CR63" s="435"/>
      <c r="CS63" s="435"/>
      <c r="CT63" s="435"/>
      <c r="CU63" s="435"/>
      <c r="CV63" s="435"/>
      <c r="CW63" s="435"/>
      <c r="CX63" s="435"/>
      <c r="CY63" s="435"/>
      <c r="CZ63" s="435"/>
      <c r="DA63" s="435"/>
      <c r="DB63" s="435"/>
      <c r="DC63" s="435"/>
      <c r="DD63" s="435"/>
      <c r="DE63" s="435"/>
      <c r="DF63" s="435"/>
      <c r="DG63" s="435"/>
      <c r="DH63" s="435"/>
      <c r="DI63" s="435"/>
      <c r="DJ63" s="435"/>
      <c r="DK63" s="435"/>
      <c r="DL63" s="435"/>
      <c r="DM63" s="435"/>
      <c r="DN63" s="435"/>
      <c r="DO63" s="435"/>
      <c r="DP63" s="435"/>
      <c r="DQ63" s="435"/>
      <c r="DR63" s="435"/>
      <c r="DS63" s="435"/>
      <c r="DT63" s="435"/>
      <c r="DU63" s="435"/>
      <c r="DV63" s="435"/>
      <c r="DW63" s="435"/>
      <c r="DX63" s="435"/>
      <c r="DY63" s="435"/>
      <c r="DZ63" s="435"/>
      <c r="EA63" s="435"/>
      <c r="EB63" s="435"/>
      <c r="EC63" s="435"/>
      <c r="ED63" s="435"/>
      <c r="EE63" s="435"/>
      <c r="EF63" s="435"/>
      <c r="EG63" s="435"/>
      <c r="EH63" s="435"/>
      <c r="EI63" s="435"/>
      <c r="EJ63" s="435"/>
      <c r="EK63" s="435"/>
      <c r="EL63" s="435"/>
      <c r="EM63" s="435"/>
      <c r="EN63" s="435"/>
      <c r="EO63" s="435"/>
      <c r="EP63" s="435"/>
      <c r="EQ63" s="435"/>
      <c r="ER63" s="435"/>
      <c r="ES63" s="435"/>
      <c r="ET63" s="435"/>
      <c r="EU63" s="435"/>
      <c r="EV63" s="435"/>
      <c r="EW63" s="435"/>
      <c r="EX63" s="435"/>
      <c r="EY63" s="435"/>
      <c r="EZ63" s="435"/>
      <c r="FA63" s="435"/>
      <c r="FB63" s="435"/>
      <c r="FC63" s="435"/>
      <c r="FD63" s="435"/>
      <c r="FE63" s="435"/>
      <c r="FF63" s="435"/>
      <c r="FG63" s="435"/>
      <c r="FH63" s="435"/>
      <c r="FI63" s="435"/>
      <c r="FJ63" s="435"/>
      <c r="FK63" s="435"/>
      <c r="FL63" s="435"/>
      <c r="FM63" s="435"/>
      <c r="FN63" s="435"/>
      <c r="FO63" s="435"/>
      <c r="FP63" s="435"/>
      <c r="FQ63" s="435"/>
      <c r="FR63" s="435"/>
      <c r="FS63" s="435"/>
      <c r="FT63" s="435"/>
      <c r="FU63" s="435"/>
      <c r="FV63" s="435"/>
    </row>
    <row r="64" spans="1:178">
      <c r="A64" s="1368"/>
      <c r="B64" s="1368"/>
      <c r="C64" s="1368"/>
      <c r="D64" s="1368"/>
      <c r="E64" s="1369"/>
      <c r="F64" s="438" t="s">
        <v>216</v>
      </c>
      <c r="G64" s="439">
        <f t="shared" ref="G64:R64" si="112">G44</f>
        <v>877099636</v>
      </c>
      <c r="H64" s="439">
        <f t="shared" si="112"/>
        <v>877099636</v>
      </c>
      <c r="I64" s="439">
        <f t="shared" si="112"/>
        <v>877099636</v>
      </c>
      <c r="J64" s="439">
        <f t="shared" si="112"/>
        <v>877099636</v>
      </c>
      <c r="K64" s="439">
        <f t="shared" si="112"/>
        <v>877099636</v>
      </c>
      <c r="L64" s="439">
        <f t="shared" si="112"/>
        <v>877099636</v>
      </c>
      <c r="M64" s="439">
        <f t="shared" si="112"/>
        <v>877099636</v>
      </c>
      <c r="N64" s="439">
        <f t="shared" si="112"/>
        <v>877099636</v>
      </c>
      <c r="O64" s="439">
        <f t="shared" si="112"/>
        <v>877099636</v>
      </c>
      <c r="P64" s="439">
        <f t="shared" si="112"/>
        <v>877099636</v>
      </c>
      <c r="Q64" s="439">
        <f t="shared" si="112"/>
        <v>877099636</v>
      </c>
      <c r="R64" s="439">
        <f t="shared" si="112"/>
        <v>877099636</v>
      </c>
      <c r="S64" s="439">
        <f t="shared" ref="S64:AX64" si="113">S44</f>
        <v>877099636</v>
      </c>
      <c r="T64" s="439">
        <f t="shared" si="113"/>
        <v>877099636</v>
      </c>
      <c r="U64" s="439">
        <f t="shared" si="113"/>
        <v>877099636</v>
      </c>
      <c r="V64" s="439">
        <f t="shared" si="113"/>
        <v>877099636</v>
      </c>
      <c r="W64" s="439">
        <f t="shared" si="113"/>
        <v>877099636</v>
      </c>
      <c r="X64" s="439">
        <f t="shared" si="113"/>
        <v>877099636</v>
      </c>
      <c r="Y64" s="439">
        <f t="shared" si="113"/>
        <v>877099636</v>
      </c>
      <c r="Z64" s="439">
        <f t="shared" si="113"/>
        <v>877099636</v>
      </c>
      <c r="AA64" s="439">
        <f t="shared" si="113"/>
        <v>877099636</v>
      </c>
      <c r="AB64" s="439">
        <f t="shared" si="113"/>
        <v>877099636</v>
      </c>
      <c r="AC64" s="439">
        <f t="shared" si="113"/>
        <v>877099636</v>
      </c>
      <c r="AD64" s="439">
        <f t="shared" si="113"/>
        <v>877099636</v>
      </c>
      <c r="AE64" s="439">
        <f t="shared" si="113"/>
        <v>877099636</v>
      </c>
      <c r="AF64" s="439">
        <f t="shared" si="113"/>
        <v>877099636</v>
      </c>
      <c r="AG64" s="439">
        <f t="shared" si="113"/>
        <v>877099636</v>
      </c>
      <c r="AH64" s="439">
        <f t="shared" si="113"/>
        <v>877099636</v>
      </c>
      <c r="AI64" s="439">
        <f t="shared" si="113"/>
        <v>877099636</v>
      </c>
      <c r="AJ64" s="439">
        <f t="shared" si="113"/>
        <v>877099636</v>
      </c>
      <c r="AK64" s="439">
        <f t="shared" si="113"/>
        <v>877099636</v>
      </c>
      <c r="AL64" s="439">
        <f t="shared" si="113"/>
        <v>877099636</v>
      </c>
      <c r="AM64" s="439">
        <f t="shared" si="113"/>
        <v>877099636</v>
      </c>
      <c r="AN64" s="439">
        <f t="shared" si="113"/>
        <v>877099636</v>
      </c>
      <c r="AO64" s="439">
        <f t="shared" si="113"/>
        <v>877099636</v>
      </c>
      <c r="AP64" s="439">
        <f t="shared" si="113"/>
        <v>877099636</v>
      </c>
      <c r="AQ64" s="439">
        <f t="shared" si="113"/>
        <v>877099636</v>
      </c>
      <c r="AR64" s="439">
        <f t="shared" si="113"/>
        <v>877099636</v>
      </c>
      <c r="AS64" s="439">
        <f t="shared" si="113"/>
        <v>877099636</v>
      </c>
      <c r="AT64" s="439">
        <f t="shared" si="113"/>
        <v>877099636</v>
      </c>
      <c r="AU64" s="380">
        <f t="shared" si="113"/>
        <v>877099636</v>
      </c>
      <c r="AV64" s="380">
        <f t="shared" si="113"/>
        <v>877099636</v>
      </c>
      <c r="AW64" s="380">
        <f t="shared" si="113"/>
        <v>877099636</v>
      </c>
      <c r="AX64" s="380">
        <f t="shared" si="113"/>
        <v>877099636</v>
      </c>
      <c r="AY64" s="380">
        <f t="shared" ref="AY64:CD64" si="114">AY44</f>
        <v>877099636</v>
      </c>
      <c r="AZ64" s="380">
        <f t="shared" si="114"/>
        <v>877099636</v>
      </c>
      <c r="BA64" s="380">
        <f t="shared" si="114"/>
        <v>877099636</v>
      </c>
      <c r="BB64" s="380">
        <f t="shared" si="114"/>
        <v>877099636</v>
      </c>
      <c r="BC64" s="380">
        <f t="shared" si="114"/>
        <v>877099636</v>
      </c>
      <c r="BD64" s="380">
        <f t="shared" si="114"/>
        <v>877099636</v>
      </c>
      <c r="BE64" s="380">
        <f t="shared" si="114"/>
        <v>877099636</v>
      </c>
      <c r="BF64" s="380">
        <f t="shared" si="114"/>
        <v>877099636</v>
      </c>
      <c r="BG64" s="380">
        <f t="shared" si="114"/>
        <v>877099636</v>
      </c>
      <c r="BH64" s="380">
        <f t="shared" si="114"/>
        <v>877099636</v>
      </c>
      <c r="BI64" s="380">
        <f t="shared" si="114"/>
        <v>877099636</v>
      </c>
      <c r="BJ64" s="380">
        <f t="shared" si="114"/>
        <v>877099636</v>
      </c>
      <c r="BK64" s="380">
        <f t="shared" si="114"/>
        <v>877099636</v>
      </c>
      <c r="BL64" s="380">
        <f t="shared" si="114"/>
        <v>877099636</v>
      </c>
      <c r="BM64" s="380">
        <f t="shared" si="114"/>
        <v>877099636</v>
      </c>
      <c r="BN64" s="380">
        <f t="shared" si="114"/>
        <v>877099636</v>
      </c>
      <c r="BO64" s="380">
        <f t="shared" si="114"/>
        <v>877099636</v>
      </c>
      <c r="BP64" s="380">
        <f t="shared" si="114"/>
        <v>877099636</v>
      </c>
      <c r="BQ64" s="380">
        <f t="shared" si="114"/>
        <v>877099636</v>
      </c>
      <c r="BR64" s="380">
        <f t="shared" si="114"/>
        <v>877099636</v>
      </c>
      <c r="BS64" s="380">
        <f t="shared" si="114"/>
        <v>877099636</v>
      </c>
      <c r="BT64" s="380">
        <f t="shared" si="114"/>
        <v>877099636</v>
      </c>
      <c r="BU64" s="380">
        <f t="shared" si="114"/>
        <v>877099636</v>
      </c>
      <c r="BV64" s="380">
        <f t="shared" si="114"/>
        <v>877099636</v>
      </c>
      <c r="BW64" s="380">
        <f t="shared" si="114"/>
        <v>877099636</v>
      </c>
      <c r="BX64" s="380">
        <f t="shared" si="114"/>
        <v>877099636</v>
      </c>
      <c r="BY64" s="380">
        <f t="shared" si="114"/>
        <v>877099636</v>
      </c>
      <c r="BZ64" s="380">
        <f t="shared" si="114"/>
        <v>877099636</v>
      </c>
      <c r="CA64" s="380">
        <f t="shared" si="114"/>
        <v>877099636</v>
      </c>
      <c r="CB64" s="380">
        <f t="shared" si="114"/>
        <v>877099636</v>
      </c>
      <c r="CC64" s="380">
        <f t="shared" si="114"/>
        <v>877099636</v>
      </c>
      <c r="CD64" s="380">
        <f t="shared" si="114"/>
        <v>877099636</v>
      </c>
      <c r="CE64" s="380">
        <f t="shared" ref="CE64:CL64" si="115">CE44</f>
        <v>877099636</v>
      </c>
      <c r="CF64" s="380">
        <f t="shared" si="115"/>
        <v>877099636</v>
      </c>
      <c r="CG64" s="380">
        <f t="shared" si="115"/>
        <v>877099636</v>
      </c>
      <c r="CH64" s="380">
        <f t="shared" si="115"/>
        <v>877099636</v>
      </c>
      <c r="CI64" s="380">
        <f t="shared" si="115"/>
        <v>877099636</v>
      </c>
      <c r="CJ64" s="380">
        <f t="shared" si="115"/>
        <v>877099636</v>
      </c>
      <c r="CK64" s="380">
        <f t="shared" si="115"/>
        <v>877099636</v>
      </c>
      <c r="CL64" s="380">
        <f t="shared" si="115"/>
        <v>877099636</v>
      </c>
      <c r="CM64" s="380">
        <f t="shared" si="99"/>
        <v>877099636</v>
      </c>
      <c r="CN64" s="435"/>
      <c r="CO64" s="435"/>
      <c r="CP64" s="435"/>
      <c r="CQ64" s="435"/>
      <c r="CR64" s="435"/>
      <c r="CS64" s="435"/>
      <c r="CT64" s="435"/>
      <c r="CU64" s="435"/>
      <c r="CV64" s="435"/>
      <c r="CW64" s="435"/>
      <c r="CX64" s="435"/>
      <c r="CY64" s="435"/>
      <c r="CZ64" s="435"/>
      <c r="DA64" s="435"/>
      <c r="DB64" s="435"/>
      <c r="DC64" s="435"/>
      <c r="DD64" s="435"/>
      <c r="DE64" s="435"/>
      <c r="DF64" s="435"/>
      <c r="DG64" s="435"/>
      <c r="DH64" s="435"/>
      <c r="DI64" s="435"/>
      <c r="DJ64" s="435"/>
      <c r="DK64" s="435"/>
      <c r="DL64" s="435"/>
      <c r="DM64" s="435"/>
      <c r="DN64" s="435"/>
      <c r="DO64" s="435"/>
      <c r="DP64" s="435"/>
      <c r="DQ64" s="435"/>
      <c r="DR64" s="435"/>
      <c r="DS64" s="435"/>
      <c r="DT64" s="435"/>
      <c r="DU64" s="435"/>
      <c r="DV64" s="435"/>
      <c r="DW64" s="435"/>
      <c r="DX64" s="435"/>
      <c r="DY64" s="435"/>
      <c r="DZ64" s="435"/>
      <c r="EA64" s="435"/>
      <c r="EB64" s="435"/>
      <c r="EC64" s="435"/>
      <c r="ED64" s="435"/>
      <c r="EE64" s="435"/>
      <c r="EF64" s="435"/>
      <c r="EG64" s="435"/>
      <c r="EH64" s="435"/>
      <c r="EI64" s="435"/>
      <c r="EJ64" s="435"/>
      <c r="EK64" s="435"/>
      <c r="EL64" s="435"/>
      <c r="EM64" s="435"/>
      <c r="EN64" s="435"/>
      <c r="EO64" s="435"/>
      <c r="EP64" s="435"/>
      <c r="EQ64" s="435"/>
      <c r="ER64" s="435"/>
      <c r="ES64" s="435"/>
      <c r="ET64" s="435"/>
      <c r="EU64" s="435"/>
      <c r="EV64" s="435"/>
      <c r="EW64" s="435"/>
      <c r="EX64" s="435"/>
      <c r="EY64" s="435"/>
      <c r="EZ64" s="435"/>
      <c r="FA64" s="435"/>
      <c r="FB64" s="435"/>
      <c r="FC64" s="435"/>
      <c r="FD64" s="435"/>
      <c r="FE64" s="435"/>
      <c r="FF64" s="435"/>
      <c r="FG64" s="435"/>
      <c r="FH64" s="435"/>
      <c r="FI64" s="435"/>
      <c r="FJ64" s="435"/>
      <c r="FK64" s="435"/>
      <c r="FL64" s="435"/>
      <c r="FM64" s="435"/>
      <c r="FN64" s="435"/>
      <c r="FO64" s="435"/>
      <c r="FP64" s="435"/>
      <c r="FQ64" s="435"/>
      <c r="FR64" s="435"/>
      <c r="FS64" s="435"/>
      <c r="FT64" s="435"/>
      <c r="FU64" s="435"/>
      <c r="FV64" s="435"/>
    </row>
    <row r="65" spans="1:178">
      <c r="A65" s="1368"/>
      <c r="B65" s="1368"/>
      <c r="C65" s="1368"/>
      <c r="D65" s="1368"/>
      <c r="E65" s="1369"/>
      <c r="F65" s="438" t="s">
        <v>217</v>
      </c>
      <c r="G65" s="439">
        <f t="shared" ref="G65:R65" si="116">SUM(G60:G64)</f>
        <v>1819900220.4923377</v>
      </c>
      <c r="H65" s="439">
        <f t="shared" si="116"/>
        <v>1819900220.4923377</v>
      </c>
      <c r="I65" s="439">
        <f t="shared" si="116"/>
        <v>1819900220.4923377</v>
      </c>
      <c r="J65" s="439">
        <f t="shared" si="116"/>
        <v>1819902080.0675378</v>
      </c>
      <c r="K65" s="439">
        <f t="shared" si="116"/>
        <v>1820333213.7225378</v>
      </c>
      <c r="L65" s="439">
        <f t="shared" si="116"/>
        <v>1820333833.5809379</v>
      </c>
      <c r="M65" s="439">
        <f t="shared" si="116"/>
        <v>1820333833.5809379</v>
      </c>
      <c r="N65" s="439">
        <f t="shared" si="116"/>
        <v>1821544750.9954257</v>
      </c>
      <c r="O65" s="439">
        <f t="shared" si="116"/>
        <v>1820334453.4393377</v>
      </c>
      <c r="P65" s="439">
        <f t="shared" si="116"/>
        <v>1821547075.4644258</v>
      </c>
      <c r="Q65" s="439">
        <f t="shared" si="116"/>
        <v>1822757373.0205159</v>
      </c>
      <c r="R65" s="439">
        <f t="shared" si="116"/>
        <v>1823967670.5766058</v>
      </c>
      <c r="S65" s="439">
        <f t="shared" ref="S65:AS65" si="117">SUM(S60:S64)</f>
        <v>1825178587.9910936</v>
      </c>
      <c r="T65" s="439">
        <f t="shared" si="117"/>
        <v>1826390973.3125196</v>
      </c>
      <c r="U65" s="439">
        <f t="shared" si="117"/>
        <v>1827601495.7815971</v>
      </c>
      <c r="V65" s="439">
        <f t="shared" si="117"/>
        <v>1828911174.5694394</v>
      </c>
      <c r="W65" s="439">
        <f t="shared" si="117"/>
        <v>1830085543.7178679</v>
      </c>
      <c r="X65" s="439">
        <f t="shared" si="117"/>
        <v>1831259912.8662949</v>
      </c>
      <c r="Y65" s="439">
        <f t="shared" si="117"/>
        <v>1832434282.0147233</v>
      </c>
      <c r="Z65" s="439">
        <f t="shared" si="117"/>
        <v>1833608651.163152</v>
      </c>
      <c r="AA65" s="439">
        <f t="shared" si="117"/>
        <v>1834783020.3115788</v>
      </c>
      <c r="AB65" s="439">
        <f t="shared" si="117"/>
        <v>1835957389.4600072</v>
      </c>
      <c r="AC65" s="439">
        <f t="shared" si="117"/>
        <v>1837131758.6084361</v>
      </c>
      <c r="AD65" s="439">
        <f t="shared" si="117"/>
        <v>1838306127.7568626</v>
      </c>
      <c r="AE65" s="439">
        <f t="shared" si="117"/>
        <v>1839482133.6810904</v>
      </c>
      <c r="AF65" s="439">
        <f t="shared" si="117"/>
        <v>1840654866.0537181</v>
      </c>
      <c r="AG65" s="439">
        <f t="shared" si="117"/>
        <v>1841829647.3289704</v>
      </c>
      <c r="AH65" s="439">
        <f t="shared" si="117"/>
        <v>1843003604.3505754</v>
      </c>
      <c r="AI65" s="439">
        <f t="shared" si="117"/>
        <v>1844177973.499002</v>
      </c>
      <c r="AJ65" s="439">
        <f t="shared" si="117"/>
        <v>1845352342.6474307</v>
      </c>
      <c r="AK65" s="439">
        <f t="shared" si="117"/>
        <v>1846526711.7958593</v>
      </c>
      <c r="AL65" s="439">
        <f t="shared" si="117"/>
        <v>1847701080.9442861</v>
      </c>
      <c r="AM65" s="439">
        <f t="shared" si="117"/>
        <v>1848875450.0927148</v>
      </c>
      <c r="AN65" s="439">
        <f t="shared" si="117"/>
        <v>1850049819.2411416</v>
      </c>
      <c r="AO65" s="439">
        <f t="shared" si="117"/>
        <v>1851224188.3895702</v>
      </c>
      <c r="AP65" s="439">
        <f t="shared" si="117"/>
        <v>1852398557.5379987</v>
      </c>
      <c r="AQ65" s="439">
        <f t="shared" si="117"/>
        <v>1853572926.6864254</v>
      </c>
      <c r="AR65" s="439">
        <f t="shared" si="117"/>
        <v>1854747295.8348541</v>
      </c>
      <c r="AS65" s="439">
        <f t="shared" si="117"/>
        <v>1855921664.9832828</v>
      </c>
      <c r="AT65" s="439">
        <f>SUM(AT60:AT64)</f>
        <v>1723060660.6832256</v>
      </c>
      <c r="AU65" s="380">
        <f>SUM(AU60:AU64)</f>
        <v>1827857740.5577257</v>
      </c>
      <c r="AV65" s="380">
        <f t="shared" ref="AV65:CL65" si="118">SUM(AV60:AV64)</f>
        <v>1830968003.2928221</v>
      </c>
      <c r="AW65" s="380">
        <f t="shared" si="118"/>
        <v>1811028781.6272569</v>
      </c>
      <c r="AX65" s="380">
        <f t="shared" si="118"/>
        <v>1859946557.6300645</v>
      </c>
      <c r="AY65" s="380">
        <f t="shared" si="118"/>
        <v>1911584423.0974278</v>
      </c>
      <c r="AZ65" s="380">
        <f t="shared" si="118"/>
        <v>1926415761.266098</v>
      </c>
      <c r="BA65" s="380">
        <f t="shared" si="118"/>
        <v>1935861663.3170974</v>
      </c>
      <c r="BB65" s="380">
        <f t="shared" si="118"/>
        <v>1925321855.4930024</v>
      </c>
      <c r="BC65" s="380">
        <f t="shared" si="118"/>
        <v>1973862251.7999864</v>
      </c>
      <c r="BD65" s="380">
        <f t="shared" si="118"/>
        <v>1934872298.7484555</v>
      </c>
      <c r="BE65" s="380">
        <f t="shared" si="118"/>
        <v>1894494522.0124106</v>
      </c>
      <c r="BF65" s="380">
        <f t="shared" si="118"/>
        <v>1887662915.4111693</v>
      </c>
      <c r="BG65" s="380">
        <f t="shared" si="118"/>
        <v>1938293297.0025573</v>
      </c>
      <c r="BH65" s="380">
        <f t="shared" si="118"/>
        <v>1868467922.7480915</v>
      </c>
      <c r="BI65" s="380">
        <f t="shared" si="118"/>
        <v>1801385494.8010616</v>
      </c>
      <c r="BJ65" s="380">
        <f t="shared" si="118"/>
        <v>1789654063.1350255</v>
      </c>
      <c r="BK65" s="380">
        <f t="shared" si="118"/>
        <v>1820821982.4440255</v>
      </c>
      <c r="BL65" s="380">
        <f t="shared" si="118"/>
        <v>1867291272.3905256</v>
      </c>
      <c r="BM65" s="380">
        <f t="shared" si="118"/>
        <v>1819588021.4720256</v>
      </c>
      <c r="BN65" s="380">
        <f t="shared" si="118"/>
        <v>1803059563.6494255</v>
      </c>
      <c r="BO65" s="380">
        <f t="shared" si="118"/>
        <v>1902073541.7543256</v>
      </c>
      <c r="BP65" s="380">
        <f t="shared" si="118"/>
        <v>1891210733.6034257</v>
      </c>
      <c r="BQ65" s="380">
        <f t="shared" si="118"/>
        <v>1950838787.2144256</v>
      </c>
      <c r="BR65" s="380">
        <f t="shared" si="118"/>
        <v>1856305267.3826256</v>
      </c>
      <c r="BS65" s="380">
        <f t="shared" si="118"/>
        <v>1832930650.6344256</v>
      </c>
      <c r="BT65" s="380">
        <f t="shared" si="118"/>
        <v>1681023258.6766257</v>
      </c>
      <c r="BU65" s="380">
        <f t="shared" si="118"/>
        <v>1769393947.0554256</v>
      </c>
      <c r="BV65" s="380">
        <f t="shared" si="118"/>
        <v>1747774459.3668256</v>
      </c>
      <c r="BW65" s="380">
        <f t="shared" si="118"/>
        <v>1625074197.4964256</v>
      </c>
      <c r="BX65" s="380">
        <f t="shared" si="118"/>
        <v>1610479742.1574256</v>
      </c>
      <c r="BY65" s="380">
        <f t="shared" si="118"/>
        <v>1662487123.7720256</v>
      </c>
      <c r="BZ65" s="380">
        <f t="shared" si="118"/>
        <v>1725416797.8061256</v>
      </c>
      <c r="CA65" s="380">
        <f t="shared" si="118"/>
        <v>1746736340.4425256</v>
      </c>
      <c r="CB65" s="380">
        <f t="shared" si="118"/>
        <v>1792261641.3903255</v>
      </c>
      <c r="CC65" s="380">
        <f t="shared" si="118"/>
        <v>1832113655.1254256</v>
      </c>
      <c r="CD65" s="380">
        <f t="shared" si="118"/>
        <v>1911647642.1538255</v>
      </c>
      <c r="CE65" s="380">
        <f t="shared" si="118"/>
        <v>2019500867.4561257</v>
      </c>
      <c r="CF65" s="380">
        <f t="shared" si="118"/>
        <v>1938244260.7274256</v>
      </c>
      <c r="CG65" s="380">
        <f t="shared" si="118"/>
        <v>1834620760.9754257</v>
      </c>
      <c r="CH65" s="380">
        <f t="shared" si="118"/>
        <v>1829238519.4193256</v>
      </c>
      <c r="CI65" s="380">
        <f t="shared" si="118"/>
        <v>1877149035.4903257</v>
      </c>
      <c r="CJ65" s="380">
        <f t="shared" si="118"/>
        <v>1950541830.7652256</v>
      </c>
      <c r="CK65" s="380">
        <f t="shared" si="118"/>
        <v>2049942987.9232256</v>
      </c>
      <c r="CL65" s="380">
        <f t="shared" si="118"/>
        <v>2109535908.8456256</v>
      </c>
      <c r="CM65" s="380">
        <f t="shared" si="99"/>
        <v>1843404323.0566678</v>
      </c>
      <c r="CN65" s="435"/>
      <c r="CO65" s="435"/>
      <c r="CP65" s="435"/>
      <c r="CQ65" s="435"/>
      <c r="CR65" s="435"/>
      <c r="CS65" s="435"/>
      <c r="CT65" s="435"/>
      <c r="CU65" s="435"/>
      <c r="CV65" s="435"/>
      <c r="CW65" s="435"/>
      <c r="CX65" s="435"/>
      <c r="CY65" s="435"/>
      <c r="CZ65" s="435"/>
      <c r="DA65" s="435"/>
      <c r="DB65" s="435"/>
      <c r="DC65" s="435"/>
      <c r="DD65" s="435"/>
      <c r="DE65" s="435"/>
      <c r="DF65" s="435"/>
      <c r="DG65" s="435"/>
      <c r="DH65" s="435"/>
      <c r="DI65" s="435"/>
      <c r="DJ65" s="435"/>
      <c r="DK65" s="435"/>
      <c r="DL65" s="435"/>
      <c r="DM65" s="435"/>
      <c r="DN65" s="435"/>
      <c r="DO65" s="435"/>
      <c r="DP65" s="435"/>
      <c r="DQ65" s="435"/>
      <c r="DR65" s="435"/>
      <c r="DS65" s="435"/>
      <c r="DT65" s="435"/>
      <c r="DU65" s="435"/>
      <c r="DV65" s="435"/>
      <c r="DW65" s="435"/>
      <c r="DX65" s="435"/>
      <c r="DY65" s="435"/>
      <c r="DZ65" s="435"/>
      <c r="EA65" s="435"/>
      <c r="EB65" s="435"/>
      <c r="EC65" s="435"/>
      <c r="ED65" s="435"/>
      <c r="EE65" s="435"/>
      <c r="EF65" s="435"/>
      <c r="EG65" s="435"/>
      <c r="EH65" s="435"/>
      <c r="EI65" s="435"/>
      <c r="EJ65" s="435"/>
      <c r="EK65" s="435"/>
      <c r="EL65" s="435"/>
      <c r="EM65" s="435"/>
      <c r="EN65" s="435"/>
      <c r="EO65" s="435"/>
      <c r="EP65" s="435"/>
      <c r="EQ65" s="435"/>
      <c r="ER65" s="435"/>
      <c r="ES65" s="435"/>
      <c r="ET65" s="435"/>
      <c r="EU65" s="435"/>
      <c r="EV65" s="435"/>
      <c r="EW65" s="435"/>
      <c r="EX65" s="435"/>
      <c r="EY65" s="435"/>
      <c r="EZ65" s="435"/>
      <c r="FA65" s="435"/>
      <c r="FB65" s="435"/>
      <c r="FC65" s="435"/>
      <c r="FD65" s="435"/>
      <c r="FE65" s="435"/>
      <c r="FF65" s="435"/>
      <c r="FG65" s="435"/>
      <c r="FH65" s="435"/>
      <c r="FI65" s="435"/>
      <c r="FJ65" s="435"/>
      <c r="FK65" s="435"/>
      <c r="FL65" s="435"/>
      <c r="FM65" s="435"/>
      <c r="FN65" s="435"/>
      <c r="FO65" s="435"/>
      <c r="FP65" s="435"/>
      <c r="FQ65" s="435"/>
      <c r="FR65" s="435"/>
      <c r="FS65" s="435"/>
      <c r="FT65" s="435"/>
      <c r="FU65" s="435"/>
      <c r="FV65" s="435"/>
    </row>
    <row r="66" spans="1:178">
      <c r="A66" s="1368"/>
      <c r="B66" s="1368"/>
      <c r="C66" s="1368"/>
      <c r="D66" s="1368"/>
      <c r="E66" s="1369"/>
      <c r="F66" s="438" t="s">
        <v>218</v>
      </c>
      <c r="G66" s="439">
        <f t="shared" ref="G66:R66" si="119">(0.101511101973684*G17*0.85*G3/0.685)+(0.20964*G16*0.5/0.82)</f>
        <v>281435707.82219321</v>
      </c>
      <c r="H66" s="439">
        <f t="shared" si="119"/>
        <v>234787425.00694209</v>
      </c>
      <c r="I66" s="439">
        <f t="shared" si="119"/>
        <v>215291290.440056</v>
      </c>
      <c r="J66" s="439">
        <f t="shared" si="119"/>
        <v>164713663.64232892</v>
      </c>
      <c r="K66" s="439">
        <f t="shared" si="119"/>
        <v>174211050.94885901</v>
      </c>
      <c r="L66" s="439">
        <f t="shared" si="119"/>
        <v>194961044.36143717</v>
      </c>
      <c r="M66" s="439">
        <f t="shared" si="119"/>
        <v>180059275.66355336</v>
      </c>
      <c r="N66" s="439">
        <f t="shared" si="119"/>
        <v>185015964.58339983</v>
      </c>
      <c r="O66" s="439">
        <f t="shared" si="119"/>
        <v>161292609.62729824</v>
      </c>
      <c r="P66" s="439">
        <f t="shared" si="119"/>
        <v>156856200.98756796</v>
      </c>
      <c r="Q66" s="439">
        <f t="shared" si="119"/>
        <v>148238439.31611639</v>
      </c>
      <c r="R66" s="439">
        <f t="shared" si="119"/>
        <v>130113312.89249022</v>
      </c>
      <c r="S66" s="439">
        <f t="shared" ref="S66:AX66" si="120">(0.101511101973684*S17*0.85*S3/0.685)+(0.20964*S16*0.5/0.82)</f>
        <v>146143127.70143068</v>
      </c>
      <c r="T66" s="439">
        <f t="shared" si="120"/>
        <v>163056230.47809884</v>
      </c>
      <c r="U66" s="439">
        <f t="shared" si="120"/>
        <v>190957782.18812796</v>
      </c>
      <c r="V66" s="439">
        <f t="shared" si="120"/>
        <v>144870512.12981129</v>
      </c>
      <c r="W66" s="439">
        <f t="shared" si="120"/>
        <v>120982770.00149171</v>
      </c>
      <c r="X66" s="439">
        <f t="shared" si="120"/>
        <v>120280006.43458201</v>
      </c>
      <c r="Y66" s="439">
        <f t="shared" si="120"/>
        <v>132481972.08304933</v>
      </c>
      <c r="Z66" s="439">
        <f t="shared" si="120"/>
        <v>135423628.42949432</v>
      </c>
      <c r="AA66" s="439">
        <f t="shared" si="120"/>
        <v>138017012.56578937</v>
      </c>
      <c r="AB66" s="439">
        <f t="shared" si="120"/>
        <v>122979116.063244</v>
      </c>
      <c r="AC66" s="439">
        <f t="shared" si="120"/>
        <v>118737658.07534657</v>
      </c>
      <c r="AD66" s="439">
        <f t="shared" si="120"/>
        <v>122556214.09377621</v>
      </c>
      <c r="AE66" s="439">
        <f t="shared" si="120"/>
        <v>141176339.04357803</v>
      </c>
      <c r="AF66" s="439">
        <f t="shared" si="120"/>
        <v>164578987.73633161</v>
      </c>
      <c r="AG66" s="439">
        <f t="shared" si="120"/>
        <v>160231804.25606728</v>
      </c>
      <c r="AH66" s="439">
        <f t="shared" si="120"/>
        <v>184169299.55726543</v>
      </c>
      <c r="AI66" s="439">
        <f t="shared" si="120"/>
        <v>212205212.4743351</v>
      </c>
      <c r="AJ66" s="439">
        <f t="shared" si="120"/>
        <v>196246882.27353635</v>
      </c>
      <c r="AK66" s="439">
        <f t="shared" si="120"/>
        <v>172284510.38589892</v>
      </c>
      <c r="AL66" s="439">
        <f t="shared" si="120"/>
        <v>154261423.51063985</v>
      </c>
      <c r="AM66" s="439">
        <f t="shared" si="120"/>
        <v>154323614.97673804</v>
      </c>
      <c r="AN66" s="439">
        <f t="shared" si="120"/>
        <v>138091642.32510719</v>
      </c>
      <c r="AO66" s="439">
        <f t="shared" si="120"/>
        <v>167166152.72601685</v>
      </c>
      <c r="AP66" s="439">
        <f t="shared" si="120"/>
        <v>192558928.33391294</v>
      </c>
      <c r="AQ66" s="439">
        <f t="shared" si="120"/>
        <v>232448534.68929997</v>
      </c>
      <c r="AR66" s="439">
        <f t="shared" si="120"/>
        <v>231832839.1749278</v>
      </c>
      <c r="AS66" s="439">
        <f t="shared" si="120"/>
        <v>235359095.3026959</v>
      </c>
      <c r="AT66" s="439">
        <f t="shared" si="120"/>
        <v>233508585.29463226</v>
      </c>
      <c r="AU66" s="380">
        <f t="shared" si="120"/>
        <v>210040378.29352093</v>
      </c>
      <c r="AV66" s="380">
        <f t="shared" si="120"/>
        <v>194114336.73370069</v>
      </c>
      <c r="AW66" s="380">
        <f t="shared" si="120"/>
        <v>193811497.74299863</v>
      </c>
      <c r="AX66" s="380">
        <f t="shared" si="120"/>
        <v>210047855.55348936</v>
      </c>
      <c r="AY66" s="380">
        <f t="shared" ref="AY66:CD66" si="121">(0.101511101973684*AY17*0.85*AY3/0.685)+(0.20964*AY16*0.5/0.82)</f>
        <v>236102498.70612854</v>
      </c>
      <c r="AZ66" s="380">
        <f t="shared" si="121"/>
        <v>237109254.30247012</v>
      </c>
      <c r="BA66" s="380">
        <f t="shared" si="121"/>
        <v>250866174.02416143</v>
      </c>
      <c r="BB66" s="380">
        <f t="shared" si="121"/>
        <v>269696971.02460462</v>
      </c>
      <c r="BC66" s="380">
        <f t="shared" si="121"/>
        <v>299831624.20078731</v>
      </c>
      <c r="BD66" s="380">
        <f t="shared" si="121"/>
        <v>241331657.43123114</v>
      </c>
      <c r="BE66" s="380">
        <f t="shared" si="121"/>
        <v>195931066.47148225</v>
      </c>
      <c r="BF66" s="380">
        <f t="shared" si="121"/>
        <v>189289579.02374715</v>
      </c>
      <c r="BG66" s="380">
        <f t="shared" si="121"/>
        <v>194905078.29219893</v>
      </c>
      <c r="BH66" s="380">
        <f t="shared" si="121"/>
        <v>211717410.57644424</v>
      </c>
      <c r="BI66" s="380">
        <f t="shared" si="121"/>
        <v>222481963.07468751</v>
      </c>
      <c r="BJ66" s="380">
        <f t="shared" si="121"/>
        <v>227834062.6115379</v>
      </c>
      <c r="BK66" s="380">
        <f t="shared" si="121"/>
        <v>185710025.21584097</v>
      </c>
      <c r="BL66" s="380">
        <f t="shared" si="121"/>
        <v>160489382.07000297</v>
      </c>
      <c r="BM66" s="380">
        <f t="shared" si="121"/>
        <v>163552609.64813861</v>
      </c>
      <c r="BN66" s="380">
        <f t="shared" si="121"/>
        <v>155386711.04060978</v>
      </c>
      <c r="BO66" s="380">
        <f t="shared" si="121"/>
        <v>185560709.02313861</v>
      </c>
      <c r="BP66" s="380">
        <f t="shared" si="121"/>
        <v>191070658.75987929</v>
      </c>
      <c r="BQ66" s="380">
        <f t="shared" si="121"/>
        <v>194835563.44952825</v>
      </c>
      <c r="BR66" s="380">
        <f t="shared" si="121"/>
        <v>250628793.66918865</v>
      </c>
      <c r="BS66" s="380">
        <f t="shared" si="121"/>
        <v>224642786.31046003</v>
      </c>
      <c r="BT66" s="380">
        <f t="shared" si="121"/>
        <v>198571107.47850579</v>
      </c>
      <c r="BU66" s="380">
        <f t="shared" si="121"/>
        <v>109027721.4902194</v>
      </c>
      <c r="BV66" s="380">
        <f t="shared" si="121"/>
        <v>160011938.16890919</v>
      </c>
      <c r="BW66" s="380">
        <f t="shared" si="121"/>
        <v>164924003.03266943</v>
      </c>
      <c r="BX66" s="380">
        <f t="shared" si="121"/>
        <v>167925451.14943621</v>
      </c>
      <c r="BY66" s="380">
        <f t="shared" si="121"/>
        <v>169543041.12815931</v>
      </c>
      <c r="BZ66" s="380">
        <f t="shared" si="121"/>
        <v>166866600.25112686</v>
      </c>
      <c r="CA66" s="380">
        <f t="shared" si="121"/>
        <v>171387267.49406376</v>
      </c>
      <c r="CB66" s="380">
        <f t="shared" si="121"/>
        <v>198643838.05695349</v>
      </c>
      <c r="CC66" s="380">
        <f t="shared" si="121"/>
        <v>206015836.11753744</v>
      </c>
      <c r="CD66" s="380">
        <f t="shared" si="121"/>
        <v>250224191.59243733</v>
      </c>
      <c r="CE66" s="380">
        <f t="shared" ref="CE66:CL66" si="122">(0.101511101973684*CE17*0.85*CE3/0.685)+(0.20964*CE16*0.5/0.82)</f>
        <v>273977355.76348162</v>
      </c>
      <c r="CF66" s="380">
        <f t="shared" si="122"/>
        <v>283182475.8731488</v>
      </c>
      <c r="CG66" s="380">
        <f t="shared" si="122"/>
        <v>259507654.2716687</v>
      </c>
      <c r="CH66" s="380">
        <f t="shared" si="122"/>
        <v>225883114.06086698</v>
      </c>
      <c r="CI66" s="380">
        <f t="shared" si="122"/>
        <v>242679566.07008663</v>
      </c>
      <c r="CJ66" s="380">
        <f t="shared" si="122"/>
        <v>287081616.86470199</v>
      </c>
      <c r="CK66" s="380">
        <f t="shared" si="122"/>
        <v>304205940.53168011</v>
      </c>
      <c r="CL66" s="380">
        <f t="shared" si="122"/>
        <v>303908123.83227217</v>
      </c>
      <c r="CM66" s="380">
        <f t="shared" si="99"/>
        <v>193981682.83423057</v>
      </c>
      <c r="CN66" s="435"/>
      <c r="CO66" s="435"/>
      <c r="CP66" s="435"/>
      <c r="CQ66" s="435"/>
      <c r="CR66" s="435"/>
      <c r="CS66" s="435"/>
      <c r="CT66" s="435"/>
      <c r="CU66" s="435"/>
      <c r="CV66" s="435"/>
      <c r="CW66" s="435"/>
      <c r="CX66" s="435"/>
      <c r="CY66" s="435"/>
      <c r="CZ66" s="435"/>
      <c r="DA66" s="435"/>
      <c r="DB66" s="435"/>
      <c r="DC66" s="435"/>
      <c r="DD66" s="435"/>
      <c r="DE66" s="435"/>
      <c r="DF66" s="435"/>
      <c r="DG66" s="435"/>
      <c r="DH66" s="435"/>
      <c r="DI66" s="435"/>
      <c r="DJ66" s="435"/>
      <c r="DK66" s="435"/>
      <c r="DL66" s="435"/>
      <c r="DM66" s="435"/>
      <c r="DN66" s="435"/>
      <c r="DO66" s="435"/>
      <c r="DP66" s="435"/>
      <c r="DQ66" s="435"/>
      <c r="DR66" s="435"/>
      <c r="DS66" s="435"/>
      <c r="DT66" s="435"/>
      <c r="DU66" s="435"/>
      <c r="DV66" s="435"/>
      <c r="DW66" s="435"/>
      <c r="DX66" s="435"/>
      <c r="DY66" s="435"/>
      <c r="DZ66" s="435"/>
      <c r="EA66" s="435"/>
      <c r="EB66" s="435"/>
      <c r="EC66" s="435"/>
      <c r="ED66" s="435"/>
      <c r="EE66" s="435"/>
      <c r="EF66" s="435"/>
      <c r="EG66" s="435"/>
      <c r="EH66" s="435"/>
      <c r="EI66" s="435"/>
      <c r="EJ66" s="435"/>
      <c r="EK66" s="435"/>
      <c r="EL66" s="435"/>
      <c r="EM66" s="435"/>
      <c r="EN66" s="435"/>
      <c r="EO66" s="435"/>
      <c r="EP66" s="435"/>
      <c r="EQ66" s="435"/>
      <c r="ER66" s="435"/>
      <c r="ES66" s="435"/>
      <c r="ET66" s="435"/>
      <c r="EU66" s="435"/>
      <c r="EV66" s="435"/>
      <c r="EW66" s="435"/>
      <c r="EX66" s="435"/>
      <c r="EY66" s="435"/>
      <c r="EZ66" s="435"/>
      <c r="FA66" s="435"/>
      <c r="FB66" s="435"/>
      <c r="FC66" s="435"/>
      <c r="FD66" s="435"/>
      <c r="FE66" s="435"/>
      <c r="FF66" s="435"/>
      <c r="FG66" s="435"/>
      <c r="FH66" s="435"/>
      <c r="FI66" s="435"/>
      <c r="FJ66" s="435"/>
      <c r="FK66" s="435"/>
      <c r="FL66" s="435"/>
      <c r="FM66" s="435"/>
      <c r="FN66" s="435"/>
      <c r="FO66" s="435"/>
      <c r="FP66" s="435"/>
      <c r="FQ66" s="435"/>
      <c r="FR66" s="435"/>
      <c r="FS66" s="435"/>
      <c r="FT66" s="435"/>
      <c r="FU66" s="435"/>
      <c r="FV66" s="435"/>
    </row>
    <row r="67" spans="1:178">
      <c r="A67" s="1368"/>
      <c r="B67" s="1368"/>
      <c r="C67" s="1368"/>
      <c r="D67" s="1368"/>
      <c r="E67" s="1369"/>
      <c r="F67" s="438" t="s">
        <v>219</v>
      </c>
      <c r="G67" s="439">
        <f t="shared" ref="G67:R67" si="123">G46+G47+G48+G49+G65+G66</f>
        <v>15632254787.71928</v>
      </c>
      <c r="H67" s="439">
        <f t="shared" si="123"/>
        <v>14231796374.501863</v>
      </c>
      <c r="I67" s="439">
        <f t="shared" si="123"/>
        <v>12350751353.09581</v>
      </c>
      <c r="J67" s="439">
        <f t="shared" si="123"/>
        <v>10336830401.733805</v>
      </c>
      <c r="K67" s="439">
        <f t="shared" si="123"/>
        <v>11790166922.19618</v>
      </c>
      <c r="L67" s="439">
        <f t="shared" si="123"/>
        <v>11976466721.827301</v>
      </c>
      <c r="M67" s="439">
        <f t="shared" si="123"/>
        <v>12175802323.212032</v>
      </c>
      <c r="N67" s="439">
        <f t="shared" si="123"/>
        <v>12713996459.351019</v>
      </c>
      <c r="O67" s="439">
        <f t="shared" si="123"/>
        <v>12159011066.250017</v>
      </c>
      <c r="P67" s="439">
        <f t="shared" si="123"/>
        <v>11122424290.118898</v>
      </c>
      <c r="Q67" s="439">
        <f t="shared" si="123"/>
        <v>10359382668.194372</v>
      </c>
      <c r="R67" s="439">
        <f t="shared" si="123"/>
        <v>10492985443.645092</v>
      </c>
      <c r="S67" s="439">
        <f t="shared" ref="S67:AX67" si="124">S46+S47+S48+S49+S65+S66</f>
        <v>10867153453.22316</v>
      </c>
      <c r="T67" s="439">
        <f t="shared" si="124"/>
        <v>11169599439.753859</v>
      </c>
      <c r="U67" s="439">
        <f t="shared" si="124"/>
        <v>10909741014.078133</v>
      </c>
      <c r="V67" s="439">
        <f t="shared" si="124"/>
        <v>9326975555.0210114</v>
      </c>
      <c r="W67" s="439">
        <f t="shared" si="124"/>
        <v>8809416358.1830215</v>
      </c>
      <c r="X67" s="439">
        <f t="shared" si="124"/>
        <v>9347561614.1277485</v>
      </c>
      <c r="Y67" s="439">
        <f t="shared" si="124"/>
        <v>9779895620.7409458</v>
      </c>
      <c r="Z67" s="439">
        <f t="shared" si="124"/>
        <v>10122667630.753548</v>
      </c>
      <c r="AA67" s="439">
        <f t="shared" si="124"/>
        <v>10345053771.105444</v>
      </c>
      <c r="AB67" s="439">
        <f t="shared" si="124"/>
        <v>9632218261.3015614</v>
      </c>
      <c r="AC67" s="439">
        <f t="shared" si="124"/>
        <v>9367631449.5645065</v>
      </c>
      <c r="AD67" s="439">
        <f t="shared" si="124"/>
        <v>9759103490.3239956</v>
      </c>
      <c r="AE67" s="439">
        <f t="shared" si="124"/>
        <v>10540847920.04525</v>
      </c>
      <c r="AF67" s="439">
        <f t="shared" si="124"/>
        <v>10810191379.407492</v>
      </c>
      <c r="AG67" s="439">
        <f t="shared" si="124"/>
        <v>11360301906.006016</v>
      </c>
      <c r="AH67" s="439">
        <f t="shared" si="124"/>
        <v>12172930876.603027</v>
      </c>
      <c r="AI67" s="439">
        <f t="shared" si="124"/>
        <v>12510080631.471697</v>
      </c>
      <c r="AJ67" s="439">
        <f t="shared" si="124"/>
        <v>11527207715.599468</v>
      </c>
      <c r="AK67" s="439">
        <f t="shared" si="124"/>
        <v>11216392746.925922</v>
      </c>
      <c r="AL67" s="439">
        <f t="shared" si="124"/>
        <v>10518944493.934177</v>
      </c>
      <c r="AM67" s="439">
        <f t="shared" si="124"/>
        <v>10085905751.963181</v>
      </c>
      <c r="AN67" s="439">
        <f t="shared" si="124"/>
        <v>10032849949.893751</v>
      </c>
      <c r="AO67" s="439">
        <f t="shared" si="124"/>
        <v>10905406240.789015</v>
      </c>
      <c r="AP67" s="439">
        <f t="shared" si="124"/>
        <v>11824631983.142246</v>
      </c>
      <c r="AQ67" s="439">
        <f t="shared" si="124"/>
        <v>12728821820.148573</v>
      </c>
      <c r="AR67" s="439">
        <f t="shared" si="124"/>
        <v>13488337019.307253</v>
      </c>
      <c r="AS67" s="439">
        <f t="shared" si="124"/>
        <v>13472742401.07826</v>
      </c>
      <c r="AT67" s="439">
        <f t="shared" si="124"/>
        <v>11072343845.689741</v>
      </c>
      <c r="AU67" s="380">
        <f t="shared" si="124"/>
        <v>10549620984.13102</v>
      </c>
      <c r="AV67" s="380">
        <f t="shared" si="124"/>
        <v>10875612091.070639</v>
      </c>
      <c r="AW67" s="380">
        <f t="shared" si="124"/>
        <v>11011404316.928089</v>
      </c>
      <c r="AX67" s="380">
        <f t="shared" si="124"/>
        <v>11552448730.303848</v>
      </c>
      <c r="AY67" s="380">
        <f t="shared" ref="AY67:CD67" si="125">AY46+AY47+AY48+AY49+AY65+AY66</f>
        <v>12294904147.488867</v>
      </c>
      <c r="AZ67" s="380">
        <f t="shared" si="125"/>
        <v>12791279540.380007</v>
      </c>
      <c r="BA67" s="380">
        <f t="shared" si="125"/>
        <v>13211196080.051769</v>
      </c>
      <c r="BB67" s="380">
        <f t="shared" si="125"/>
        <v>13864387302.16271</v>
      </c>
      <c r="BC67" s="380">
        <f t="shared" si="125"/>
        <v>13683700670.873751</v>
      </c>
      <c r="BD67" s="380">
        <f t="shared" si="125"/>
        <v>10991039312.530443</v>
      </c>
      <c r="BE67" s="380">
        <f t="shared" si="125"/>
        <v>9668986343.5782013</v>
      </c>
      <c r="BF67" s="380">
        <f t="shared" si="125"/>
        <v>9702014201.4997501</v>
      </c>
      <c r="BG67" s="380">
        <f t="shared" si="125"/>
        <v>10303698909.266357</v>
      </c>
      <c r="BH67" s="380">
        <f t="shared" si="125"/>
        <v>10672760193.597206</v>
      </c>
      <c r="BI67" s="380">
        <f t="shared" si="125"/>
        <v>11206470067.672121</v>
      </c>
      <c r="BJ67" s="380">
        <f t="shared" si="125"/>
        <v>11185705073.564266</v>
      </c>
      <c r="BK67" s="380">
        <f t="shared" si="125"/>
        <v>9743554702.7702847</v>
      </c>
      <c r="BL67" s="380">
        <f t="shared" si="125"/>
        <v>9751803183.6701698</v>
      </c>
      <c r="BM67" s="380">
        <f t="shared" si="125"/>
        <v>9502507142.3532352</v>
      </c>
      <c r="BN67" s="380">
        <f t="shared" si="125"/>
        <v>9505849907.0689602</v>
      </c>
      <c r="BO67" s="380">
        <f t="shared" si="125"/>
        <v>10209316680.266626</v>
      </c>
      <c r="BP67" s="380">
        <f t="shared" si="125"/>
        <v>10274492046.658783</v>
      </c>
      <c r="BQ67" s="380">
        <f t="shared" si="125"/>
        <v>10802587279.320469</v>
      </c>
      <c r="BR67" s="380">
        <f t="shared" si="125"/>
        <v>11288858165.649002</v>
      </c>
      <c r="BS67" s="380">
        <f t="shared" si="125"/>
        <v>10420391604.038195</v>
      </c>
      <c r="BT67" s="380">
        <f t="shared" si="125"/>
        <v>8288452476.7598839</v>
      </c>
      <c r="BU67" s="380">
        <f t="shared" si="125"/>
        <v>9726148554.3638153</v>
      </c>
      <c r="BV67" s="380">
        <f t="shared" si="125"/>
        <v>9638473641.1788464</v>
      </c>
      <c r="BW67" s="380">
        <f t="shared" si="125"/>
        <v>10111795100.792431</v>
      </c>
      <c r="BX67" s="380">
        <f t="shared" si="125"/>
        <v>8599462254.0230026</v>
      </c>
      <c r="BY67" s="380">
        <f t="shared" si="125"/>
        <v>8734670375.1218567</v>
      </c>
      <c r="BZ67" s="380">
        <f t="shared" si="125"/>
        <v>8643131559.5874729</v>
      </c>
      <c r="CA67" s="380">
        <f t="shared" si="125"/>
        <v>7944618201.8167229</v>
      </c>
      <c r="CB67" s="380">
        <f t="shared" si="125"/>
        <v>8907887108.2448368</v>
      </c>
      <c r="CC67" s="380">
        <f t="shared" si="125"/>
        <v>9664648484.9255199</v>
      </c>
      <c r="CD67" s="380">
        <f t="shared" si="125"/>
        <v>10840221803.096735</v>
      </c>
      <c r="CE67" s="380">
        <f t="shared" ref="CE67:CM67" si="126">CE46+CE47+CE48+CE49+CE65+CE66</f>
        <v>11783308681.988766</v>
      </c>
      <c r="CF67" s="380">
        <f t="shared" si="126"/>
        <v>12194456203.045145</v>
      </c>
      <c r="CG67" s="380">
        <f t="shared" si="126"/>
        <v>11519034970.890652</v>
      </c>
      <c r="CH67" s="380">
        <f t="shared" si="126"/>
        <v>11404722152.815769</v>
      </c>
      <c r="CI67" s="380">
        <f t="shared" si="126"/>
        <v>12143967343.938824</v>
      </c>
      <c r="CJ67" s="380">
        <f t="shared" si="126"/>
        <v>13209693974.895622</v>
      </c>
      <c r="CK67" s="380">
        <f t="shared" si="126"/>
        <v>13234372097.427071</v>
      </c>
      <c r="CL67" s="380">
        <f t="shared" si="126"/>
        <v>13464552670.325596</v>
      </c>
      <c r="CM67" s="380">
        <f t="shared" si="126"/>
        <v>11001964636.7162</v>
      </c>
      <c r="CN67" s="435"/>
      <c r="CO67" s="435"/>
      <c r="CP67" s="435"/>
      <c r="CQ67" s="435"/>
      <c r="CR67" s="435"/>
      <c r="CS67" s="435"/>
      <c r="CT67" s="435"/>
      <c r="CU67" s="435"/>
      <c r="CV67" s="435"/>
      <c r="CW67" s="435"/>
      <c r="CX67" s="435"/>
      <c r="CY67" s="435"/>
      <c r="CZ67" s="435"/>
      <c r="DA67" s="435"/>
      <c r="DB67" s="435"/>
      <c r="DC67" s="435"/>
      <c r="DD67" s="435"/>
      <c r="DE67" s="435"/>
      <c r="DF67" s="435"/>
      <c r="DG67" s="435"/>
      <c r="DH67" s="435"/>
      <c r="DI67" s="435"/>
      <c r="DJ67" s="435"/>
      <c r="DK67" s="435"/>
      <c r="DL67" s="435"/>
      <c r="DM67" s="435"/>
      <c r="DN67" s="435"/>
      <c r="DO67" s="435"/>
      <c r="DP67" s="435"/>
      <c r="DQ67" s="435"/>
      <c r="DR67" s="435"/>
      <c r="DS67" s="435"/>
      <c r="DT67" s="435"/>
      <c r="DU67" s="435"/>
      <c r="DV67" s="435"/>
      <c r="DW67" s="435"/>
      <c r="DX67" s="435"/>
      <c r="DY67" s="435"/>
      <c r="DZ67" s="435"/>
      <c r="EA67" s="435"/>
      <c r="EB67" s="435"/>
      <c r="EC67" s="435"/>
      <c r="ED67" s="435"/>
      <c r="EE67" s="435"/>
      <c r="EF67" s="435"/>
      <c r="EG67" s="435"/>
      <c r="EH67" s="435"/>
      <c r="EI67" s="435"/>
      <c r="EJ67" s="435"/>
      <c r="EK67" s="435"/>
      <c r="EL67" s="435"/>
      <c r="EM67" s="435"/>
      <c r="EN67" s="435"/>
      <c r="EO67" s="435"/>
      <c r="EP67" s="435"/>
      <c r="EQ67" s="435"/>
      <c r="ER67" s="435"/>
      <c r="ES67" s="435"/>
      <c r="ET67" s="435"/>
      <c r="EU67" s="435"/>
      <c r="EV67" s="435"/>
      <c r="EW67" s="435"/>
      <c r="EX67" s="435"/>
      <c r="EY67" s="435"/>
      <c r="EZ67" s="435"/>
      <c r="FA67" s="435"/>
      <c r="FB67" s="435"/>
      <c r="FC67" s="435"/>
      <c r="FD67" s="435"/>
      <c r="FE67" s="435"/>
      <c r="FF67" s="435"/>
      <c r="FG67" s="435"/>
      <c r="FH67" s="435"/>
      <c r="FI67" s="435"/>
      <c r="FJ67" s="435"/>
      <c r="FK67" s="435"/>
      <c r="FL67" s="435"/>
      <c r="FM67" s="435"/>
      <c r="FN67" s="435"/>
      <c r="FO67" s="435"/>
      <c r="FP67" s="435"/>
      <c r="FQ67" s="435"/>
      <c r="FR67" s="435"/>
      <c r="FS67" s="435"/>
      <c r="FT67" s="435"/>
      <c r="FU67" s="435"/>
      <c r="FV67" s="435"/>
    </row>
    <row r="68" spans="1:178" ht="46.5" customHeight="1">
      <c r="A68" s="1368"/>
      <c r="B68" s="1368"/>
      <c r="C68" s="1368"/>
      <c r="D68" s="1368"/>
      <c r="E68" s="1369"/>
      <c r="F68" s="479" t="s">
        <v>220</v>
      </c>
      <c r="G68" s="618">
        <f t="shared" ref="G68:R68" si="127">G67-G54-G55</f>
        <v>10879249611.476439</v>
      </c>
      <c r="H68" s="618">
        <f t="shared" si="127"/>
        <v>9808034573.1441803</v>
      </c>
      <c r="I68" s="618">
        <f t="shared" si="127"/>
        <v>8263534564.1998138</v>
      </c>
      <c r="J68" s="618">
        <f t="shared" si="127"/>
        <v>6620185053.0562963</v>
      </c>
      <c r="K68" s="618">
        <f t="shared" si="127"/>
        <v>7836773598.9239159</v>
      </c>
      <c r="L68" s="618">
        <f t="shared" si="127"/>
        <v>7932450105.2188473</v>
      </c>
      <c r="M68" s="618">
        <f t="shared" si="127"/>
        <v>8138442203.0281525</v>
      </c>
      <c r="N68" s="618">
        <f t="shared" si="127"/>
        <v>8528799714.3509512</v>
      </c>
      <c r="O68" s="618">
        <f t="shared" si="127"/>
        <v>8172069727.0825043</v>
      </c>
      <c r="P68" s="618">
        <f t="shared" si="127"/>
        <v>7275339548.5323734</v>
      </c>
      <c r="Q68" s="618">
        <f t="shared" si="127"/>
        <v>6710459189.4006205</v>
      </c>
      <c r="R68" s="618">
        <f t="shared" si="127"/>
        <v>6932170191.9992619</v>
      </c>
      <c r="S68" s="618">
        <f t="shared" ref="S68:AX68" si="128">S67-S54-S55</f>
        <v>7206943000.9945068</v>
      </c>
      <c r="T68" s="618">
        <f t="shared" si="128"/>
        <v>7454585243.1914501</v>
      </c>
      <c r="U68" s="618">
        <f t="shared" si="128"/>
        <v>7326012577.2769928</v>
      </c>
      <c r="V68" s="618">
        <f t="shared" si="128"/>
        <v>5972037023.2068653</v>
      </c>
      <c r="W68" s="618">
        <f t="shared" si="128"/>
        <v>5721190134.8000202</v>
      </c>
      <c r="X68" s="618">
        <f t="shared" si="128"/>
        <v>6148321880.3005714</v>
      </c>
      <c r="Y68" s="618">
        <f t="shared" si="128"/>
        <v>6400832805.0916767</v>
      </c>
      <c r="Z68" s="618">
        <f t="shared" si="128"/>
        <v>6693100907.543539</v>
      </c>
      <c r="AA68" s="618">
        <f t="shared" si="128"/>
        <v>6851562590.9074593</v>
      </c>
      <c r="AB68" s="618">
        <f t="shared" si="128"/>
        <v>6232187992.842762</v>
      </c>
      <c r="AC68" s="618">
        <f t="shared" si="128"/>
        <v>6003459893.6700659</v>
      </c>
      <c r="AD68" s="618">
        <f t="shared" si="128"/>
        <v>6371319475.7866745</v>
      </c>
      <c r="AE68" s="618">
        <f t="shared" si="128"/>
        <v>6990827589.6986942</v>
      </c>
      <c r="AF68" s="618">
        <f t="shared" si="128"/>
        <v>7201786353.7581863</v>
      </c>
      <c r="AG68" s="618">
        <f t="shared" si="128"/>
        <v>7593695833.6244278</v>
      </c>
      <c r="AH68" s="618">
        <f t="shared" si="128"/>
        <v>8181397485.6362944</v>
      </c>
      <c r="AI68" s="618">
        <f t="shared" si="128"/>
        <v>8313569488.5164299</v>
      </c>
      <c r="AJ68" s="618">
        <f t="shared" si="128"/>
        <v>7560071306.2745285</v>
      </c>
      <c r="AK68" s="618">
        <f t="shared" si="128"/>
        <v>7204628287.0438766</v>
      </c>
      <c r="AL68" s="618">
        <f t="shared" si="128"/>
        <v>6698009328.2651243</v>
      </c>
      <c r="AM68" s="618">
        <f t="shared" si="128"/>
        <v>6379656079.2560253</v>
      </c>
      <c r="AN68" s="618">
        <f t="shared" si="128"/>
        <v>6313700188.39468</v>
      </c>
      <c r="AO68" s="618">
        <f t="shared" si="128"/>
        <v>7087623158.0870991</v>
      </c>
      <c r="AP68" s="618">
        <f t="shared" si="128"/>
        <v>7833329836.3615675</v>
      </c>
      <c r="AQ68" s="618">
        <f t="shared" si="128"/>
        <v>8527652493.3395109</v>
      </c>
      <c r="AR68" s="618">
        <f t="shared" si="128"/>
        <v>9242326422.6981125</v>
      </c>
      <c r="AS68" s="618">
        <f t="shared" si="128"/>
        <v>9123699746.9487267</v>
      </c>
      <c r="AT68" s="618">
        <f t="shared" si="128"/>
        <v>7127354970.6224613</v>
      </c>
      <c r="AU68" s="478">
        <f t="shared" si="128"/>
        <v>6577850227.6511965</v>
      </c>
      <c r="AV68" s="478">
        <f t="shared" si="128"/>
        <v>6815788278.4325047</v>
      </c>
      <c r="AW68" s="478">
        <f t="shared" si="128"/>
        <v>6878097809.7775497</v>
      </c>
      <c r="AX68" s="478">
        <f t="shared" si="128"/>
        <v>7249881878.8842573</v>
      </c>
      <c r="AY68" s="478">
        <f t="shared" ref="AY68:CD68" si="129">AY67-AY54-AY55</f>
        <v>7499960900.6681376</v>
      </c>
      <c r="AZ68" s="478">
        <f t="shared" si="129"/>
        <v>7956223945.9502497</v>
      </c>
      <c r="BA68" s="478">
        <f t="shared" si="129"/>
        <v>8302065164.7993069</v>
      </c>
      <c r="BB68" s="478">
        <f t="shared" si="129"/>
        <v>8676472562.2632961</v>
      </c>
      <c r="BC68" s="478">
        <f t="shared" si="129"/>
        <v>8496857621.4244194</v>
      </c>
      <c r="BD68" s="478">
        <f t="shared" si="129"/>
        <v>6571257168.2901144</v>
      </c>
      <c r="BE68" s="478">
        <f t="shared" si="129"/>
        <v>5935326584.2128315</v>
      </c>
      <c r="BF68" s="478">
        <f t="shared" si="129"/>
        <v>6130709895.6005306</v>
      </c>
      <c r="BG68" s="478">
        <f t="shared" si="129"/>
        <v>6629683986.9402466</v>
      </c>
      <c r="BH68" s="478">
        <f t="shared" si="129"/>
        <v>6849747582.9884844</v>
      </c>
      <c r="BI68" s="478">
        <f t="shared" si="129"/>
        <v>7294672664.1572008</v>
      </c>
      <c r="BJ68" s="478">
        <f t="shared" si="129"/>
        <v>7305013989.1114702</v>
      </c>
      <c r="BK68" s="478">
        <f t="shared" si="129"/>
        <v>6090262553.4900045</v>
      </c>
      <c r="BL68" s="478">
        <f t="shared" si="129"/>
        <v>6148177756.6926069</v>
      </c>
      <c r="BM68" s="478">
        <f t="shared" si="129"/>
        <v>5831163882.915184</v>
      </c>
      <c r="BN68" s="478">
        <f t="shared" si="129"/>
        <v>5775032119.7626324</v>
      </c>
      <c r="BO68" s="478">
        <f t="shared" si="129"/>
        <v>6220456921.5799217</v>
      </c>
      <c r="BP68" s="478">
        <f t="shared" si="129"/>
        <v>6398505041.8382587</v>
      </c>
      <c r="BQ68" s="478">
        <f t="shared" si="129"/>
        <v>7066090692.2678633</v>
      </c>
      <c r="BR68" s="478">
        <f t="shared" si="129"/>
        <v>7281644079.602951</v>
      </c>
      <c r="BS68" s="478">
        <f t="shared" si="129"/>
        <v>6561948984.260478</v>
      </c>
      <c r="BT68" s="478">
        <f t="shared" si="129"/>
        <v>5021685237.0458803</v>
      </c>
      <c r="BU68" s="478">
        <f t="shared" si="129"/>
        <v>6714622308.7298393</v>
      </c>
      <c r="BV68" s="478">
        <f t="shared" si="129"/>
        <v>7208027287.0679951</v>
      </c>
      <c r="BW68" s="478">
        <f t="shared" si="129"/>
        <v>7474738310.5986004</v>
      </c>
      <c r="BX68" s="478">
        <f t="shared" si="129"/>
        <v>5967778353.6141634</v>
      </c>
      <c r="BY68" s="478">
        <f t="shared" si="129"/>
        <v>5977126588.8824024</v>
      </c>
      <c r="BZ68" s="478">
        <f t="shared" si="129"/>
        <v>5758068560.2536869</v>
      </c>
      <c r="CA68" s="478">
        <f t="shared" si="129"/>
        <v>5080418641.5449438</v>
      </c>
      <c r="CB68" s="478">
        <f t="shared" si="129"/>
        <v>5674834649.1540899</v>
      </c>
      <c r="CC68" s="478">
        <f t="shared" si="129"/>
        <v>5937313260.6087112</v>
      </c>
      <c r="CD68" s="478">
        <f t="shared" si="129"/>
        <v>6844005311.9371262</v>
      </c>
      <c r="CE68" s="478">
        <f t="shared" ref="CE68:CL68" si="130">CE67-CE54-CE55</f>
        <v>7836606642.9712143</v>
      </c>
      <c r="CF68" s="478">
        <f t="shared" si="130"/>
        <v>7992978028.7165556</v>
      </c>
      <c r="CG68" s="478">
        <f t="shared" si="130"/>
        <v>7064729395.2415085</v>
      </c>
      <c r="CH68" s="478">
        <f t="shared" si="130"/>
        <v>7013006055.9589796</v>
      </c>
      <c r="CI68" s="478">
        <f t="shared" si="130"/>
        <v>7497890418.1505566</v>
      </c>
      <c r="CJ68" s="478">
        <f t="shared" si="130"/>
        <v>8177122861.0032053</v>
      </c>
      <c r="CK68" s="478">
        <f t="shared" si="130"/>
        <v>7835357722.4879904</v>
      </c>
      <c r="CL68" s="478">
        <f t="shared" si="130"/>
        <v>8056338772.8942385</v>
      </c>
      <c r="CM68" s="387">
        <f>AVERAGE(G68:CL68)</f>
        <v>7125403938.9877977</v>
      </c>
      <c r="CN68" s="435"/>
      <c r="CO68" s="435"/>
      <c r="CP68" s="435"/>
      <c r="CQ68" s="435"/>
      <c r="CR68" s="435"/>
      <c r="CS68" s="435"/>
      <c r="CT68" s="435"/>
      <c r="CU68" s="435"/>
      <c r="CV68" s="435"/>
      <c r="CW68" s="435"/>
      <c r="CX68" s="435"/>
      <c r="CY68" s="435"/>
      <c r="CZ68" s="435"/>
      <c r="DA68" s="435"/>
      <c r="DB68" s="435"/>
      <c r="DC68" s="435"/>
      <c r="DD68" s="435"/>
      <c r="DE68" s="435"/>
      <c r="DF68" s="435"/>
      <c r="DG68" s="435"/>
      <c r="DH68" s="435"/>
      <c r="DI68" s="435"/>
      <c r="DJ68" s="435"/>
      <c r="DK68" s="435"/>
      <c r="DL68" s="435"/>
      <c r="DM68" s="435"/>
      <c r="DN68" s="435"/>
      <c r="DO68" s="435"/>
      <c r="DP68" s="435"/>
      <c r="DQ68" s="435"/>
      <c r="DR68" s="435"/>
      <c r="DS68" s="435"/>
      <c r="DT68" s="435"/>
      <c r="DU68" s="435"/>
      <c r="DV68" s="435"/>
      <c r="DW68" s="435"/>
      <c r="DX68" s="435"/>
      <c r="DY68" s="435"/>
      <c r="DZ68" s="435"/>
      <c r="EA68" s="435"/>
      <c r="EB68" s="435"/>
      <c r="EC68" s="435"/>
      <c r="ED68" s="435"/>
      <c r="EE68" s="435"/>
      <c r="EF68" s="435"/>
      <c r="EG68" s="435"/>
      <c r="EH68" s="435"/>
      <c r="EI68" s="435"/>
      <c r="EJ68" s="435"/>
      <c r="EK68" s="435"/>
      <c r="EL68" s="435"/>
      <c r="EM68" s="435"/>
      <c r="EN68" s="435"/>
      <c r="EO68" s="435"/>
      <c r="EP68" s="435"/>
      <c r="EQ68" s="435"/>
      <c r="ER68" s="435"/>
      <c r="ES68" s="435"/>
      <c r="ET68" s="435"/>
      <c r="EU68" s="435"/>
      <c r="EV68" s="435"/>
      <c r="EW68" s="435"/>
      <c r="EX68" s="435"/>
      <c r="EY68" s="435"/>
      <c r="EZ68" s="435"/>
      <c r="FA68" s="435"/>
      <c r="FB68" s="435"/>
      <c r="FC68" s="435"/>
      <c r="FD68" s="435"/>
      <c r="FE68" s="435"/>
      <c r="FF68" s="435"/>
      <c r="FG68" s="435"/>
      <c r="FH68" s="435"/>
      <c r="FI68" s="435"/>
      <c r="FJ68" s="435"/>
      <c r="FK68" s="435"/>
      <c r="FL68" s="435"/>
      <c r="FM68" s="435"/>
      <c r="FN68" s="435"/>
      <c r="FO68" s="435"/>
      <c r="FP68" s="435"/>
      <c r="FQ68" s="435"/>
      <c r="FR68" s="435"/>
      <c r="FS68" s="435"/>
      <c r="FT68" s="435"/>
      <c r="FU68" s="435"/>
      <c r="FV68" s="435"/>
    </row>
    <row r="69" spans="1:178" ht="12" customHeight="1">
      <c r="A69" s="1368" t="s">
        <v>518</v>
      </c>
      <c r="B69" s="1368"/>
      <c r="C69" s="1368"/>
      <c r="D69" s="1368"/>
      <c r="E69" s="1369"/>
      <c r="F69" s="432" t="s">
        <v>425</v>
      </c>
      <c r="G69" s="433">
        <f t="shared" ref="G69:R69" si="131">G68*G52/G16</f>
        <v>61963.611736899162</v>
      </c>
      <c r="H69" s="433">
        <f t="shared" si="131"/>
        <v>56499.892428141684</v>
      </c>
      <c r="I69" s="433">
        <f t="shared" si="131"/>
        <v>48323.662982628499</v>
      </c>
      <c r="J69" s="433">
        <f t="shared" si="131"/>
        <v>39375.43114486894</v>
      </c>
      <c r="K69" s="433">
        <f t="shared" si="131"/>
        <v>45832.984454892605</v>
      </c>
      <c r="L69" s="433">
        <f t="shared" si="131"/>
        <v>46441.259751146536</v>
      </c>
      <c r="M69" s="433">
        <f t="shared" si="131"/>
        <v>47466.840662139737</v>
      </c>
      <c r="N69" s="433">
        <f t="shared" si="131"/>
        <v>49553.094235523196</v>
      </c>
      <c r="O69" s="433">
        <f t="shared" si="131"/>
        <v>47418.119039620316</v>
      </c>
      <c r="P69" s="433">
        <f t="shared" si="131"/>
        <v>42654.715999026645</v>
      </c>
      <c r="Q69" s="433">
        <f t="shared" si="131"/>
        <v>39726.143001155346</v>
      </c>
      <c r="R69" s="433">
        <f t="shared" si="131"/>
        <v>40890.600672096734</v>
      </c>
      <c r="S69" s="433">
        <f t="shared" ref="S69:AX69" si="132">S68*S52/S16</f>
        <v>42369.13615209706</v>
      </c>
      <c r="T69" s="433">
        <f t="shared" si="132"/>
        <v>43807.416637328279</v>
      </c>
      <c r="U69" s="433">
        <f t="shared" si="132"/>
        <v>42963.129158519245</v>
      </c>
      <c r="V69" s="433">
        <f t="shared" si="132"/>
        <v>35585.085413679342</v>
      </c>
      <c r="W69" s="433">
        <f t="shared" si="132"/>
        <v>34268.172859000573</v>
      </c>
      <c r="X69" s="433">
        <f t="shared" si="132"/>
        <v>36441.4699596184</v>
      </c>
      <c r="Y69" s="433">
        <f t="shared" si="132"/>
        <v>37394.007528643939</v>
      </c>
      <c r="Z69" s="433">
        <f t="shared" si="132"/>
        <v>38957.221826311768</v>
      </c>
      <c r="AA69" s="433">
        <f t="shared" si="132"/>
        <v>39795.292750273737</v>
      </c>
      <c r="AB69" s="433">
        <f t="shared" si="132"/>
        <v>36435.119208697593</v>
      </c>
      <c r="AC69" s="433">
        <f t="shared" si="132"/>
        <v>35204.838853997091</v>
      </c>
      <c r="AD69" s="433">
        <f t="shared" si="132"/>
        <v>37179.258366756178</v>
      </c>
      <c r="AE69" s="433">
        <f t="shared" si="132"/>
        <v>40247.280081356745</v>
      </c>
      <c r="AF69" s="433">
        <f t="shared" si="132"/>
        <v>41512.566918524855</v>
      </c>
      <c r="AG69" s="433">
        <f t="shared" si="132"/>
        <v>43502.192186364293</v>
      </c>
      <c r="AH69" s="433">
        <f t="shared" si="132"/>
        <v>46688.480069109835</v>
      </c>
      <c r="AI69" s="433">
        <f t="shared" si="132"/>
        <v>47460.44207725719</v>
      </c>
      <c r="AJ69" s="433">
        <f t="shared" si="132"/>
        <v>43417.635567772566</v>
      </c>
      <c r="AK69" s="433">
        <f t="shared" si="132"/>
        <v>41332.642293753903</v>
      </c>
      <c r="AL69" s="433">
        <f t="shared" si="132"/>
        <v>38600.081293528448</v>
      </c>
      <c r="AM69" s="433">
        <f t="shared" si="132"/>
        <v>36948.758681137362</v>
      </c>
      <c r="AN69" s="433">
        <f t="shared" si="132"/>
        <v>36491.849809945896</v>
      </c>
      <c r="AO69" s="433">
        <f t="shared" si="132"/>
        <v>40752.734552135451</v>
      </c>
      <c r="AP69" s="433">
        <f t="shared" si="132"/>
        <v>44817.124852424553</v>
      </c>
      <c r="AQ69" s="433">
        <f t="shared" si="132"/>
        <v>48870.446098818866</v>
      </c>
      <c r="AR69" s="433">
        <f t="shared" si="132"/>
        <v>52652.764353668623</v>
      </c>
      <c r="AS69" s="433">
        <f t="shared" si="132"/>
        <v>51985.323532558243</v>
      </c>
      <c r="AT69" s="433">
        <f t="shared" si="132"/>
        <v>42510.706521934218</v>
      </c>
      <c r="AU69" s="434">
        <f t="shared" si="132"/>
        <v>39462.724574058637</v>
      </c>
      <c r="AV69" s="434">
        <f t="shared" si="132"/>
        <v>41317.752524413656</v>
      </c>
      <c r="AW69" s="434">
        <f t="shared" si="132"/>
        <v>41486.979961331017</v>
      </c>
      <c r="AX69" s="434">
        <f t="shared" si="132"/>
        <v>42540.078678133003</v>
      </c>
      <c r="AY69" s="434">
        <f t="shared" ref="AY69:CD69" si="133">AY68*AY52/AY16</f>
        <v>45093.270976477259</v>
      </c>
      <c r="AZ69" s="434">
        <f t="shared" si="133"/>
        <v>48141.692835681912</v>
      </c>
      <c r="BA69" s="434">
        <f t="shared" si="133"/>
        <v>50242.164633593769</v>
      </c>
      <c r="BB69" s="434">
        <f t="shared" si="133"/>
        <v>52251.294059201966</v>
      </c>
      <c r="BC69" s="434">
        <f t="shared" si="133"/>
        <v>49374.489349965326</v>
      </c>
      <c r="BD69" s="434">
        <f t="shared" si="133"/>
        <v>38646.251233821582</v>
      </c>
      <c r="BE69" s="434">
        <f t="shared" si="133"/>
        <v>35294.984526991029</v>
      </c>
      <c r="BF69" s="434">
        <f t="shared" si="133"/>
        <v>36484.099077876133</v>
      </c>
      <c r="BG69" s="434">
        <f t="shared" si="133"/>
        <v>39082.170154230684</v>
      </c>
      <c r="BH69" s="434">
        <f t="shared" si="133"/>
        <v>40257.410392038881</v>
      </c>
      <c r="BI69" s="434">
        <f t="shared" si="133"/>
        <v>42804.669843787233</v>
      </c>
      <c r="BJ69" s="434">
        <f t="shared" si="133"/>
        <v>42889.059087916416</v>
      </c>
      <c r="BK69" s="434">
        <f t="shared" si="133"/>
        <v>36287.565995354249</v>
      </c>
      <c r="BL69" s="434">
        <f t="shared" si="133"/>
        <v>36533.153794634622</v>
      </c>
      <c r="BM69" s="434">
        <f t="shared" si="133"/>
        <v>34878.39023342634</v>
      </c>
      <c r="BN69" s="434">
        <f t="shared" si="133"/>
        <v>34329.860524668984</v>
      </c>
      <c r="BO69" s="434">
        <f t="shared" si="133"/>
        <v>36596.209827083883</v>
      </c>
      <c r="BP69" s="434">
        <f t="shared" si="133"/>
        <v>37636.784379337223</v>
      </c>
      <c r="BQ69" s="434">
        <f t="shared" si="133"/>
        <v>41390.428340023595</v>
      </c>
      <c r="BR69" s="434">
        <f t="shared" si="133"/>
        <v>42776.901168853175</v>
      </c>
      <c r="BS69" s="434">
        <f t="shared" si="133"/>
        <v>38868.78821155279</v>
      </c>
      <c r="BT69" s="434">
        <f t="shared" si="133"/>
        <v>30570.967163746085</v>
      </c>
      <c r="BU69" s="434">
        <f t="shared" si="133"/>
        <v>38858.617926028477</v>
      </c>
      <c r="BV69" s="434">
        <f t="shared" si="133"/>
        <v>42142.976394836325</v>
      </c>
      <c r="BW69" s="434">
        <f t="shared" si="133"/>
        <v>43481.79292933848</v>
      </c>
      <c r="BX69" s="434">
        <f t="shared" si="133"/>
        <v>35419.688941738226</v>
      </c>
      <c r="BY69" s="434">
        <f t="shared" si="133"/>
        <v>35501.610833893887</v>
      </c>
      <c r="BZ69" s="434">
        <f t="shared" si="133"/>
        <v>34386.650392533425</v>
      </c>
      <c r="CA69" s="434">
        <f t="shared" si="133"/>
        <v>30386.407422430962</v>
      </c>
      <c r="CB69" s="434">
        <f t="shared" si="133"/>
        <v>33453.446611230916</v>
      </c>
      <c r="CC69" s="434">
        <f t="shared" si="133"/>
        <v>34838.928760911025</v>
      </c>
      <c r="CD69" s="434">
        <f t="shared" si="133"/>
        <v>39764.777960343868</v>
      </c>
      <c r="CE69" s="434">
        <f t="shared" ref="CE69:CL69" si="134">CE68*CE52/CE16</f>
        <v>45359.161685635416</v>
      </c>
      <c r="CF69" s="434">
        <f t="shared" si="134"/>
        <v>46121.051217839544</v>
      </c>
      <c r="CG69" s="434">
        <f t="shared" si="134"/>
        <v>40812.729371324953</v>
      </c>
      <c r="CH69" s="434">
        <f t="shared" si="134"/>
        <v>40404.56829954865</v>
      </c>
      <c r="CI69" s="434">
        <f t="shared" si="134"/>
        <v>43005.305495703549</v>
      </c>
      <c r="CJ69" s="434">
        <f t="shared" si="134"/>
        <v>46803.410074038416</v>
      </c>
      <c r="CK69" s="434">
        <f t="shared" si="134"/>
        <v>44874.924041390899</v>
      </c>
      <c r="CL69" s="434">
        <f t="shared" si="134"/>
        <v>46087.014864748511</v>
      </c>
      <c r="CM69" s="434">
        <f>AVERAGE(G69:CL69)</f>
        <v>41681.889743869855</v>
      </c>
      <c r="CN69" s="435"/>
      <c r="CO69" s="435"/>
      <c r="CP69" s="435"/>
      <c r="CQ69" s="435"/>
      <c r="CR69" s="435"/>
      <c r="CS69" s="435"/>
      <c r="CT69" s="435"/>
      <c r="CU69" s="435"/>
      <c r="CV69" s="435"/>
      <c r="CW69" s="435"/>
      <c r="CX69" s="435"/>
      <c r="CY69" s="435"/>
      <c r="CZ69" s="435"/>
      <c r="DA69" s="435"/>
      <c r="DB69" s="435"/>
      <c r="DC69" s="435"/>
      <c r="DD69" s="435"/>
      <c r="DE69" s="435"/>
      <c r="DF69" s="435"/>
      <c r="DG69" s="435"/>
      <c r="DH69" s="435"/>
      <c r="DI69" s="435"/>
      <c r="DJ69" s="435"/>
      <c r="DK69" s="435"/>
      <c r="DL69" s="435"/>
      <c r="DM69" s="435"/>
      <c r="DN69" s="435"/>
      <c r="DO69" s="435"/>
      <c r="DP69" s="435"/>
      <c r="DQ69" s="435"/>
      <c r="DR69" s="435"/>
      <c r="DS69" s="435"/>
      <c r="DT69" s="435"/>
      <c r="DU69" s="435"/>
      <c r="DV69" s="435"/>
      <c r="DW69" s="435"/>
      <c r="DX69" s="435"/>
      <c r="DY69" s="435"/>
      <c r="DZ69" s="435"/>
      <c r="EA69" s="435"/>
      <c r="EB69" s="435"/>
      <c r="EC69" s="435"/>
      <c r="ED69" s="435"/>
      <c r="EE69" s="435"/>
      <c r="EF69" s="435"/>
      <c r="EG69" s="435"/>
      <c r="EH69" s="435"/>
      <c r="EI69" s="435"/>
      <c r="EJ69" s="435"/>
      <c r="EK69" s="435"/>
      <c r="EL69" s="435"/>
      <c r="EM69" s="435"/>
      <c r="EN69" s="435"/>
      <c r="EO69" s="435"/>
      <c r="EP69" s="435"/>
      <c r="EQ69" s="435"/>
      <c r="ER69" s="435"/>
      <c r="ES69" s="435"/>
      <c r="ET69" s="435"/>
      <c r="EU69" s="435"/>
      <c r="EV69" s="435"/>
      <c r="EW69" s="435"/>
      <c r="EX69" s="435"/>
      <c r="EY69" s="435"/>
      <c r="EZ69" s="435"/>
      <c r="FA69" s="435"/>
      <c r="FB69" s="435"/>
      <c r="FC69" s="435"/>
      <c r="FD69" s="435"/>
      <c r="FE69" s="435"/>
      <c r="FF69" s="435"/>
      <c r="FG69" s="435"/>
      <c r="FH69" s="435"/>
      <c r="FI69" s="435"/>
      <c r="FJ69" s="435"/>
      <c r="FK69" s="435"/>
      <c r="FL69" s="435"/>
      <c r="FM69" s="435"/>
      <c r="FN69" s="435"/>
      <c r="FO69" s="435"/>
      <c r="FP69" s="435"/>
      <c r="FQ69" s="435"/>
      <c r="FR69" s="435"/>
      <c r="FS69" s="435"/>
      <c r="FT69" s="435"/>
      <c r="FU69" s="435"/>
      <c r="FV69" s="435"/>
    </row>
    <row r="70" spans="1:178" ht="18" customHeight="1">
      <c r="A70" s="1368" t="s">
        <v>519</v>
      </c>
      <c r="B70" s="1368"/>
      <c r="C70" s="1368"/>
      <c r="D70" s="1368"/>
      <c r="E70" s="1369"/>
      <c r="F70" s="432" t="s">
        <v>426</v>
      </c>
      <c r="G70" s="433">
        <f t="shared" ref="G70:R70" si="135">G53*G68/G17</f>
        <v>85170.215584774734</v>
      </c>
      <c r="H70" s="433">
        <f t="shared" si="135"/>
        <v>75289.273226992373</v>
      </c>
      <c r="I70" s="433">
        <f t="shared" si="135"/>
        <v>61742.709440835344</v>
      </c>
      <c r="J70" s="433">
        <f t="shared" si="135"/>
        <v>47912.34100901855</v>
      </c>
      <c r="K70" s="433">
        <f t="shared" si="135"/>
        <v>58542.48666515269</v>
      </c>
      <c r="L70" s="433">
        <f t="shared" si="135"/>
        <v>59142.982829733191</v>
      </c>
      <c r="M70" s="433">
        <f t="shared" si="135"/>
        <v>61101.87038366952</v>
      </c>
      <c r="N70" s="433">
        <f t="shared" si="135"/>
        <v>64479.229758438174</v>
      </c>
      <c r="O70" s="433">
        <f t="shared" si="135"/>
        <v>61928.467298537355</v>
      </c>
      <c r="P70" s="433">
        <f t="shared" si="135"/>
        <v>54101.653865479013</v>
      </c>
      <c r="Q70" s="433">
        <f t="shared" si="135"/>
        <v>49002.329782035609</v>
      </c>
      <c r="R70" s="433">
        <f t="shared" si="135"/>
        <v>50968.56330646517</v>
      </c>
      <c r="S70" s="433">
        <f t="shared" ref="S70:AX70" si="136">S53*S68/S17</f>
        <v>53322.391272080305</v>
      </c>
      <c r="T70" s="433">
        <f t="shared" si="136"/>
        <v>55195.884076350616</v>
      </c>
      <c r="U70" s="433">
        <f t="shared" si="136"/>
        <v>54451.927689877833</v>
      </c>
      <c r="V70" s="433">
        <f t="shared" si="136"/>
        <v>43069.786161810334</v>
      </c>
      <c r="W70" s="433">
        <f t="shared" si="136"/>
        <v>40843.823706862575</v>
      </c>
      <c r="X70" s="433">
        <f t="shared" si="136"/>
        <v>44796.096808122587</v>
      </c>
      <c r="Y70" s="433">
        <f t="shared" si="136"/>
        <v>47911.695980827542</v>
      </c>
      <c r="Z70" s="433">
        <f t="shared" si="136"/>
        <v>50437.583666207087</v>
      </c>
      <c r="AA70" s="433">
        <f t="shared" si="136"/>
        <v>51829.275800952775</v>
      </c>
      <c r="AB70" s="433">
        <f t="shared" si="136"/>
        <v>46587.580353228594</v>
      </c>
      <c r="AC70" s="433">
        <f t="shared" si="136"/>
        <v>44627.03995085349</v>
      </c>
      <c r="AD70" s="433">
        <f t="shared" si="136"/>
        <v>47790.039008225598</v>
      </c>
      <c r="AE70" s="433">
        <f t="shared" si="136"/>
        <v>53719.600294595621</v>
      </c>
      <c r="AF70" s="433">
        <f t="shared" si="136"/>
        <v>55221.637726291156</v>
      </c>
      <c r="AG70" s="433">
        <f t="shared" si="136"/>
        <v>58858.447505967488</v>
      </c>
      <c r="AH70" s="433">
        <f t="shared" si="136"/>
        <v>63836.920641016462</v>
      </c>
      <c r="AI70" s="433">
        <f t="shared" si="136"/>
        <v>64826.71293849832</v>
      </c>
      <c r="AJ70" s="433">
        <f t="shared" si="136"/>
        <v>58344.424836727208</v>
      </c>
      <c r="AK70" s="433">
        <f t="shared" si="136"/>
        <v>55703.727497266613</v>
      </c>
      <c r="AL70" s="433">
        <f t="shared" si="136"/>
        <v>51378.985018887106</v>
      </c>
      <c r="AM70" s="433">
        <f t="shared" si="136"/>
        <v>48507.114457495562</v>
      </c>
      <c r="AN70" s="433">
        <f t="shared" si="136"/>
        <v>48181.286162081487</v>
      </c>
      <c r="AO70" s="433">
        <f t="shared" si="136"/>
        <v>54584.896533555526</v>
      </c>
      <c r="AP70" s="433">
        <f t="shared" si="136"/>
        <v>60851.522299096832</v>
      </c>
      <c r="AQ70" s="433">
        <f t="shared" si="136"/>
        <v>66055.600471139376</v>
      </c>
      <c r="AR70" s="433">
        <f t="shared" si="136"/>
        <v>72326.241045235322</v>
      </c>
      <c r="AS70" s="433">
        <f t="shared" si="136"/>
        <v>71378.307292904297</v>
      </c>
      <c r="AT70" s="433">
        <f t="shared" si="136"/>
        <v>51304.470314600534</v>
      </c>
      <c r="AU70" s="434">
        <f t="shared" si="136"/>
        <v>46810.848313035778</v>
      </c>
      <c r="AV70" s="434">
        <f t="shared" si="136"/>
        <v>47501.581416079418</v>
      </c>
      <c r="AW70" s="434">
        <f t="shared" si="136"/>
        <v>48424.721731365185</v>
      </c>
      <c r="AX70" s="434">
        <f t="shared" si="136"/>
        <v>53831.168457801628</v>
      </c>
      <c r="AY70" s="434">
        <f t="shared" ref="AY70:CD70" si="137">AY53*AY68/AY17</f>
        <v>53142.036447628947</v>
      </c>
      <c r="AZ70" s="434">
        <f t="shared" si="137"/>
        <v>55659.425308023761</v>
      </c>
      <c r="BA70" s="434">
        <f t="shared" si="137"/>
        <v>58060.427211235401</v>
      </c>
      <c r="BB70" s="434">
        <f t="shared" si="137"/>
        <v>61280.745258796509</v>
      </c>
      <c r="BC70" s="434">
        <f t="shared" si="137"/>
        <v>64221.371567262191</v>
      </c>
      <c r="BD70" s="434">
        <f t="shared" si="137"/>
        <v>48585.649448404802</v>
      </c>
      <c r="BE70" s="434">
        <f t="shared" si="137"/>
        <v>42972.352663770376</v>
      </c>
      <c r="BF70" s="434">
        <f t="shared" si="137"/>
        <v>44323.053543911985</v>
      </c>
      <c r="BG70" s="434">
        <f t="shared" si="137"/>
        <v>48801.201567703509</v>
      </c>
      <c r="BH70" s="434">
        <f t="shared" si="137"/>
        <v>50707.254012097874</v>
      </c>
      <c r="BI70" s="434">
        <f t="shared" si="137"/>
        <v>54159.588552729379</v>
      </c>
      <c r="BJ70" s="434">
        <f t="shared" si="137"/>
        <v>54180.779934734986</v>
      </c>
      <c r="BK70" s="434">
        <f t="shared" si="137"/>
        <v>43927.060963720949</v>
      </c>
      <c r="BL70" s="434">
        <f t="shared" si="137"/>
        <v>44578.063522455661</v>
      </c>
      <c r="BM70" s="434">
        <f t="shared" si="137"/>
        <v>41742.634183403781</v>
      </c>
      <c r="BN70" s="434">
        <f t="shared" si="137"/>
        <v>41839.74949913071</v>
      </c>
      <c r="BO70" s="434">
        <f t="shared" si="137"/>
        <v>45961.347960114683</v>
      </c>
      <c r="BP70" s="434">
        <f t="shared" si="137"/>
        <v>47293.122346454751</v>
      </c>
      <c r="BQ70" s="434">
        <f t="shared" si="137"/>
        <v>52633.495688889314</v>
      </c>
      <c r="BR70" s="434">
        <f t="shared" si="137"/>
        <v>53948.707254852226</v>
      </c>
      <c r="BS70" s="434">
        <f t="shared" si="137"/>
        <v>47866.663308365314</v>
      </c>
      <c r="BT70" s="434">
        <f t="shared" si="137"/>
        <v>34694.947044164204</v>
      </c>
      <c r="BU70" s="434">
        <f t="shared" si="137"/>
        <v>51124.69237668116</v>
      </c>
      <c r="BV70" s="434">
        <f t="shared" si="137"/>
        <v>53875.659738663206</v>
      </c>
      <c r="BW70" s="434">
        <f t="shared" si="137"/>
        <v>56386.322402293219</v>
      </c>
      <c r="BX70" s="434">
        <f t="shared" si="137"/>
        <v>43367.393476320554</v>
      </c>
      <c r="BY70" s="434">
        <f t="shared" si="137"/>
        <v>43373.333017003897</v>
      </c>
      <c r="BZ70" s="434">
        <f t="shared" si="137"/>
        <v>41347.238142358998</v>
      </c>
      <c r="CA70" s="434">
        <f t="shared" si="137"/>
        <v>36371.891886232726</v>
      </c>
      <c r="CB70" s="434">
        <f t="shared" si="137"/>
        <v>41772.214022960638</v>
      </c>
      <c r="CC70" s="434">
        <f t="shared" si="137"/>
        <v>44083.797137921189</v>
      </c>
      <c r="CD70" s="434">
        <f t="shared" si="137"/>
        <v>51740.735940953156</v>
      </c>
      <c r="CE70" s="434">
        <f t="shared" ref="CE70:CL70" si="138">CE53*CE68/CE17</f>
        <v>59649.969357462105</v>
      </c>
      <c r="CF70" s="434">
        <f t="shared" si="138"/>
        <v>61176.011406668942</v>
      </c>
      <c r="CG70" s="434">
        <f t="shared" si="138"/>
        <v>53959.246719720701</v>
      </c>
      <c r="CH70" s="434">
        <f t="shared" si="138"/>
        <v>53820.61232360686</v>
      </c>
      <c r="CI70" s="434">
        <f t="shared" si="138"/>
        <v>57994.036615342469</v>
      </c>
      <c r="CJ70" s="434">
        <f t="shared" si="138"/>
        <v>63476.88056259531</v>
      </c>
      <c r="CK70" s="434">
        <f t="shared" si="138"/>
        <v>60758.952861465237</v>
      </c>
      <c r="CL70" s="434">
        <f t="shared" si="138"/>
        <v>62598.033121310233</v>
      </c>
      <c r="CM70" s="434">
        <f>AVERAGE(G70:CL70)</f>
        <v>53206.549535447411</v>
      </c>
      <c r="CN70" s="435"/>
      <c r="CO70" s="435"/>
      <c r="CP70" s="435"/>
      <c r="CQ70" s="435"/>
      <c r="CR70" s="435"/>
      <c r="CS70" s="435"/>
      <c r="CT70" s="435"/>
      <c r="CU70" s="435"/>
      <c r="CV70" s="435"/>
      <c r="CW70" s="435"/>
      <c r="CX70" s="435"/>
      <c r="CY70" s="435"/>
      <c r="CZ70" s="435"/>
      <c r="DA70" s="435"/>
      <c r="DB70" s="435"/>
      <c r="DC70" s="435"/>
      <c r="DD70" s="435"/>
      <c r="DE70" s="435"/>
      <c r="DF70" s="435"/>
      <c r="DG70" s="435"/>
      <c r="DH70" s="435"/>
      <c r="DI70" s="435"/>
      <c r="DJ70" s="435"/>
      <c r="DK70" s="435"/>
      <c r="DL70" s="435"/>
      <c r="DM70" s="435"/>
      <c r="DN70" s="435"/>
      <c r="DO70" s="435"/>
      <c r="DP70" s="435"/>
      <c r="DQ70" s="435"/>
      <c r="DR70" s="435"/>
      <c r="DS70" s="435"/>
      <c r="DT70" s="435"/>
      <c r="DU70" s="435"/>
      <c r="DV70" s="435"/>
      <c r="DW70" s="435"/>
      <c r="DX70" s="435"/>
      <c r="DY70" s="435"/>
      <c r="DZ70" s="435"/>
      <c r="EA70" s="435"/>
      <c r="EB70" s="435"/>
      <c r="EC70" s="435"/>
      <c r="ED70" s="435"/>
      <c r="EE70" s="435"/>
      <c r="EF70" s="435"/>
      <c r="EG70" s="435"/>
      <c r="EH70" s="435"/>
      <c r="EI70" s="435"/>
      <c r="EJ70" s="435"/>
      <c r="EK70" s="435"/>
      <c r="EL70" s="435"/>
      <c r="EM70" s="435"/>
      <c r="EN70" s="435"/>
      <c r="EO70" s="435"/>
      <c r="EP70" s="435"/>
      <c r="EQ70" s="435"/>
      <c r="ER70" s="435"/>
      <c r="ES70" s="435"/>
      <c r="ET70" s="435"/>
      <c r="EU70" s="435"/>
      <c r="EV70" s="435"/>
      <c r="EW70" s="435"/>
      <c r="EX70" s="435"/>
      <c r="EY70" s="435"/>
      <c r="EZ70" s="435"/>
      <c r="FA70" s="435"/>
      <c r="FB70" s="435"/>
      <c r="FC70" s="435"/>
      <c r="FD70" s="435"/>
      <c r="FE70" s="435"/>
      <c r="FF70" s="435"/>
      <c r="FG70" s="435"/>
      <c r="FH70" s="435"/>
      <c r="FI70" s="435"/>
      <c r="FJ70" s="435"/>
      <c r="FK70" s="435"/>
      <c r="FL70" s="435"/>
      <c r="FM70" s="435"/>
      <c r="FN70" s="435"/>
      <c r="FO70" s="435"/>
      <c r="FP70" s="435"/>
      <c r="FQ70" s="435"/>
      <c r="FR70" s="435"/>
      <c r="FS70" s="435"/>
      <c r="FT70" s="435"/>
      <c r="FU70" s="435"/>
      <c r="FV70" s="435"/>
    </row>
    <row r="71" spans="1:178">
      <c r="F71" s="323"/>
      <c r="G71" s="323"/>
      <c r="H71" s="323"/>
      <c r="I71" s="323"/>
      <c r="J71" s="323"/>
      <c r="K71" s="323"/>
      <c r="L71" s="323"/>
      <c r="M71" s="323"/>
      <c r="N71" s="323"/>
      <c r="O71" s="323"/>
      <c r="P71" s="323"/>
      <c r="Q71" s="323"/>
      <c r="R71" s="323"/>
      <c r="S71" s="352"/>
      <c r="T71" s="352"/>
      <c r="U71" s="352"/>
      <c r="V71" s="352"/>
      <c r="W71" s="352"/>
      <c r="X71" s="352"/>
      <c r="Y71" s="352"/>
      <c r="Z71" s="352"/>
      <c r="AA71" s="352"/>
      <c r="AB71" s="352"/>
      <c r="AC71" s="352"/>
      <c r="AD71" s="352"/>
      <c r="AE71" s="352"/>
      <c r="AF71" s="352"/>
      <c r="AG71" s="352"/>
      <c r="AH71" s="352"/>
      <c r="AI71" s="352"/>
      <c r="AJ71" s="352"/>
      <c r="AK71" s="352"/>
      <c r="AL71" s="352"/>
      <c r="AM71" s="352"/>
      <c r="AN71" s="352"/>
      <c r="AO71" s="352"/>
      <c r="AP71" s="352"/>
      <c r="AQ71" s="352"/>
      <c r="AR71" s="352"/>
      <c r="AS71" s="352"/>
      <c r="AT71" s="353"/>
      <c r="AU71" s="355"/>
      <c r="AV71" s="355"/>
      <c r="AW71" s="355"/>
      <c r="AX71" s="355"/>
      <c r="AY71" s="355"/>
      <c r="AZ71" s="355"/>
      <c r="BA71" s="355"/>
      <c r="BB71" s="355"/>
      <c r="BC71" s="355"/>
      <c r="BD71" s="355"/>
      <c r="BE71" s="355"/>
      <c r="BF71" s="355"/>
      <c r="BG71" s="355"/>
      <c r="BH71" s="355"/>
      <c r="BI71" s="355"/>
      <c r="BJ71" s="355"/>
      <c r="BK71" s="355"/>
      <c r="BL71" s="355"/>
      <c r="BM71" s="355"/>
      <c r="BN71" s="355"/>
      <c r="BO71" s="355"/>
      <c r="BP71" s="355"/>
      <c r="BQ71" s="355"/>
      <c r="BR71" s="355"/>
      <c r="BS71" s="355"/>
      <c r="BT71" s="355"/>
      <c r="BU71" s="355"/>
      <c r="BV71" s="355"/>
      <c r="BW71" s="355"/>
      <c r="BX71" s="355"/>
      <c r="BY71" s="355"/>
      <c r="BZ71" s="355"/>
      <c r="CA71" s="355"/>
      <c r="CB71" s="355"/>
      <c r="CC71" s="355"/>
      <c r="CD71" s="355"/>
      <c r="CE71" s="355"/>
      <c r="CF71" s="355"/>
      <c r="CG71" s="355"/>
      <c r="CH71" s="355"/>
      <c r="CI71" s="355"/>
      <c r="CJ71" s="355"/>
      <c r="CK71" s="355"/>
      <c r="CL71" s="355"/>
      <c r="CM71" s="356"/>
    </row>
    <row r="72" spans="1:178">
      <c r="F72" s="359" t="s">
        <v>270</v>
      </c>
      <c r="G72" s="359"/>
      <c r="H72" s="359"/>
      <c r="I72" s="359"/>
      <c r="J72" s="359"/>
      <c r="K72" s="359"/>
      <c r="L72" s="359"/>
      <c r="M72" s="359"/>
      <c r="N72" s="359"/>
      <c r="O72" s="359"/>
      <c r="P72" s="359"/>
      <c r="Q72" s="359"/>
      <c r="R72" s="359"/>
      <c r="S72" s="521">
        <v>79308</v>
      </c>
      <c r="T72" s="521">
        <v>87844.5</v>
      </c>
      <c r="U72" s="521">
        <v>84301.2</v>
      </c>
      <c r="V72" s="521">
        <v>71658</v>
      </c>
      <c r="W72" s="521">
        <v>73467</v>
      </c>
      <c r="X72" s="521">
        <v>79317</v>
      </c>
      <c r="Y72" s="521">
        <v>83124</v>
      </c>
      <c r="Z72" s="521">
        <v>80424</v>
      </c>
      <c r="AA72" s="521">
        <v>78174</v>
      </c>
      <c r="AB72" s="521">
        <v>79992</v>
      </c>
      <c r="AC72" s="521">
        <v>80892</v>
      </c>
      <c r="AD72" s="521">
        <v>80892</v>
      </c>
      <c r="AE72" s="521">
        <v>79920</v>
      </c>
      <c r="AF72" s="521">
        <v>79920</v>
      </c>
      <c r="AG72" s="521">
        <v>79020</v>
      </c>
      <c r="AH72" s="521">
        <v>80838</v>
      </c>
      <c r="AI72" s="521">
        <v>80838</v>
      </c>
      <c r="AJ72" s="521">
        <v>81738</v>
      </c>
      <c r="AK72" s="521">
        <v>80838</v>
      </c>
      <c r="AL72" s="521">
        <v>80838</v>
      </c>
      <c r="AM72" s="521">
        <v>80838</v>
      </c>
      <c r="AN72" s="521">
        <v>80478</v>
      </c>
      <c r="AO72" s="521">
        <v>73638</v>
      </c>
      <c r="AP72" s="521">
        <v>73638</v>
      </c>
      <c r="AQ72" s="521">
        <v>73638</v>
      </c>
      <c r="AR72" s="521">
        <v>75069</v>
      </c>
      <c r="AS72" s="521">
        <v>74097</v>
      </c>
      <c r="AT72" s="522">
        <v>77120</v>
      </c>
      <c r="AU72" s="523">
        <v>78330</v>
      </c>
      <c r="AV72" s="523">
        <v>78330</v>
      </c>
      <c r="AW72" s="523">
        <v>79710</v>
      </c>
      <c r="AX72" s="523">
        <v>81840</v>
      </c>
      <c r="AY72" s="523">
        <v>82290</v>
      </c>
      <c r="AZ72" s="523">
        <v>81605</v>
      </c>
      <c r="BA72" s="523">
        <v>80450</v>
      </c>
      <c r="BB72" s="523">
        <v>82290</v>
      </c>
      <c r="BC72" s="523">
        <v>84860</v>
      </c>
      <c r="BD72" s="523">
        <v>82790</v>
      </c>
      <c r="BE72" s="523">
        <v>75410</v>
      </c>
      <c r="BF72" s="523">
        <v>75535</v>
      </c>
      <c r="BG72" s="523">
        <v>75515</v>
      </c>
      <c r="BH72" s="523">
        <v>76895</v>
      </c>
      <c r="BI72" s="523">
        <v>76895</v>
      </c>
      <c r="BJ72" s="523">
        <v>73118.75</v>
      </c>
      <c r="BK72" s="523">
        <v>69505.666666666672</v>
      </c>
      <c r="BL72" s="523">
        <v>68825</v>
      </c>
      <c r="BM72" s="523">
        <v>69518</v>
      </c>
      <c r="BN72" s="523">
        <v>66726.666666666672</v>
      </c>
      <c r="BO72" s="523">
        <v>68260</v>
      </c>
      <c r="BP72" s="523">
        <v>65340</v>
      </c>
      <c r="BQ72" s="523">
        <v>64110</v>
      </c>
      <c r="BR72" s="523">
        <v>65725</v>
      </c>
      <c r="BS72" s="523">
        <v>66420</v>
      </c>
      <c r="BT72" s="523">
        <v>66430</v>
      </c>
      <c r="BU72" s="523">
        <v>62745</v>
      </c>
      <c r="BV72" s="523">
        <v>59985</v>
      </c>
      <c r="BW72" s="523">
        <v>63743.333333333336</v>
      </c>
      <c r="BX72" s="523">
        <v>67265</v>
      </c>
      <c r="BY72" s="523">
        <v>67680</v>
      </c>
      <c r="BZ72" s="523">
        <v>68533.333333333328</v>
      </c>
      <c r="CA72" s="523">
        <v>71170</v>
      </c>
      <c r="CB72" s="523">
        <v>74566.666666666672</v>
      </c>
      <c r="CC72" s="523">
        <v>80425</v>
      </c>
      <c r="CD72" s="523">
        <v>79965</v>
      </c>
      <c r="CE72" s="523">
        <v>83513.333333333328</v>
      </c>
      <c r="CF72" s="523">
        <v>94750</v>
      </c>
      <c r="CG72" s="523">
        <v>97356.666666666672</v>
      </c>
      <c r="CH72" s="523">
        <v>88703.333333333328</v>
      </c>
      <c r="CI72" s="523">
        <v>85010</v>
      </c>
      <c r="CJ72" s="523">
        <v>87430</v>
      </c>
      <c r="CK72" s="523">
        <v>92103.333333333328</v>
      </c>
      <c r="CL72" s="523">
        <v>94270</v>
      </c>
      <c r="CM72" s="524">
        <f>AVERAGE(S72:CL72)</f>
        <v>77330.538657407393</v>
      </c>
    </row>
    <row r="73" spans="1:178">
      <c r="F73" s="357" t="s">
        <v>271</v>
      </c>
      <c r="G73" s="357"/>
      <c r="H73" s="357"/>
      <c r="I73" s="357"/>
      <c r="J73" s="357"/>
      <c r="K73" s="357"/>
      <c r="L73" s="357"/>
      <c r="M73" s="357"/>
      <c r="N73" s="357"/>
      <c r="O73" s="357"/>
      <c r="P73" s="357"/>
      <c r="Q73" s="357"/>
      <c r="R73" s="357"/>
      <c r="S73" s="525">
        <v>81045</v>
      </c>
      <c r="T73" s="525">
        <v>88461.9</v>
      </c>
      <c r="U73" s="525">
        <v>84411.9</v>
      </c>
      <c r="V73" s="525">
        <v>73836</v>
      </c>
      <c r="W73" s="525">
        <v>75195</v>
      </c>
      <c r="X73" s="525">
        <v>78795</v>
      </c>
      <c r="Y73" s="525">
        <v>81990</v>
      </c>
      <c r="Z73" s="525">
        <v>80190</v>
      </c>
      <c r="AA73" s="525">
        <v>78840</v>
      </c>
      <c r="AB73" s="525">
        <v>80235</v>
      </c>
      <c r="AC73" s="525">
        <v>80235</v>
      </c>
      <c r="AD73" s="525">
        <v>80235</v>
      </c>
      <c r="AE73" s="525">
        <v>78345</v>
      </c>
      <c r="AF73" s="525">
        <v>78345</v>
      </c>
      <c r="AG73" s="525">
        <v>76545</v>
      </c>
      <c r="AH73" s="525">
        <v>78399</v>
      </c>
      <c r="AI73" s="525">
        <v>78399</v>
      </c>
      <c r="AJ73" s="525">
        <v>78399</v>
      </c>
      <c r="AK73" s="525">
        <v>77499</v>
      </c>
      <c r="AL73" s="525">
        <v>77499</v>
      </c>
      <c r="AM73" s="525">
        <v>77499</v>
      </c>
      <c r="AN73" s="525">
        <v>74799</v>
      </c>
      <c r="AO73" s="525">
        <v>71199</v>
      </c>
      <c r="AP73" s="525">
        <v>71199</v>
      </c>
      <c r="AQ73" s="525">
        <v>72549</v>
      </c>
      <c r="AR73" s="525">
        <v>73008</v>
      </c>
      <c r="AS73" s="525">
        <v>74358</v>
      </c>
      <c r="AT73" s="526">
        <v>80539.58795362903</v>
      </c>
      <c r="AU73" s="527">
        <v>86934.170866935485</v>
      </c>
      <c r="AV73" s="527">
        <v>89341.653225806454</v>
      </c>
      <c r="AW73" s="527">
        <v>91140.766129032243</v>
      </c>
      <c r="AX73" s="527">
        <v>96099.868951612909</v>
      </c>
      <c r="AY73" s="527">
        <v>97828.508064516122</v>
      </c>
      <c r="AZ73" s="527">
        <v>97836.572580645152</v>
      </c>
      <c r="BA73" s="527">
        <v>97190.645161290318</v>
      </c>
      <c r="BB73" s="527">
        <v>97364.107862903213</v>
      </c>
      <c r="BC73" s="527">
        <v>98086.408770161288</v>
      </c>
      <c r="BD73" s="527">
        <v>93706.549059139783</v>
      </c>
      <c r="BE73" s="527">
        <v>83380.277217741939</v>
      </c>
      <c r="BF73" s="527">
        <v>81038.145161290318</v>
      </c>
      <c r="BG73" s="527">
        <v>79961.224798387091</v>
      </c>
      <c r="BH73" s="527">
        <v>79961.224798387091</v>
      </c>
      <c r="BI73" s="527">
        <v>79961.224798387091</v>
      </c>
      <c r="BJ73" s="527">
        <v>77660.846774193546</v>
      </c>
      <c r="BK73" s="527">
        <v>72853.889616935485</v>
      </c>
      <c r="BL73" s="527">
        <v>70820.866935483864</v>
      </c>
      <c r="BM73" s="527">
        <v>71429.147177419349</v>
      </c>
      <c r="BN73" s="527">
        <v>70584.057459677424</v>
      </c>
      <c r="BO73" s="527">
        <v>70105.042002688162</v>
      </c>
      <c r="BP73" s="527">
        <v>67182.930947580651</v>
      </c>
      <c r="BQ73" s="527">
        <v>66724.662298387091</v>
      </c>
      <c r="BR73" s="527">
        <v>67824.059979838712</v>
      </c>
      <c r="BS73" s="527">
        <v>68500.904737903227</v>
      </c>
      <c r="BT73" s="527">
        <v>68724.480846774197</v>
      </c>
      <c r="BU73" s="527">
        <v>66429.480846774182</v>
      </c>
      <c r="BV73" s="527">
        <v>63588.351814516129</v>
      </c>
      <c r="BW73" s="527">
        <v>66402.384072580651</v>
      </c>
      <c r="BX73" s="527">
        <v>70905.260416666657</v>
      </c>
      <c r="BY73" s="527">
        <v>72930.645161290318</v>
      </c>
      <c r="BZ73" s="527">
        <v>74167.31182795699</v>
      </c>
      <c r="CA73" s="527">
        <v>76190.645161290318</v>
      </c>
      <c r="CB73" s="527">
        <v>78563.440860215051</v>
      </c>
      <c r="CC73" s="527">
        <v>82576.774193548394</v>
      </c>
      <c r="CD73" s="527">
        <v>83057.285786290318</v>
      </c>
      <c r="CE73" s="527">
        <v>87461.036626344096</v>
      </c>
      <c r="CF73" s="527">
        <v>95744.682459677424</v>
      </c>
      <c r="CG73" s="527">
        <v>100247.4932795699</v>
      </c>
      <c r="CH73" s="527">
        <v>93822.923387096787</v>
      </c>
      <c r="CI73" s="527">
        <v>89059.213709677409</v>
      </c>
      <c r="CJ73" s="527">
        <v>89672.547043010738</v>
      </c>
      <c r="CK73" s="527">
        <v>92655.342741935485</v>
      </c>
      <c r="CL73" s="527">
        <v>93595.342741935485</v>
      </c>
      <c r="CM73" s="528">
        <f>AVERAGE(S73:CL73)</f>
        <v>80296.705365376722</v>
      </c>
    </row>
    <row r="74" spans="1:178">
      <c r="F74" s="358" t="s">
        <v>272</v>
      </c>
      <c r="G74" s="358"/>
      <c r="H74" s="358"/>
      <c r="I74" s="358"/>
      <c r="J74" s="358"/>
      <c r="K74" s="358"/>
      <c r="L74" s="358"/>
      <c r="M74" s="358"/>
      <c r="N74" s="358"/>
      <c r="O74" s="358"/>
      <c r="P74" s="358"/>
      <c r="Q74" s="358"/>
      <c r="R74" s="358"/>
      <c r="S74" s="529">
        <v>73130.399999999994</v>
      </c>
      <c r="T74" s="529">
        <v>75137.399999999994</v>
      </c>
      <c r="U74" s="529">
        <v>70196.399999999994</v>
      </c>
      <c r="V74" s="529">
        <v>67642.2</v>
      </c>
      <c r="W74" s="529">
        <v>66744</v>
      </c>
      <c r="X74" s="529">
        <v>71694.899999999994</v>
      </c>
      <c r="Y74" s="529">
        <v>73773</v>
      </c>
      <c r="Z74" s="529">
        <v>70695</v>
      </c>
      <c r="AA74" s="529">
        <v>66735</v>
      </c>
      <c r="AB74" s="529">
        <v>72495</v>
      </c>
      <c r="AC74" s="529">
        <v>71613</v>
      </c>
      <c r="AD74" s="529">
        <v>71172</v>
      </c>
      <c r="AE74" s="529">
        <v>69300</v>
      </c>
      <c r="AF74" s="529">
        <v>71055</v>
      </c>
      <c r="AG74" s="529">
        <v>71055</v>
      </c>
      <c r="AH74" s="529">
        <v>75069</v>
      </c>
      <c r="AI74" s="529">
        <v>75069</v>
      </c>
      <c r="AJ74" s="529">
        <v>78147</v>
      </c>
      <c r="AK74" s="529">
        <v>74601</v>
      </c>
      <c r="AL74" s="529">
        <v>73314</v>
      </c>
      <c r="AM74" s="529">
        <v>73314</v>
      </c>
      <c r="AN74" s="529">
        <v>71992.800000000003</v>
      </c>
      <c r="AO74" s="529">
        <v>74170.8</v>
      </c>
      <c r="AP74" s="529">
        <v>75970.8</v>
      </c>
      <c r="AQ74" s="529">
        <v>79579.8</v>
      </c>
      <c r="AR74" s="529">
        <v>78679.8</v>
      </c>
      <c r="AS74" s="529">
        <v>78679.8</v>
      </c>
      <c r="AT74" s="530">
        <v>82316.144548146898</v>
      </c>
      <c r="AU74" s="531">
        <v>87120.247838398529</v>
      </c>
      <c r="AV74" s="531">
        <v>88230.55929702321</v>
      </c>
      <c r="AW74" s="531">
        <v>88137.702676638582</v>
      </c>
      <c r="AX74" s="531">
        <v>90726.081075997456</v>
      </c>
      <c r="AY74" s="531">
        <v>93640.936364928682</v>
      </c>
      <c r="AZ74" s="531">
        <v>92952.565226764884</v>
      </c>
      <c r="BA74" s="531">
        <v>90410.936364928682</v>
      </c>
      <c r="BB74" s="531">
        <v>92250.936364928682</v>
      </c>
      <c r="BC74" s="531">
        <v>94825.936364928682</v>
      </c>
      <c r="BD74" s="531">
        <v>91827.603031595354</v>
      </c>
      <c r="BE74" s="531">
        <v>79800.936364928682</v>
      </c>
      <c r="BF74" s="531">
        <v>79925.936364928668</v>
      </c>
      <c r="BG74" s="531">
        <v>82092.565226764898</v>
      </c>
      <c r="BH74" s="531">
        <v>83705.936364928682</v>
      </c>
      <c r="BI74" s="531">
        <v>86337.244991853178</v>
      </c>
      <c r="BJ74" s="531">
        <v>88343.09322299331</v>
      </c>
      <c r="BK74" s="531">
        <v>84371.0867978694</v>
      </c>
      <c r="BL74" s="531">
        <v>82533.667556645247</v>
      </c>
      <c r="BM74" s="531">
        <v>83915.296418481477</v>
      </c>
      <c r="BN74" s="531">
        <v>85998.353851846667</v>
      </c>
      <c r="BO74" s="531">
        <v>83680.839372426868</v>
      </c>
      <c r="BP74" s="531">
        <v>78296.420131202744</v>
      </c>
      <c r="BQ74" s="531">
        <v>74908.667556645261</v>
      </c>
      <c r="BR74" s="531">
        <v>75368.667556645261</v>
      </c>
      <c r="BS74" s="531">
        <v>74755.334223311933</v>
      </c>
      <c r="BT74" s="531">
        <v>71698.667556645261</v>
      </c>
      <c r="BU74" s="531">
        <v>67093.667556645261</v>
      </c>
      <c r="BV74" s="531">
        <v>66173.667556645261</v>
      </c>
      <c r="BW74" s="531">
        <v>70296.297866503111</v>
      </c>
      <c r="BX74" s="531">
        <v>73811.225510968739</v>
      </c>
      <c r="BY74" s="531">
        <v>73104.932138219243</v>
      </c>
      <c r="BZ74" s="531">
        <v>73109.932138219243</v>
      </c>
      <c r="CA74" s="531">
        <v>76518.265471552571</v>
      </c>
      <c r="CB74" s="531">
        <v>82074.932138219243</v>
      </c>
      <c r="CC74" s="531">
        <v>90244.932138219243</v>
      </c>
      <c r="CD74" s="531">
        <v>93047.449038505991</v>
      </c>
      <c r="CE74" s="531">
        <v>98603.920574120828</v>
      </c>
      <c r="CF74" s="531">
        <v>112597.05572119531</v>
      </c>
      <c r="CG74" s="531">
        <v>112518.32981716725</v>
      </c>
      <c r="CH74" s="531">
        <v>106216.66315050058</v>
      </c>
      <c r="CI74" s="531">
        <v>98978.114255042339</v>
      </c>
      <c r="CJ74" s="531">
        <v>99434.349797459188</v>
      </c>
      <c r="CK74" s="531">
        <v>103781.54397226339</v>
      </c>
      <c r="CL74" s="531">
        <v>105181.5439722634</v>
      </c>
      <c r="CM74" s="532">
        <f>AVERAGE(S74:CL74)</f>
        <v>81416.46229897374</v>
      </c>
    </row>
    <row r="75" spans="1:178">
      <c r="F75" s="348"/>
      <c r="G75" s="349"/>
      <c r="H75" s="349"/>
      <c r="I75" s="349"/>
      <c r="J75" s="349"/>
      <c r="K75" s="349"/>
      <c r="L75" s="349"/>
      <c r="M75" s="349"/>
      <c r="N75" s="349"/>
      <c r="O75" s="349"/>
      <c r="P75" s="349"/>
      <c r="Q75" s="349"/>
      <c r="R75" s="349"/>
      <c r="S75" s="349"/>
      <c r="T75" s="349"/>
      <c r="U75" s="349"/>
      <c r="V75" s="349"/>
      <c r="W75" s="349"/>
      <c r="X75" s="349"/>
      <c r="Y75" s="349"/>
      <c r="Z75" s="349"/>
      <c r="AA75" s="349"/>
      <c r="AB75" s="349"/>
      <c r="AC75" s="349"/>
      <c r="AD75" s="349"/>
      <c r="AE75" s="349"/>
      <c r="AF75" s="349"/>
      <c r="AG75" s="349"/>
      <c r="AH75" s="349"/>
      <c r="AI75" s="349"/>
      <c r="AJ75" s="349"/>
      <c r="AK75" s="349"/>
      <c r="AL75" s="349"/>
      <c r="AM75" s="349"/>
      <c r="AN75" s="349"/>
      <c r="AO75" s="349"/>
      <c r="AP75" s="349"/>
      <c r="AQ75" s="349"/>
      <c r="AR75" s="349"/>
      <c r="AS75" s="349"/>
      <c r="AT75" s="326"/>
      <c r="AU75" s="354"/>
      <c r="AV75" s="354"/>
      <c r="AW75" s="354"/>
      <c r="AX75" s="354"/>
      <c r="AY75" s="354"/>
      <c r="AZ75" s="354"/>
      <c r="BA75" s="354"/>
      <c r="BB75" s="354"/>
      <c r="BC75" s="354"/>
      <c r="BD75" s="354"/>
      <c r="BE75" s="354"/>
      <c r="BF75" s="354"/>
      <c r="BG75" s="354"/>
      <c r="BH75" s="354"/>
      <c r="BI75" s="354"/>
      <c r="BJ75" s="354"/>
      <c r="BK75" s="354"/>
      <c r="BL75" s="354"/>
      <c r="BM75" s="354"/>
      <c r="BN75" s="354"/>
      <c r="BO75" s="354"/>
      <c r="BP75" s="354"/>
      <c r="BQ75" s="354"/>
      <c r="BR75" s="354"/>
      <c r="BS75" s="354"/>
      <c r="BT75" s="354"/>
      <c r="BU75" s="354"/>
      <c r="BV75" s="354"/>
      <c r="BW75" s="354"/>
      <c r="BX75" s="354"/>
      <c r="BY75" s="354"/>
      <c r="BZ75" s="354"/>
      <c r="CA75" s="354"/>
      <c r="CB75" s="354"/>
      <c r="CC75" s="354"/>
      <c r="CD75" s="354"/>
      <c r="CE75" s="354"/>
      <c r="CF75" s="354"/>
      <c r="CG75" s="354"/>
      <c r="CH75" s="354"/>
      <c r="CI75" s="354"/>
      <c r="CJ75" s="354"/>
      <c r="CK75" s="354"/>
      <c r="CL75" s="354"/>
      <c r="CM75" s="315"/>
    </row>
    <row r="76" spans="1:178">
      <c r="A76" s="324"/>
    </row>
  </sheetData>
  <mergeCells count="14">
    <mergeCell ref="A69:E69"/>
    <mergeCell ref="A70:E70"/>
    <mergeCell ref="A59:E68"/>
    <mergeCell ref="A2:A6"/>
    <mergeCell ref="A7:A11"/>
    <mergeCell ref="A12:A15"/>
    <mergeCell ref="E16:E22"/>
    <mergeCell ref="E12:E15"/>
    <mergeCell ref="A16:A22"/>
    <mergeCell ref="A34:A40"/>
    <mergeCell ref="A42:A43"/>
    <mergeCell ref="E34:E40"/>
    <mergeCell ref="A23:A33"/>
    <mergeCell ref="D56:D57"/>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6"/>
  <dimension ref="A2:FW84"/>
  <sheetViews>
    <sheetView showGridLines="0" zoomScale="80" zoomScaleNormal="80" workbookViewId="0">
      <selection activeCell="E17" sqref="E17:E23"/>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75.28515625" style="324" customWidth="1"/>
    <col min="7" max="7" width="16.7109375" style="324" bestFit="1" customWidth="1"/>
    <col min="8" max="8" width="17.140625" style="324" customWidth="1"/>
    <col min="9" max="9" width="16.7109375" style="324" customWidth="1"/>
    <col min="10" max="10" width="16.140625" style="324" customWidth="1"/>
    <col min="11" max="11" width="15.85546875" style="324" customWidth="1"/>
    <col min="12" max="12" width="15.5703125" style="324" customWidth="1"/>
    <col min="13" max="13" width="15.85546875" style="324" customWidth="1"/>
    <col min="14" max="16" width="16.5703125" style="324" customWidth="1"/>
    <col min="17" max="17" width="14.5703125" style="324" customWidth="1"/>
    <col min="18" max="18" width="17.28515625" style="324" customWidth="1"/>
    <col min="19" max="19" width="16.7109375" style="324" customWidth="1"/>
    <col min="20" max="20" width="16.28515625" style="324" customWidth="1"/>
    <col min="21" max="21" width="16.5703125" style="324" customWidth="1"/>
    <col min="22" max="22" width="17.85546875" style="324" customWidth="1"/>
    <col min="23" max="42" width="16.28515625" style="324" customWidth="1"/>
    <col min="43" max="43" width="15.42578125" style="324" customWidth="1"/>
    <col min="44" max="45" width="16.28515625" style="324" customWidth="1"/>
    <col min="46" max="46" width="18.7109375" style="351" bestFit="1" customWidth="1"/>
    <col min="47" max="90" width="15.85546875" style="1" bestFit="1" customWidth="1"/>
    <col min="91" max="91" width="25.85546875" style="347"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2" spans="1:178" ht="21" customHeight="1">
      <c r="A2" s="845" t="s">
        <v>420</v>
      </c>
      <c r="B2" s="845" t="s">
        <v>401</v>
      </c>
      <c r="C2" s="846" t="s">
        <v>166</v>
      </c>
      <c r="D2" s="846" t="s">
        <v>196</v>
      </c>
      <c r="E2" s="845" t="s">
        <v>396</v>
      </c>
      <c r="F2" s="847" t="s">
        <v>4</v>
      </c>
      <c r="G2" s="848">
        <v>41913</v>
      </c>
      <c r="H2" s="848">
        <v>41944</v>
      </c>
      <c r="I2" s="848">
        <v>41974</v>
      </c>
      <c r="J2" s="848">
        <v>42005</v>
      </c>
      <c r="K2" s="848">
        <v>42036</v>
      </c>
      <c r="L2" s="848">
        <v>42064</v>
      </c>
      <c r="M2" s="848">
        <v>42095</v>
      </c>
      <c r="N2" s="848">
        <v>42125</v>
      </c>
      <c r="O2" s="848">
        <v>42156</v>
      </c>
      <c r="P2" s="848">
        <v>42186</v>
      </c>
      <c r="Q2" s="848">
        <v>42217</v>
      </c>
      <c r="R2" s="848">
        <v>42248</v>
      </c>
      <c r="S2" s="848">
        <v>42278</v>
      </c>
      <c r="T2" s="848">
        <v>42309</v>
      </c>
      <c r="U2" s="848">
        <v>42339</v>
      </c>
      <c r="V2" s="848">
        <v>42370</v>
      </c>
      <c r="W2" s="848">
        <v>42401</v>
      </c>
      <c r="X2" s="848">
        <v>42430</v>
      </c>
      <c r="Y2" s="848">
        <v>42461</v>
      </c>
      <c r="Z2" s="848">
        <v>42491</v>
      </c>
      <c r="AA2" s="848">
        <v>42522</v>
      </c>
      <c r="AB2" s="848">
        <v>42552</v>
      </c>
      <c r="AC2" s="848">
        <v>42583</v>
      </c>
      <c r="AD2" s="848">
        <v>42614</v>
      </c>
      <c r="AE2" s="848">
        <v>42644</v>
      </c>
      <c r="AF2" s="848">
        <v>42675</v>
      </c>
      <c r="AG2" s="848">
        <v>42705</v>
      </c>
      <c r="AH2" s="848">
        <v>42736</v>
      </c>
      <c r="AI2" s="848">
        <v>42767</v>
      </c>
      <c r="AJ2" s="848">
        <v>42795</v>
      </c>
      <c r="AK2" s="848">
        <v>42826</v>
      </c>
      <c r="AL2" s="848">
        <v>42856</v>
      </c>
      <c r="AM2" s="848">
        <v>42887</v>
      </c>
      <c r="AN2" s="848">
        <v>42917</v>
      </c>
      <c r="AO2" s="848">
        <v>42948</v>
      </c>
      <c r="AP2" s="848">
        <v>42979</v>
      </c>
      <c r="AQ2" s="848">
        <v>43009</v>
      </c>
      <c r="AR2" s="848">
        <v>43040</v>
      </c>
      <c r="AS2" s="848">
        <v>43070</v>
      </c>
      <c r="AT2" s="848">
        <v>43101</v>
      </c>
      <c r="AU2" s="848">
        <v>43132</v>
      </c>
      <c r="AV2" s="848">
        <v>43160</v>
      </c>
      <c r="AW2" s="848">
        <v>43191</v>
      </c>
      <c r="AX2" s="848">
        <v>43221</v>
      </c>
      <c r="AY2" s="848">
        <v>43252</v>
      </c>
      <c r="AZ2" s="848">
        <v>43282</v>
      </c>
      <c r="BA2" s="848">
        <v>43313</v>
      </c>
      <c r="BB2" s="848">
        <v>43344</v>
      </c>
      <c r="BC2" s="848">
        <v>43374</v>
      </c>
      <c r="BD2" s="848">
        <v>43405</v>
      </c>
      <c r="BE2" s="848">
        <v>43435</v>
      </c>
      <c r="BF2" s="848">
        <v>43466</v>
      </c>
      <c r="BG2" s="848">
        <v>43497</v>
      </c>
      <c r="BH2" s="848">
        <v>43525</v>
      </c>
      <c r="BI2" s="848">
        <v>43556</v>
      </c>
      <c r="BJ2" s="848">
        <v>43586</v>
      </c>
      <c r="BK2" s="848">
        <v>43617</v>
      </c>
      <c r="BL2" s="848">
        <v>43647</v>
      </c>
      <c r="BM2" s="848">
        <v>43678</v>
      </c>
      <c r="BN2" s="848">
        <v>43709</v>
      </c>
      <c r="BO2" s="848">
        <v>43739</v>
      </c>
      <c r="BP2" s="848">
        <v>43770</v>
      </c>
      <c r="BQ2" s="848">
        <v>43800</v>
      </c>
      <c r="BR2" s="848">
        <v>43831</v>
      </c>
      <c r="BS2" s="848">
        <v>43862</v>
      </c>
      <c r="BT2" s="848">
        <v>43891</v>
      </c>
      <c r="BU2" s="848">
        <v>43922</v>
      </c>
      <c r="BV2" s="848">
        <v>43952</v>
      </c>
      <c r="BW2" s="848">
        <v>43983</v>
      </c>
      <c r="BX2" s="848">
        <v>44013</v>
      </c>
      <c r="BY2" s="848">
        <v>44044</v>
      </c>
      <c r="BZ2" s="848">
        <v>44075</v>
      </c>
      <c r="CA2" s="848">
        <v>44105</v>
      </c>
      <c r="CB2" s="848">
        <v>44136</v>
      </c>
      <c r="CC2" s="848">
        <v>44166</v>
      </c>
      <c r="CD2" s="848">
        <v>44197</v>
      </c>
      <c r="CE2" s="848">
        <v>44228</v>
      </c>
      <c r="CF2" s="848">
        <v>44256</v>
      </c>
      <c r="CG2" s="848">
        <v>44287</v>
      </c>
      <c r="CH2" s="848">
        <v>44317</v>
      </c>
      <c r="CI2" s="848">
        <v>44348</v>
      </c>
      <c r="CJ2" s="848">
        <v>44378</v>
      </c>
      <c r="CK2" s="848">
        <v>44409</v>
      </c>
      <c r="CL2" s="848">
        <v>44440</v>
      </c>
      <c r="CM2" s="849" t="s">
        <v>514</v>
      </c>
      <c r="CN2" s="347"/>
      <c r="CO2" s="347"/>
      <c r="CP2" s="347"/>
      <c r="CQ2" s="347"/>
      <c r="CR2" s="347"/>
      <c r="CS2" s="347"/>
      <c r="CT2" s="347"/>
      <c r="CU2" s="347"/>
      <c r="CV2" s="347"/>
      <c r="CW2" s="347"/>
      <c r="CX2" s="347"/>
      <c r="CY2" s="347"/>
      <c r="CZ2" s="347"/>
      <c r="DA2" s="347"/>
      <c r="DB2" s="347"/>
      <c r="DC2" s="347"/>
      <c r="DD2" s="347"/>
      <c r="DE2" s="347"/>
      <c r="DF2" s="347"/>
      <c r="DG2" s="347"/>
      <c r="DH2" s="347"/>
      <c r="DI2" s="347"/>
      <c r="DJ2" s="347"/>
      <c r="DK2" s="347"/>
      <c r="DL2" s="347"/>
      <c r="DM2" s="347"/>
      <c r="DN2" s="347"/>
      <c r="DO2" s="347"/>
      <c r="DP2" s="347"/>
      <c r="DQ2" s="347"/>
      <c r="DR2" s="347"/>
      <c r="DS2" s="347"/>
      <c r="DT2" s="347"/>
      <c r="DU2" s="347"/>
      <c r="DV2" s="347"/>
      <c r="DW2" s="347"/>
      <c r="DX2" s="347"/>
      <c r="DY2" s="347"/>
      <c r="DZ2" s="347"/>
      <c r="EA2" s="347"/>
      <c r="EB2" s="347"/>
      <c r="EC2" s="347"/>
      <c r="ED2" s="347"/>
      <c r="EE2" s="347"/>
      <c r="EF2" s="347"/>
      <c r="EG2" s="347"/>
      <c r="EH2" s="347"/>
      <c r="EI2" s="347"/>
      <c r="EJ2" s="347"/>
      <c r="EK2" s="347"/>
      <c r="EL2" s="347"/>
      <c r="EM2" s="347"/>
      <c r="EN2" s="347"/>
      <c r="EO2" s="347"/>
      <c r="EP2" s="347"/>
      <c r="EQ2" s="347"/>
      <c r="ER2" s="347"/>
      <c r="ES2" s="347"/>
      <c r="ET2" s="347"/>
      <c r="EU2" s="347"/>
      <c r="EV2" s="347"/>
      <c r="EW2" s="347"/>
      <c r="EX2" s="347"/>
      <c r="EY2" s="347"/>
      <c r="EZ2" s="347"/>
      <c r="FA2" s="347"/>
      <c r="FB2" s="347"/>
      <c r="FC2" s="347"/>
      <c r="FD2" s="347"/>
      <c r="FE2" s="347"/>
      <c r="FF2" s="347"/>
      <c r="FG2" s="347"/>
      <c r="FH2" s="347"/>
      <c r="FI2" s="347"/>
      <c r="FJ2" s="347"/>
      <c r="FK2" s="347"/>
      <c r="FL2" s="347"/>
      <c r="FM2" s="347"/>
      <c r="FN2" s="347"/>
      <c r="FO2" s="347"/>
      <c r="FP2" s="347"/>
      <c r="FQ2" s="347"/>
      <c r="FR2" s="347"/>
      <c r="FS2" s="347"/>
      <c r="FT2" s="347"/>
      <c r="FU2" s="347"/>
      <c r="FV2" s="347"/>
    </row>
    <row r="3" spans="1:178">
      <c r="A3" s="1399" t="s">
        <v>445</v>
      </c>
      <c r="B3" s="313" t="s">
        <v>400</v>
      </c>
      <c r="C3" s="583" t="s">
        <v>151</v>
      </c>
      <c r="D3" s="583"/>
      <c r="E3" s="850" t="s">
        <v>464</v>
      </c>
      <c r="F3" s="851" t="s">
        <v>168</v>
      </c>
      <c r="G3" s="436">
        <v>24840.979509560882</v>
      </c>
      <c r="H3" s="436">
        <v>27601.017012299759</v>
      </c>
      <c r="I3" s="436">
        <v>27872.673549717059</v>
      </c>
      <c r="J3" s="436">
        <v>27711.2808766833</v>
      </c>
      <c r="K3" s="436">
        <v>27693.66376423134</v>
      </c>
      <c r="L3" s="436">
        <v>27809.557786379155</v>
      </c>
      <c r="M3" s="436">
        <v>27872.235855872641</v>
      </c>
      <c r="N3" s="436">
        <v>28140.242871436196</v>
      </c>
      <c r="O3" s="436">
        <v>26877.737654853237</v>
      </c>
      <c r="P3" s="436">
        <v>26833.652476261464</v>
      </c>
      <c r="Q3" s="436">
        <v>27179.662397707976</v>
      </c>
      <c r="R3" s="436">
        <v>27444.927209212419</v>
      </c>
      <c r="S3" s="375">
        <v>27172.757259730271</v>
      </c>
      <c r="T3" s="375">
        <v>27435.402155329346</v>
      </c>
      <c r="U3" s="375">
        <v>24656.197597598231</v>
      </c>
      <c r="V3" s="375">
        <v>24857.002097505603</v>
      </c>
      <c r="W3" s="375">
        <v>24957.504418524</v>
      </c>
      <c r="X3" s="375">
        <v>24671.356060602</v>
      </c>
      <c r="Y3" s="375">
        <v>22065.031348464003</v>
      </c>
      <c r="Z3" s="375">
        <v>22128.595366396799</v>
      </c>
      <c r="AA3" s="375">
        <v>22175.145645834004</v>
      </c>
      <c r="AB3" s="375">
        <v>22129.757356843198</v>
      </c>
      <c r="AC3" s="375">
        <v>22130.982157584003</v>
      </c>
      <c r="AD3" s="375">
        <v>22101.814627121999</v>
      </c>
      <c r="AE3" s="375">
        <v>20176.261138200003</v>
      </c>
      <c r="AF3" s="375">
        <v>20344.666108500001</v>
      </c>
      <c r="AG3" s="375">
        <v>20306.532203250001</v>
      </c>
      <c r="AH3" s="375">
        <v>20326.102690200001</v>
      </c>
      <c r="AI3" s="375">
        <v>20186.004687749999</v>
      </c>
      <c r="AJ3" s="375">
        <v>20024.232258749998</v>
      </c>
      <c r="AK3" s="375">
        <v>19807.044369888001</v>
      </c>
      <c r="AL3" s="375">
        <v>19811.148591575999</v>
      </c>
      <c r="AM3" s="375">
        <v>19814.393790120001</v>
      </c>
      <c r="AN3" s="375">
        <v>19787.165938022405</v>
      </c>
      <c r="AO3" s="375">
        <v>19764.443185079999</v>
      </c>
      <c r="AP3" s="375">
        <v>19819.643376</v>
      </c>
      <c r="AQ3" s="375">
        <v>21243.123751632003</v>
      </c>
      <c r="AR3" s="375">
        <v>21228.775525005003</v>
      </c>
      <c r="AS3" s="375">
        <v>21095.414875967999</v>
      </c>
      <c r="AT3" s="504">
        <v>21071.38993836</v>
      </c>
      <c r="AU3" s="375">
        <v>21195.963688920001</v>
      </c>
      <c r="AV3" s="375">
        <v>21258.99207462</v>
      </c>
      <c r="AW3" s="375">
        <v>21969.716726712002</v>
      </c>
      <c r="AX3" s="375">
        <v>22213.381412549999</v>
      </c>
      <c r="AY3" s="375">
        <v>22285.80953328</v>
      </c>
      <c r="AZ3" s="375">
        <v>22389.289493304001</v>
      </c>
      <c r="BA3" s="375">
        <v>22601.627544809999</v>
      </c>
      <c r="BB3" s="375">
        <v>22985.830264368</v>
      </c>
      <c r="BC3" s="375">
        <v>24236.038385039999</v>
      </c>
      <c r="BD3" s="375">
        <v>23886.024940560001</v>
      </c>
      <c r="BE3" s="375">
        <v>23763.494371929602</v>
      </c>
      <c r="BF3" s="375">
        <v>23850.635650175998</v>
      </c>
      <c r="BG3" s="375">
        <v>23876.32629216</v>
      </c>
      <c r="BH3" s="375">
        <v>23559.9348288</v>
      </c>
      <c r="BI3" s="375">
        <v>24749.661100421999</v>
      </c>
      <c r="BJ3" s="375">
        <v>24830.752192455002</v>
      </c>
      <c r="BK3" s="375">
        <v>24722.223624098398</v>
      </c>
      <c r="BL3" s="375">
        <v>24676.664916000002</v>
      </c>
      <c r="BM3" s="375">
        <v>25104.842923845001</v>
      </c>
      <c r="BN3" s="375">
        <v>25056.851009599202</v>
      </c>
      <c r="BO3" s="375">
        <v>23362.582985118002</v>
      </c>
      <c r="BP3" s="375">
        <v>23485.113220196999</v>
      </c>
      <c r="BQ3" s="375">
        <v>23424.689280801598</v>
      </c>
      <c r="BR3" s="375">
        <v>23417.694656627998</v>
      </c>
      <c r="BS3" s="375">
        <v>23522.862643314002</v>
      </c>
      <c r="BT3" s="375">
        <v>24040.912355508</v>
      </c>
      <c r="BU3" s="375">
        <v>20945.901743808005</v>
      </c>
      <c r="BV3" s="375">
        <v>20894.881721664002</v>
      </c>
      <c r="BW3" s="375">
        <v>20888.197608186005</v>
      </c>
      <c r="BX3" s="375">
        <v>20802.407931528</v>
      </c>
      <c r="BY3" s="375">
        <v>20716.532403871199</v>
      </c>
      <c r="BZ3" s="375">
        <v>20623.347276888002</v>
      </c>
      <c r="CA3" s="375">
        <v>18381.711629385001</v>
      </c>
      <c r="CB3" s="375">
        <v>18414.618655908002</v>
      </c>
      <c r="CC3" s="375">
        <v>18362.123566842001</v>
      </c>
      <c r="CD3" s="375">
        <v>18318.758857221601</v>
      </c>
      <c r="CE3" s="375">
        <v>18321.89111013</v>
      </c>
      <c r="CF3" s="375">
        <v>18295.046508591</v>
      </c>
      <c r="CG3" s="375">
        <v>18459.489786282</v>
      </c>
      <c r="CH3" s="375">
        <v>18309.610106791202</v>
      </c>
      <c r="CI3" s="375">
        <v>18409.888127321999</v>
      </c>
      <c r="CJ3" s="375">
        <v>18451.016169543</v>
      </c>
      <c r="CK3" s="375">
        <v>18395.2005249744</v>
      </c>
      <c r="CL3" s="436">
        <v>18387.819981831002</v>
      </c>
      <c r="CM3" s="598">
        <f t="shared" ref="CM3:CM12" si="0">AVERAGE(G3:CL3)</f>
        <v>22559.665229881339</v>
      </c>
      <c r="CN3" s="853" t="s">
        <v>197</v>
      </c>
      <c r="CO3" s="853"/>
      <c r="CP3" s="853"/>
      <c r="CQ3" s="853"/>
      <c r="CR3" s="853"/>
      <c r="CS3" s="853"/>
      <c r="CT3" s="853"/>
      <c r="CU3" s="853"/>
      <c r="CV3" s="853"/>
      <c r="CW3" s="853"/>
      <c r="CX3" s="853"/>
      <c r="CY3" s="853"/>
      <c r="CZ3" s="853"/>
      <c r="DA3" s="853"/>
      <c r="DB3" s="853"/>
      <c r="DC3" s="853"/>
      <c r="DD3" s="853"/>
      <c r="DE3" s="853"/>
      <c r="DF3" s="853"/>
      <c r="DG3" s="853"/>
      <c r="DH3" s="853"/>
      <c r="DI3" s="853"/>
      <c r="DJ3" s="853"/>
      <c r="DK3" s="853"/>
      <c r="DL3" s="853"/>
      <c r="DM3" s="853"/>
      <c r="DN3" s="853"/>
      <c r="DO3" s="853"/>
      <c r="DP3" s="853"/>
      <c r="DQ3" s="853"/>
      <c r="DR3" s="853"/>
      <c r="DS3" s="853"/>
      <c r="DT3" s="853"/>
      <c r="DU3" s="853"/>
      <c r="DV3" s="853"/>
      <c r="DW3" s="853"/>
      <c r="DX3" s="853"/>
      <c r="DY3" s="853"/>
      <c r="DZ3" s="853"/>
      <c r="EA3" s="853"/>
      <c r="EB3" s="853"/>
      <c r="EC3" s="347"/>
      <c r="ED3" s="347"/>
      <c r="EE3" s="347"/>
      <c r="EF3" s="347"/>
      <c r="EG3" s="347"/>
      <c r="EH3" s="347"/>
      <c r="EI3" s="347"/>
      <c r="EJ3" s="347"/>
      <c r="EK3" s="347"/>
      <c r="EL3" s="347"/>
      <c r="EM3" s="347"/>
      <c r="EN3" s="347"/>
      <c r="EO3" s="347"/>
      <c r="EP3" s="347"/>
      <c r="EQ3" s="347"/>
      <c r="ER3" s="347"/>
      <c r="ES3" s="347"/>
      <c r="ET3" s="347"/>
      <c r="EU3" s="347"/>
      <c r="EV3" s="347"/>
      <c r="EW3" s="347"/>
      <c r="EX3" s="347"/>
      <c r="EY3" s="347"/>
      <c r="EZ3" s="347"/>
      <c r="FA3" s="347"/>
      <c r="FB3" s="347"/>
      <c r="FC3" s="347"/>
      <c r="FD3" s="347"/>
      <c r="FE3" s="347"/>
      <c r="FF3" s="347"/>
      <c r="FG3" s="347"/>
      <c r="FH3" s="347"/>
      <c r="FI3" s="347"/>
      <c r="FJ3" s="347"/>
      <c r="FK3" s="347"/>
      <c r="FL3" s="347"/>
      <c r="FM3" s="347"/>
      <c r="FN3" s="347"/>
      <c r="FO3" s="347"/>
      <c r="FP3" s="347"/>
      <c r="FQ3" s="347"/>
      <c r="FR3" s="347"/>
      <c r="FS3" s="347"/>
      <c r="FT3" s="347"/>
      <c r="FU3" s="347"/>
      <c r="FV3" s="347"/>
    </row>
    <row r="4" spans="1:178">
      <c r="A4" s="1394"/>
      <c r="B4" s="811" t="s">
        <v>400</v>
      </c>
      <c r="C4" s="581" t="s">
        <v>151</v>
      </c>
      <c r="D4" s="581"/>
      <c r="E4" s="347" t="s">
        <v>464</v>
      </c>
      <c r="F4" s="854" t="s">
        <v>0</v>
      </c>
      <c r="G4" s="438">
        <v>47327.845206284997</v>
      </c>
      <c r="H4" s="438">
        <v>39482.80760588</v>
      </c>
      <c r="I4" s="438">
        <v>36204.060790149997</v>
      </c>
      <c r="J4" s="438">
        <v>27698.208912624999</v>
      </c>
      <c r="K4" s="438">
        <v>29295.424416149999</v>
      </c>
      <c r="L4" s="438">
        <v>32785.037939000002</v>
      </c>
      <c r="M4" s="438">
        <v>30278.944923519997</v>
      </c>
      <c r="N4" s="438">
        <v>31112.532112649998</v>
      </c>
      <c r="O4" s="438">
        <v>27122.875893674995</v>
      </c>
      <c r="P4" s="438">
        <v>26376.786423944999</v>
      </c>
      <c r="Q4" s="438">
        <v>24927.501257080003</v>
      </c>
      <c r="R4" s="438">
        <v>21879.322637759997</v>
      </c>
      <c r="S4" s="380">
        <v>24575.123904479995</v>
      </c>
      <c r="T4" s="380">
        <v>27419.471417719997</v>
      </c>
      <c r="U4" s="380">
        <v>32111.792529339997</v>
      </c>
      <c r="V4" s="380">
        <v>24361.102800000001</v>
      </c>
      <c r="W4" s="380">
        <v>20343.800900000002</v>
      </c>
      <c r="X4" s="380">
        <v>20225.6142</v>
      </c>
      <c r="Y4" s="380">
        <v>22277.670000000002</v>
      </c>
      <c r="Z4" s="380">
        <v>22772.380700000002</v>
      </c>
      <c r="AA4" s="380">
        <v>23208.521000000001</v>
      </c>
      <c r="AB4" s="380">
        <v>20679.534800000001</v>
      </c>
      <c r="AC4" s="380">
        <v>19966.231</v>
      </c>
      <c r="AD4" s="380">
        <v>20608.4136</v>
      </c>
      <c r="AE4" s="380">
        <v>23739.838200000002</v>
      </c>
      <c r="AF4" s="380">
        <v>27675.5599</v>
      </c>
      <c r="AG4" s="380">
        <v>26944.4758</v>
      </c>
      <c r="AH4" s="380">
        <v>30970.144900000003</v>
      </c>
      <c r="AI4" s="380">
        <v>35685.062100000003</v>
      </c>
      <c r="AJ4" s="380">
        <v>33001.282700000003</v>
      </c>
      <c r="AK4" s="380">
        <v>28971.43</v>
      </c>
      <c r="AL4" s="380">
        <v>25940.411800000002</v>
      </c>
      <c r="AM4" s="380">
        <v>25950.870800000001</v>
      </c>
      <c r="AN4" s="380">
        <v>23221.071800000002</v>
      </c>
      <c r="AO4" s="380">
        <v>28110.654300000002</v>
      </c>
      <c r="AP4" s="380">
        <v>32381.064000000002</v>
      </c>
      <c r="AQ4" s="380">
        <v>39089.4666</v>
      </c>
      <c r="AR4" s="380">
        <v>38985.922500000001</v>
      </c>
      <c r="AS4" s="380">
        <v>39578.947800000002</v>
      </c>
      <c r="AT4" s="561">
        <v>39294.463000000003</v>
      </c>
      <c r="AU4" s="380">
        <v>35437.183799999999</v>
      </c>
      <c r="AV4" s="380">
        <v>32666.594700000001</v>
      </c>
      <c r="AW4" s="380">
        <v>32691.696300000003</v>
      </c>
      <c r="AX4" s="380">
        <v>35282.390599999999</v>
      </c>
      <c r="AY4" s="380">
        <v>39784.990100000003</v>
      </c>
      <c r="AZ4" s="380">
        <v>39850.881800000003</v>
      </c>
      <c r="BA4" s="380">
        <v>42365.225400000003</v>
      </c>
      <c r="BB4" s="380">
        <v>45248.771700000005</v>
      </c>
      <c r="BC4" s="380">
        <v>50290.009700000002</v>
      </c>
      <c r="BD4" s="380">
        <v>40239.956600000005</v>
      </c>
      <c r="BE4" s="380">
        <v>32952.125400000004</v>
      </c>
      <c r="BF4" s="380">
        <v>31827.782900000002</v>
      </c>
      <c r="BG4" s="380">
        <v>32745.037200000002</v>
      </c>
      <c r="BH4" s="380">
        <v>35573.150800000003</v>
      </c>
      <c r="BI4" s="380">
        <v>37367.915200000003</v>
      </c>
      <c r="BJ4" s="380">
        <v>38308.179300000003</v>
      </c>
      <c r="BK4" s="380">
        <v>31230.574000000001</v>
      </c>
      <c r="BL4" s="380">
        <v>26991.541300000001</v>
      </c>
      <c r="BM4" s="380">
        <v>27524.9503</v>
      </c>
      <c r="BN4" s="380">
        <v>26006.303500000002</v>
      </c>
      <c r="BO4" s="380">
        <v>31143.764300000003</v>
      </c>
      <c r="BP4" s="380">
        <v>32199.077400000002</v>
      </c>
      <c r="BQ4" s="380">
        <v>32762.817500000001</v>
      </c>
      <c r="BR4" s="380">
        <v>42114.2094</v>
      </c>
      <c r="BS4" s="380">
        <v>37957.802800000005</v>
      </c>
      <c r="BT4" s="380">
        <v>33649.740700000002</v>
      </c>
      <c r="BU4" s="380">
        <v>18321.030300000002</v>
      </c>
      <c r="BV4" s="380">
        <v>26936.1086</v>
      </c>
      <c r="BW4" s="380">
        <v>27733.0844</v>
      </c>
      <c r="BX4" s="380">
        <v>28196.418100000003</v>
      </c>
      <c r="BY4" s="380">
        <v>28402.4604</v>
      </c>
      <c r="BZ4" s="380">
        <v>28044.762600000002</v>
      </c>
      <c r="CA4" s="380">
        <v>28895.079300000001</v>
      </c>
      <c r="CB4" s="380">
        <v>33337.016600000003</v>
      </c>
      <c r="CC4" s="380">
        <v>34620.335899999998</v>
      </c>
      <c r="CD4" s="380">
        <v>42036.8128</v>
      </c>
      <c r="CE4" s="380">
        <v>46182.760399999999</v>
      </c>
      <c r="CF4" s="380">
        <v>47590.541799999999</v>
      </c>
      <c r="CG4" s="380">
        <v>43633.902099999999</v>
      </c>
      <c r="CH4" s="380">
        <v>37765.357199999999</v>
      </c>
      <c r="CI4" s="380">
        <v>40887.368699999999</v>
      </c>
      <c r="CJ4" s="380">
        <v>48290.248900000006</v>
      </c>
      <c r="CK4" s="380">
        <v>51055.608500000002</v>
      </c>
      <c r="CL4" s="438">
        <v>51226.090200000006</v>
      </c>
      <c r="CM4" s="356">
        <f t="shared" si="0"/>
        <v>32618.444412741188</v>
      </c>
      <c r="CN4" s="347"/>
      <c r="CO4" s="853" t="s">
        <v>198</v>
      </c>
      <c r="CP4" s="853" t="s">
        <v>199</v>
      </c>
      <c r="CQ4" s="853" t="s">
        <v>200</v>
      </c>
      <c r="CR4" s="853" t="s">
        <v>1</v>
      </c>
      <c r="CS4" s="347"/>
      <c r="CT4" s="347"/>
      <c r="CU4" s="347"/>
      <c r="CV4" s="347"/>
      <c r="CW4" s="347"/>
      <c r="DB4" s="856"/>
      <c r="DC4" s="856"/>
      <c r="DD4" s="856"/>
      <c r="DE4" s="856"/>
      <c r="DF4" s="856"/>
      <c r="DG4" s="856"/>
      <c r="DH4" s="856"/>
      <c r="DI4" s="856"/>
      <c r="DJ4" s="856"/>
      <c r="DK4" s="856"/>
      <c r="DL4" s="856"/>
      <c r="DM4" s="856"/>
      <c r="DN4" s="856"/>
      <c r="DO4" s="856"/>
      <c r="DP4" s="856"/>
      <c r="DQ4" s="856"/>
      <c r="DR4" s="856"/>
      <c r="DS4" s="856"/>
      <c r="DT4" s="856"/>
      <c r="DU4" s="856"/>
      <c r="DV4" s="856"/>
      <c r="DW4" s="856"/>
      <c r="DX4" s="856"/>
      <c r="DY4" s="856"/>
      <c r="DZ4" s="856"/>
      <c r="EA4" s="856"/>
      <c r="EB4" s="856"/>
      <c r="EC4" s="347"/>
      <c r="ED4" s="347"/>
      <c r="EE4" s="347"/>
      <c r="EF4" s="347"/>
      <c r="EG4" s="347"/>
      <c r="EH4" s="347"/>
      <c r="EI4" s="347"/>
      <c r="EJ4" s="347"/>
      <c r="EK4" s="347"/>
      <c r="EL4" s="347"/>
      <c r="EM4" s="347"/>
      <c r="EN4" s="347"/>
      <c r="EO4" s="347"/>
      <c r="EP4" s="347"/>
      <c r="EQ4" s="347"/>
      <c r="ER4" s="347"/>
      <c r="ES4" s="347"/>
      <c r="ET4" s="347"/>
      <c r="EU4" s="347"/>
      <c r="EV4" s="347"/>
      <c r="EW4" s="347"/>
      <c r="EX4" s="347"/>
      <c r="EY4" s="347"/>
      <c r="EZ4" s="347"/>
      <c r="FA4" s="347"/>
      <c r="FB4" s="347"/>
      <c r="FC4" s="347"/>
      <c r="FD4" s="347"/>
      <c r="FE4" s="347"/>
      <c r="FF4" s="347"/>
      <c r="FG4" s="347"/>
      <c r="FH4" s="347"/>
      <c r="FI4" s="347"/>
      <c r="FJ4" s="347"/>
      <c r="FK4" s="347"/>
      <c r="FL4" s="347"/>
      <c r="FM4" s="347"/>
      <c r="FN4" s="347"/>
      <c r="FO4" s="347"/>
      <c r="FP4" s="347"/>
      <c r="FQ4" s="347"/>
      <c r="FR4" s="347"/>
      <c r="FS4" s="347"/>
      <c r="FT4" s="347"/>
      <c r="FU4" s="347"/>
      <c r="FV4" s="347"/>
    </row>
    <row r="5" spans="1:178">
      <c r="A5" s="1394"/>
      <c r="B5" s="811" t="s">
        <v>400</v>
      </c>
      <c r="C5" s="581" t="s">
        <v>151</v>
      </c>
      <c r="D5" s="581"/>
      <c r="E5" s="347" t="s">
        <v>464</v>
      </c>
      <c r="F5" s="854" t="s">
        <v>398</v>
      </c>
      <c r="G5" s="438">
        <v>49114.0222634565</v>
      </c>
      <c r="H5" s="438">
        <v>38720.781829679996</v>
      </c>
      <c r="I5" s="438">
        <v>37409.691468650999</v>
      </c>
      <c r="J5" s="438">
        <v>30540.439970405001</v>
      </c>
      <c r="K5" s="438">
        <v>31156.107426096001</v>
      </c>
      <c r="L5" s="438">
        <v>30073.099605308002</v>
      </c>
      <c r="M5" s="438">
        <v>30845.757435424002</v>
      </c>
      <c r="N5" s="438">
        <v>31687.697930225004</v>
      </c>
      <c r="O5" s="438">
        <v>29379.747895740002</v>
      </c>
      <c r="P5" s="438">
        <v>28296.217956442502</v>
      </c>
      <c r="Q5" s="438">
        <v>27237.080130880004</v>
      </c>
      <c r="R5" s="438">
        <v>23892.252103007999</v>
      </c>
      <c r="S5" s="380">
        <v>24842.812105361998</v>
      </c>
      <c r="T5" s="380">
        <v>30106.891295556001</v>
      </c>
      <c r="U5" s="380">
        <v>33060.925121352499</v>
      </c>
      <c r="V5" s="380">
        <v>27538</v>
      </c>
      <c r="W5" s="380">
        <v>22486</v>
      </c>
      <c r="X5" s="380">
        <v>22318</v>
      </c>
      <c r="Y5" s="380">
        <v>24367</v>
      </c>
      <c r="Z5" s="380">
        <v>26626</v>
      </c>
      <c r="AA5" s="380">
        <v>25670</v>
      </c>
      <c r="AB5" s="380">
        <v>21731</v>
      </c>
      <c r="AC5" s="380">
        <v>20316</v>
      </c>
      <c r="AD5" s="380">
        <v>22355</v>
      </c>
      <c r="AE5" s="380">
        <v>25834</v>
      </c>
      <c r="AF5" s="380">
        <v>31223</v>
      </c>
      <c r="AG5" s="380">
        <v>29781</v>
      </c>
      <c r="AH5" s="380">
        <v>35242</v>
      </c>
      <c r="AI5" s="380">
        <v>41983</v>
      </c>
      <c r="AJ5" s="380">
        <v>41252</v>
      </c>
      <c r="AK5" s="380">
        <v>33014</v>
      </c>
      <c r="AL5" s="380">
        <v>26278</v>
      </c>
      <c r="AM5" s="380">
        <v>26288</v>
      </c>
      <c r="AN5" s="380">
        <v>24567</v>
      </c>
      <c r="AO5" s="380">
        <v>30788</v>
      </c>
      <c r="AP5" s="380">
        <v>33730</v>
      </c>
      <c r="AQ5" s="380">
        <v>39430</v>
      </c>
      <c r="AR5" s="380">
        <v>39325</v>
      </c>
      <c r="AS5" s="380">
        <v>38237</v>
      </c>
      <c r="AT5" s="561">
        <v>37962</v>
      </c>
      <c r="AU5" s="380">
        <v>34087</v>
      </c>
      <c r="AV5" s="380">
        <v>31645</v>
      </c>
      <c r="AW5" s="380">
        <v>32348</v>
      </c>
      <c r="AX5" s="380">
        <v>35636</v>
      </c>
      <c r="AY5" s="380">
        <v>39785</v>
      </c>
      <c r="AZ5" s="380">
        <v>40928</v>
      </c>
      <c r="BA5" s="380">
        <v>43461</v>
      </c>
      <c r="BB5" s="380">
        <v>47888</v>
      </c>
      <c r="BC5" s="380">
        <v>50290</v>
      </c>
      <c r="BD5" s="380">
        <v>39123</v>
      </c>
      <c r="BE5" s="380">
        <v>30731</v>
      </c>
      <c r="BF5" s="380">
        <v>31088</v>
      </c>
      <c r="BG5" s="380">
        <v>34978</v>
      </c>
      <c r="BH5" s="380">
        <v>37751</v>
      </c>
      <c r="BI5" s="380">
        <v>38819</v>
      </c>
      <c r="BJ5" s="380">
        <v>38673</v>
      </c>
      <c r="BK5" s="380">
        <v>30141</v>
      </c>
      <c r="BL5" s="380">
        <v>25552</v>
      </c>
      <c r="BM5" s="380">
        <v>26781</v>
      </c>
      <c r="BN5" s="380">
        <v>26749</v>
      </c>
      <c r="BO5" s="380">
        <v>32256</v>
      </c>
      <c r="BP5" s="380">
        <v>33323</v>
      </c>
      <c r="BQ5" s="380">
        <v>33880</v>
      </c>
      <c r="BR5" s="380">
        <v>43977</v>
      </c>
      <c r="BS5" s="380">
        <v>40964</v>
      </c>
      <c r="BT5" s="380">
        <v>37562</v>
      </c>
      <c r="BU5" s="380">
        <v>19117</v>
      </c>
      <c r="BV5" s="380">
        <v>26936</v>
      </c>
      <c r="BW5" s="380">
        <v>26148</v>
      </c>
      <c r="BX5" s="380">
        <v>26630</v>
      </c>
      <c r="BY5" s="380">
        <v>26846</v>
      </c>
      <c r="BZ5" s="380">
        <v>27277</v>
      </c>
      <c r="CA5" s="380">
        <v>29280</v>
      </c>
      <c r="CB5" s="380">
        <v>34113</v>
      </c>
      <c r="CC5" s="380">
        <v>35389</v>
      </c>
      <c r="CD5" s="380">
        <v>40508</v>
      </c>
      <c r="CE5" s="380">
        <v>44656</v>
      </c>
      <c r="CF5" s="380">
        <v>45306</v>
      </c>
      <c r="CG5" s="380">
        <v>41297</v>
      </c>
      <c r="CH5" s="380">
        <v>36240</v>
      </c>
      <c r="CI5" s="380">
        <v>40502</v>
      </c>
      <c r="CJ5" s="380">
        <v>48290</v>
      </c>
      <c r="CK5" s="380">
        <v>50669</v>
      </c>
      <c r="CL5" s="438">
        <v>51226</v>
      </c>
      <c r="CM5" s="356">
        <f t="shared" si="0"/>
        <v>33494.649101637937</v>
      </c>
      <c r="CN5" s="856" t="s">
        <v>201</v>
      </c>
      <c r="CO5" s="857">
        <f>'Cracker Yields'!B15</f>
        <v>0.98795180722891562</v>
      </c>
      <c r="CP5" s="857">
        <f>'Cracker Yields'!C15</f>
        <v>0.65714285714285725</v>
      </c>
      <c r="CQ5" s="857">
        <f>'Cracker Yields'!D15</f>
        <v>0.57894736842105254</v>
      </c>
      <c r="CR5" s="857">
        <f>'Cracker Yields'!E15</f>
        <v>0.62378167641325533</v>
      </c>
      <c r="CS5" s="856"/>
      <c r="CT5" s="856"/>
      <c r="CU5" s="856"/>
      <c r="CV5" s="856"/>
      <c r="CW5" s="856"/>
      <c r="DB5" s="856"/>
      <c r="DC5" s="856"/>
      <c r="DD5" s="856"/>
      <c r="DE5" s="856"/>
      <c r="DF5" s="856"/>
      <c r="DG5" s="856"/>
      <c r="DH5" s="856"/>
      <c r="DI5" s="856"/>
      <c r="DJ5" s="856"/>
      <c r="DK5" s="856"/>
      <c r="DL5" s="856"/>
      <c r="DM5" s="856"/>
      <c r="DN5" s="856"/>
      <c r="DO5" s="856"/>
      <c r="DP5" s="856"/>
      <c r="DQ5" s="856"/>
      <c r="DR5" s="856"/>
      <c r="DS5" s="856"/>
      <c r="DT5" s="856"/>
      <c r="DU5" s="856"/>
      <c r="DV5" s="856"/>
      <c r="DW5" s="856"/>
      <c r="DX5" s="856"/>
      <c r="DY5" s="856"/>
      <c r="DZ5" s="856"/>
      <c r="EA5" s="856"/>
      <c r="EB5" s="856"/>
      <c r="EC5" s="347"/>
      <c r="ED5" s="347"/>
      <c r="EE5" s="347"/>
      <c r="EF5" s="347"/>
      <c r="EG5" s="347"/>
      <c r="EH5" s="347"/>
      <c r="EI5" s="347"/>
      <c r="EJ5" s="347"/>
      <c r="EK5" s="347"/>
      <c r="EL5" s="347"/>
      <c r="EM5" s="347"/>
      <c r="EN5" s="347"/>
      <c r="EO5" s="347"/>
      <c r="EP5" s="347"/>
      <c r="EQ5" s="347"/>
      <c r="ER5" s="347"/>
      <c r="ES5" s="347"/>
      <c r="ET5" s="347"/>
      <c r="EU5" s="347"/>
      <c r="EV5" s="347"/>
      <c r="EW5" s="347"/>
      <c r="EX5" s="347"/>
      <c r="EY5" s="347"/>
      <c r="EZ5" s="347"/>
      <c r="FA5" s="347"/>
      <c r="FB5" s="347"/>
      <c r="FC5" s="347"/>
      <c r="FD5" s="347"/>
      <c r="FE5" s="347"/>
      <c r="FF5" s="347"/>
      <c r="FG5" s="347"/>
      <c r="FH5" s="347"/>
      <c r="FI5" s="347"/>
      <c r="FJ5" s="347"/>
      <c r="FK5" s="347"/>
      <c r="FL5" s="347"/>
      <c r="FM5" s="347"/>
      <c r="FN5" s="347"/>
      <c r="FO5" s="347"/>
      <c r="FP5" s="347"/>
      <c r="FQ5" s="347"/>
      <c r="FR5" s="347"/>
      <c r="FS5" s="347"/>
      <c r="FT5" s="347"/>
      <c r="FU5" s="347"/>
      <c r="FV5" s="347"/>
    </row>
    <row r="6" spans="1:178">
      <c r="A6" s="1394"/>
      <c r="B6" s="811" t="s">
        <v>400</v>
      </c>
      <c r="C6" s="581" t="s">
        <v>151</v>
      </c>
      <c r="D6" s="581"/>
      <c r="E6" s="347" t="s">
        <v>464</v>
      </c>
      <c r="F6" s="854" t="s">
        <v>1</v>
      </c>
      <c r="G6" s="438">
        <v>43631.313088234165</v>
      </c>
      <c r="H6" s="438">
        <v>39243.55323776861</v>
      </c>
      <c r="I6" s="438">
        <v>31205.563965626789</v>
      </c>
      <c r="J6" s="438">
        <v>24540.773944761335</v>
      </c>
      <c r="K6" s="438">
        <v>31013.399635596197</v>
      </c>
      <c r="L6" s="438">
        <v>30866.690032439034</v>
      </c>
      <c r="M6" s="438">
        <v>32542.777318515167</v>
      </c>
      <c r="N6" s="438">
        <v>34766.73484037735</v>
      </c>
      <c r="O6" s="438">
        <v>33744.104365551655</v>
      </c>
      <c r="P6" s="438">
        <v>29046.32499958136</v>
      </c>
      <c r="Q6" s="438">
        <v>25793.077195677048</v>
      </c>
      <c r="R6" s="438">
        <v>27493.764495633251</v>
      </c>
      <c r="S6" s="380">
        <v>28466.87020223272</v>
      </c>
      <c r="T6" s="380">
        <v>28694.061824347376</v>
      </c>
      <c r="U6" s="380">
        <v>26463.486161464865</v>
      </c>
      <c r="V6" s="380">
        <v>21481.685806039997</v>
      </c>
      <c r="W6" s="380">
        <v>20476.011783310525</v>
      </c>
      <c r="X6" s="380">
        <v>23173.016320322728</v>
      </c>
      <c r="Y6" s="380">
        <v>25098.589921485713</v>
      </c>
      <c r="Z6" s="380">
        <v>26454.376320639996</v>
      </c>
      <c r="AA6" s="380">
        <v>27427.054845131817</v>
      </c>
      <c r="AB6" s="380">
        <v>24993.740456359999</v>
      </c>
      <c r="AC6" s="380">
        <v>24012.319996836362</v>
      </c>
      <c r="AD6" s="380">
        <v>25588.576244349999</v>
      </c>
      <c r="AE6" s="380">
        <v>28631.564479354285</v>
      </c>
      <c r="AF6" s="380">
        <v>28376.726158518177</v>
      </c>
      <c r="AG6" s="380">
        <v>31333.781952435711</v>
      </c>
      <c r="AH6" s="380">
        <v>33697.175464039996</v>
      </c>
      <c r="AI6" s="380">
        <v>33523.05242005</v>
      </c>
      <c r="AJ6" s="380">
        <v>29688.18424468478</v>
      </c>
      <c r="AK6" s="380">
        <v>29925.805242536844</v>
      </c>
      <c r="AL6" s="380">
        <v>27862.925676492858</v>
      </c>
      <c r="AM6" s="380">
        <v>25767.627706821429</v>
      </c>
      <c r="AN6" s="380">
        <v>26449.079522582855</v>
      </c>
      <c r="AO6" s="380">
        <v>28802.835794022729</v>
      </c>
      <c r="AP6" s="380">
        <v>31733.947800000002</v>
      </c>
      <c r="AQ6" s="380">
        <v>33378.030240114284</v>
      </c>
      <c r="AR6" s="380">
        <v>37069.771480659096</v>
      </c>
      <c r="AS6" s="380">
        <v>36895.167365600006</v>
      </c>
      <c r="AT6" s="561">
        <v>37560.738430181817</v>
      </c>
      <c r="AU6" s="380">
        <v>35304.381890315788</v>
      </c>
      <c r="AV6" s="380">
        <v>36295.803921857136</v>
      </c>
      <c r="AW6" s="380">
        <v>38813.761718314287</v>
      </c>
      <c r="AX6" s="380">
        <v>44238.26311767858</v>
      </c>
      <c r="AY6" s="380">
        <v>42409.232394000006</v>
      </c>
      <c r="AZ6" s="380">
        <v>43840.684336927268</v>
      </c>
      <c r="BA6" s="380">
        <v>44686.852038892859</v>
      </c>
      <c r="BB6" s="380">
        <v>48560.227976399998</v>
      </c>
      <c r="BC6" s="380">
        <v>48987.859997489126</v>
      </c>
      <c r="BD6" s="380">
        <v>36186.670356035713</v>
      </c>
      <c r="BE6" s="380">
        <v>32029.603580679999</v>
      </c>
      <c r="BF6" s="380">
        <v>32104.767242618178</v>
      </c>
      <c r="BG6" s="380">
        <v>35456.152203000005</v>
      </c>
      <c r="BH6" s="380">
        <v>36904.127532857136</v>
      </c>
      <c r="BI6" s="380">
        <v>39249.409738328577</v>
      </c>
      <c r="BJ6" s="380">
        <v>37281.31911867857</v>
      </c>
      <c r="BK6" s="380">
        <v>31878.777153416842</v>
      </c>
      <c r="BL6" s="380">
        <v>34139.328423913044</v>
      </c>
      <c r="BM6" s="380">
        <v>31812.598287749999</v>
      </c>
      <c r="BN6" s="380">
        <v>33914.872341125716</v>
      </c>
      <c r="BO6" s="380">
        <v>33910.443919209087</v>
      </c>
      <c r="BP6" s="380">
        <v>36394.104183021431</v>
      </c>
      <c r="BQ6" s="380">
        <v>37935.015970674285</v>
      </c>
      <c r="BR6" s="380">
        <v>37110.715443228575</v>
      </c>
      <c r="BS6" s="380">
        <v>32731.0845109</v>
      </c>
      <c r="BT6" s="380">
        <v>18682.538081618179</v>
      </c>
      <c r="BU6" s="380">
        <v>8512.3190064571427</v>
      </c>
      <c r="BV6" s="380">
        <v>14997.413298799998</v>
      </c>
      <c r="BW6" s="380">
        <v>25884.845151881818</v>
      </c>
      <c r="BX6" s="380">
        <v>28494.318380457142</v>
      </c>
      <c r="BY6" s="380">
        <v>28350.13010704</v>
      </c>
      <c r="BZ6" s="380">
        <v>27989.704722327271</v>
      </c>
      <c r="CA6" s="380">
        <v>27738.006573704544</v>
      </c>
      <c r="CB6" s="380">
        <v>27269.176726885715</v>
      </c>
      <c r="CC6" s="380">
        <v>31285.571574900001</v>
      </c>
      <c r="CD6" s="380">
        <v>36487.851655519997</v>
      </c>
      <c r="CE6" s="380">
        <v>40202.076637973689</v>
      </c>
      <c r="CF6" s="380">
        <v>41650.945542428264</v>
      </c>
      <c r="CG6" s="380">
        <v>40821.076185757149</v>
      </c>
      <c r="CH6" s="380">
        <v>42714.896412692629</v>
      </c>
      <c r="CI6" s="380">
        <v>46413.068289990915</v>
      </c>
      <c r="CJ6" s="380">
        <v>49914.294024778559</v>
      </c>
      <c r="CK6" s="380">
        <v>46573.014362822854</v>
      </c>
      <c r="CL6" s="438">
        <v>49256.104522404545</v>
      </c>
      <c r="CM6" s="356">
        <f t="shared" si="0"/>
        <v>32884.85344804918</v>
      </c>
      <c r="CN6" s="856" t="s">
        <v>202</v>
      </c>
      <c r="CO6" s="857">
        <f>'Cracker Yields'!B16</f>
        <v>1.2048192771084376E-2</v>
      </c>
      <c r="CP6" s="857">
        <f>'Cracker Yields'!C16</f>
        <v>0.34285714285714275</v>
      </c>
      <c r="CQ6" s="857">
        <f>'Cracker Yields'!D16</f>
        <v>0.42105263157894746</v>
      </c>
      <c r="CR6" s="857">
        <f>'Cracker Yields'!E16</f>
        <v>0.37621832358674467</v>
      </c>
      <c r="CS6" s="856"/>
      <c r="CT6" s="856"/>
      <c r="CU6" s="856"/>
      <c r="CV6" s="856"/>
      <c r="CW6" s="856"/>
      <c r="DB6" s="856"/>
      <c r="DC6" s="856"/>
      <c r="DD6" s="856"/>
      <c r="DE6" s="856"/>
      <c r="DF6" s="856"/>
      <c r="DG6" s="856"/>
      <c r="DH6" s="856"/>
      <c r="DI6" s="856"/>
      <c r="DJ6" s="856"/>
      <c r="DK6" s="856"/>
      <c r="DL6" s="856"/>
      <c r="DM6" s="856"/>
      <c r="DN6" s="856"/>
      <c r="DO6" s="856"/>
      <c r="DP6" s="856"/>
      <c r="DQ6" s="856"/>
      <c r="DR6" s="856"/>
      <c r="DS6" s="856"/>
      <c r="DT6" s="856"/>
      <c r="DU6" s="856"/>
      <c r="DV6" s="856"/>
      <c r="DW6" s="856"/>
      <c r="DX6" s="856"/>
      <c r="DY6" s="856"/>
      <c r="DZ6" s="856"/>
      <c r="EA6" s="856"/>
      <c r="EB6" s="856"/>
      <c r="EC6" s="858">
        <v>52.32</v>
      </c>
      <c r="ED6" s="856"/>
      <c r="EE6" s="856"/>
      <c r="EF6" s="856"/>
      <c r="EG6" s="347"/>
      <c r="EH6" s="347"/>
      <c r="EI6" s="347"/>
      <c r="EJ6" s="347"/>
      <c r="EK6" s="347"/>
      <c r="EL6" s="347"/>
      <c r="EM6" s="347"/>
      <c r="EN6" s="347"/>
      <c r="EO6" s="347"/>
      <c r="EP6" s="347"/>
      <c r="EQ6" s="347"/>
      <c r="ER6" s="347"/>
      <c r="ES6" s="347"/>
      <c r="ET6" s="347"/>
      <c r="EU6" s="347"/>
      <c r="EV6" s="347"/>
      <c r="EW6" s="347"/>
      <c r="EX6" s="347"/>
      <c r="EY6" s="347"/>
      <c r="EZ6" s="347"/>
      <c r="FA6" s="347"/>
      <c r="FB6" s="347"/>
      <c r="FC6" s="347"/>
      <c r="FD6" s="347"/>
      <c r="FE6" s="347"/>
      <c r="FF6" s="347"/>
      <c r="FG6" s="347"/>
      <c r="FH6" s="347"/>
      <c r="FI6" s="347"/>
      <c r="FJ6" s="347"/>
      <c r="FK6" s="347"/>
      <c r="FL6" s="347"/>
      <c r="FM6" s="347"/>
      <c r="FN6" s="347"/>
      <c r="FO6" s="347"/>
      <c r="FP6" s="347"/>
      <c r="FQ6" s="347"/>
      <c r="FR6" s="347"/>
      <c r="FS6" s="347"/>
      <c r="FT6" s="347"/>
      <c r="FU6" s="347"/>
      <c r="FV6" s="347"/>
    </row>
    <row r="7" spans="1:178">
      <c r="A7" s="1395"/>
      <c r="B7" s="859" t="s">
        <v>399</v>
      </c>
      <c r="C7" s="860" t="s">
        <v>397</v>
      </c>
      <c r="D7" s="860"/>
      <c r="E7" s="861" t="s">
        <v>464</v>
      </c>
      <c r="F7" s="862" t="s">
        <v>443</v>
      </c>
      <c r="G7" s="862">
        <v>690</v>
      </c>
      <c r="H7" s="862">
        <v>680</v>
      </c>
      <c r="I7" s="862">
        <v>640</v>
      </c>
      <c r="J7" s="862">
        <v>620</v>
      </c>
      <c r="K7" s="862">
        <v>595</v>
      </c>
      <c r="L7" s="862">
        <v>614</v>
      </c>
      <c r="M7" s="862">
        <v>602</v>
      </c>
      <c r="N7" s="862">
        <v>591</v>
      </c>
      <c r="O7" s="862">
        <v>582</v>
      </c>
      <c r="P7" s="862">
        <v>564</v>
      </c>
      <c r="Q7" s="862">
        <v>577</v>
      </c>
      <c r="R7" s="862">
        <v>544</v>
      </c>
      <c r="S7" s="356">
        <v>549</v>
      </c>
      <c r="T7" s="863">
        <v>562</v>
      </c>
      <c r="U7" s="863">
        <v>575</v>
      </c>
      <c r="V7" s="356">
        <v>588</v>
      </c>
      <c r="W7" s="863">
        <v>600</v>
      </c>
      <c r="X7" s="863">
        <v>614</v>
      </c>
      <c r="Y7" s="863">
        <v>628</v>
      </c>
      <c r="Z7" s="863">
        <v>638</v>
      </c>
      <c r="AA7" s="863">
        <v>651</v>
      </c>
      <c r="AB7" s="863">
        <v>664</v>
      </c>
      <c r="AC7" s="863">
        <v>677</v>
      </c>
      <c r="AD7" s="356">
        <v>689</v>
      </c>
      <c r="AE7" s="863">
        <v>602</v>
      </c>
      <c r="AF7" s="863">
        <v>615</v>
      </c>
      <c r="AG7" s="863">
        <v>628</v>
      </c>
      <c r="AH7" s="356">
        <v>640</v>
      </c>
      <c r="AI7" s="863">
        <v>654</v>
      </c>
      <c r="AJ7" s="863">
        <v>644</v>
      </c>
      <c r="AK7" s="863">
        <v>679</v>
      </c>
      <c r="AL7" s="863">
        <v>691</v>
      </c>
      <c r="AM7" s="863">
        <v>704</v>
      </c>
      <c r="AN7" s="863">
        <v>717</v>
      </c>
      <c r="AO7" s="863">
        <v>629.54360858123698</v>
      </c>
      <c r="AP7" s="863">
        <v>642.28255936563301</v>
      </c>
      <c r="AQ7" s="863">
        <v>655.02151015003005</v>
      </c>
      <c r="AR7" s="863">
        <v>667.76046093442596</v>
      </c>
      <c r="AS7" s="863">
        <v>680.49941171882301</v>
      </c>
      <c r="AT7" s="863">
        <v>693.23836250321904</v>
      </c>
      <c r="AU7" s="863">
        <v>725</v>
      </c>
      <c r="AV7" s="863">
        <v>731</v>
      </c>
      <c r="AW7" s="863">
        <v>683.35192411641094</v>
      </c>
      <c r="AX7" s="863">
        <v>727.45879248730159</v>
      </c>
      <c r="AY7" s="863">
        <v>790.46535767833188</v>
      </c>
      <c r="AZ7" s="863">
        <v>835.82228336641663</v>
      </c>
      <c r="BA7" s="863">
        <v>855.64779771974872</v>
      </c>
      <c r="BB7" s="863">
        <v>831.01152604586082</v>
      </c>
      <c r="BC7" s="863">
        <v>894.32305357357711</v>
      </c>
      <c r="BD7" s="863">
        <v>848.00352710543211</v>
      </c>
      <c r="BE7" s="863">
        <v>762.53950609685091</v>
      </c>
      <c r="BF7" s="863">
        <v>747.97322905859232</v>
      </c>
      <c r="BG7" s="863">
        <v>816.24945468112071</v>
      </c>
      <c r="BH7" s="863">
        <v>713.84568622483982</v>
      </c>
      <c r="BI7" s="863">
        <v>547.77</v>
      </c>
      <c r="BJ7" s="863">
        <v>505.25</v>
      </c>
      <c r="BK7" s="863">
        <v>522.21</v>
      </c>
      <c r="BL7" s="863">
        <v>559.08000000000004</v>
      </c>
      <c r="BM7" s="863">
        <v>496.47</v>
      </c>
      <c r="BN7" s="863">
        <v>463.19</v>
      </c>
      <c r="BO7" s="863">
        <v>620.35</v>
      </c>
      <c r="BP7" s="863">
        <v>540.62</v>
      </c>
      <c r="BQ7" s="863">
        <v>605.28</v>
      </c>
      <c r="BR7" s="863">
        <v>485.79</v>
      </c>
      <c r="BS7" s="863">
        <v>478.65</v>
      </c>
      <c r="BT7" s="863">
        <v>313.06</v>
      </c>
      <c r="BU7" s="863">
        <v>546.95000000000005</v>
      </c>
      <c r="BV7" s="863">
        <v>498.46</v>
      </c>
      <c r="BW7" s="863">
        <v>285.66000000000003</v>
      </c>
      <c r="BX7" s="863">
        <v>264.85000000000002</v>
      </c>
      <c r="BY7" s="863">
        <v>334.58</v>
      </c>
      <c r="BZ7" s="863">
        <v>410.09</v>
      </c>
      <c r="CA7" s="863">
        <v>471.71</v>
      </c>
      <c r="CB7" s="863">
        <v>532.29999999999995</v>
      </c>
      <c r="CC7" s="863">
        <v>588.39</v>
      </c>
      <c r="CD7" s="863">
        <v>675.69</v>
      </c>
      <c r="CE7" s="863">
        <v>872.05</v>
      </c>
      <c r="CF7" s="863">
        <v>766.06</v>
      </c>
      <c r="CG7" s="863">
        <v>565.04999999999995</v>
      </c>
      <c r="CH7" s="863">
        <v>567.25</v>
      </c>
      <c r="CI7" s="863">
        <v>619.33000000000004</v>
      </c>
      <c r="CJ7" s="863">
        <v>708.17</v>
      </c>
      <c r="CK7" s="863">
        <v>868.98</v>
      </c>
      <c r="CL7" s="864">
        <v>938.53</v>
      </c>
      <c r="CM7" s="356">
        <f t="shared" si="0"/>
        <v>629.65307204056967</v>
      </c>
      <c r="CN7" s="347"/>
      <c r="CO7" s="857"/>
      <c r="CP7" s="857"/>
      <c r="CQ7" s="857"/>
      <c r="CR7" s="857"/>
      <c r="CS7" s="347"/>
      <c r="CT7" s="347"/>
      <c r="CU7" s="347"/>
      <c r="CV7" s="347"/>
      <c r="CW7" s="347"/>
      <c r="CX7" s="347"/>
      <c r="CY7" s="347"/>
      <c r="CZ7" s="347"/>
      <c r="DA7" s="347"/>
      <c r="DB7" s="347"/>
      <c r="DC7" s="347"/>
      <c r="DD7" s="347"/>
      <c r="DE7" s="347"/>
      <c r="DF7" s="347"/>
      <c r="DG7" s="347"/>
      <c r="DH7" s="347"/>
      <c r="DI7" s="347"/>
      <c r="DJ7" s="347"/>
      <c r="DK7" s="347"/>
      <c r="DL7" s="347"/>
      <c r="DM7" s="347"/>
      <c r="DN7" s="347"/>
      <c r="DO7" s="347"/>
      <c r="DP7" s="347"/>
      <c r="DQ7" s="347"/>
      <c r="DR7" s="347"/>
      <c r="DS7" s="347"/>
      <c r="DT7" s="347"/>
      <c r="DU7" s="347"/>
      <c r="DV7" s="347"/>
      <c r="DW7" s="347"/>
      <c r="DX7" s="347"/>
      <c r="DY7" s="347"/>
      <c r="DZ7" s="347"/>
      <c r="EA7" s="347"/>
      <c r="EB7" s="347"/>
      <c r="EC7" s="347"/>
      <c r="ED7" s="347"/>
      <c r="EE7" s="347"/>
      <c r="EF7" s="347"/>
      <c r="EG7" s="347"/>
      <c r="EH7" s="347"/>
      <c r="EI7" s="347"/>
      <c r="EJ7" s="347"/>
      <c r="EK7" s="347"/>
      <c r="EL7" s="347"/>
      <c r="EM7" s="347"/>
      <c r="EN7" s="347"/>
      <c r="EO7" s="347"/>
      <c r="EP7" s="347"/>
      <c r="EQ7" s="347"/>
      <c r="ER7" s="347"/>
      <c r="ES7" s="347"/>
      <c r="ET7" s="347"/>
      <c r="EU7" s="347"/>
      <c r="EV7" s="347"/>
      <c r="EW7" s="347"/>
      <c r="EX7" s="347"/>
      <c r="EY7" s="347"/>
      <c r="EZ7" s="347"/>
      <c r="FA7" s="347"/>
      <c r="FB7" s="347"/>
      <c r="FC7" s="347"/>
      <c r="FD7" s="347"/>
      <c r="FE7" s="347"/>
      <c r="FF7" s="347"/>
      <c r="FG7" s="347"/>
      <c r="FH7" s="347"/>
      <c r="FI7" s="347"/>
      <c r="FJ7" s="347"/>
      <c r="FK7" s="347"/>
      <c r="FL7" s="347"/>
      <c r="FM7" s="347"/>
      <c r="FN7" s="347"/>
      <c r="FO7" s="347"/>
      <c r="FP7" s="347"/>
      <c r="FQ7" s="347"/>
      <c r="FR7" s="347"/>
      <c r="FS7" s="347"/>
      <c r="FT7" s="347"/>
      <c r="FU7" s="347"/>
      <c r="FV7" s="347"/>
    </row>
    <row r="8" spans="1:178">
      <c r="A8" s="1400" t="s">
        <v>446</v>
      </c>
      <c r="B8" s="313" t="s">
        <v>399</v>
      </c>
      <c r="C8" s="583" t="s">
        <v>151</v>
      </c>
      <c r="D8" s="583"/>
      <c r="E8" s="601" t="s">
        <v>464</v>
      </c>
      <c r="F8" s="865" t="s">
        <v>142</v>
      </c>
      <c r="G8" s="1322">
        <v>56500</v>
      </c>
      <c r="H8" s="866">
        <v>56300</v>
      </c>
      <c r="I8" s="866">
        <v>56100</v>
      </c>
      <c r="J8" s="866">
        <v>55900</v>
      </c>
      <c r="K8" s="866">
        <v>55800</v>
      </c>
      <c r="L8" s="866">
        <v>55600</v>
      </c>
      <c r="M8" s="866">
        <v>55200</v>
      </c>
      <c r="N8" s="866">
        <v>57300</v>
      </c>
      <c r="O8" s="866">
        <v>54100</v>
      </c>
      <c r="P8" s="865">
        <v>55200</v>
      </c>
      <c r="Q8" s="865">
        <v>52300</v>
      </c>
      <c r="R8" s="979">
        <v>45600</v>
      </c>
      <c r="S8" s="866">
        <v>47020</v>
      </c>
      <c r="T8" s="979">
        <v>45750</v>
      </c>
      <c r="U8" s="938">
        <v>46150</v>
      </c>
      <c r="V8" s="866">
        <v>45650</v>
      </c>
      <c r="W8" s="979">
        <v>36940</v>
      </c>
      <c r="X8" s="866">
        <v>36950</v>
      </c>
      <c r="Y8" s="868">
        <v>37390</v>
      </c>
      <c r="Z8" s="866">
        <v>37950</v>
      </c>
      <c r="AA8" s="866">
        <v>38680</v>
      </c>
      <c r="AB8" s="868">
        <v>39250</v>
      </c>
      <c r="AC8" s="938">
        <v>39610</v>
      </c>
      <c r="AD8" s="866">
        <v>39920</v>
      </c>
      <c r="AE8" s="868">
        <v>39990</v>
      </c>
      <c r="AF8" s="866">
        <v>40250</v>
      </c>
      <c r="AG8" s="938">
        <v>41270</v>
      </c>
      <c r="AH8" s="866">
        <v>42350</v>
      </c>
      <c r="AI8" s="979">
        <v>57680</v>
      </c>
      <c r="AJ8" s="866">
        <v>60070</v>
      </c>
      <c r="AK8" s="866">
        <v>58600</v>
      </c>
      <c r="AL8" s="866">
        <v>56250</v>
      </c>
      <c r="AM8" s="866">
        <v>54760</v>
      </c>
      <c r="AN8" s="866">
        <v>53400</v>
      </c>
      <c r="AO8" s="866">
        <v>52470</v>
      </c>
      <c r="AP8" s="866">
        <v>51630</v>
      </c>
      <c r="AQ8" s="866">
        <v>52140</v>
      </c>
      <c r="AR8" s="866">
        <v>52030</v>
      </c>
      <c r="AS8" s="866">
        <v>51990</v>
      </c>
      <c r="AT8" s="980">
        <v>57152</v>
      </c>
      <c r="AU8" s="866">
        <v>58526</v>
      </c>
      <c r="AV8" s="866">
        <v>58277</v>
      </c>
      <c r="AW8" s="866">
        <v>55909</v>
      </c>
      <c r="AX8" s="866">
        <v>55303</v>
      </c>
      <c r="AY8" s="866">
        <v>58424</v>
      </c>
      <c r="AZ8" s="866">
        <v>56706</v>
      </c>
      <c r="BA8" s="866">
        <v>57565</v>
      </c>
      <c r="BB8" s="866">
        <v>61481</v>
      </c>
      <c r="BC8" s="866">
        <v>61877</v>
      </c>
      <c r="BD8" s="866">
        <v>61367</v>
      </c>
      <c r="BE8" s="866">
        <v>49658</v>
      </c>
      <c r="BF8" s="866">
        <v>41296</v>
      </c>
      <c r="BG8" s="866">
        <v>39412</v>
      </c>
      <c r="BH8" s="866">
        <v>42670</v>
      </c>
      <c r="BI8" s="866">
        <v>42621</v>
      </c>
      <c r="BJ8" s="866">
        <v>43930</v>
      </c>
      <c r="BK8" s="866">
        <v>44300</v>
      </c>
      <c r="BL8" s="866">
        <v>44000</v>
      </c>
      <c r="BM8" s="866">
        <v>46900</v>
      </c>
      <c r="BN8" s="866">
        <v>48100</v>
      </c>
      <c r="BO8" s="866">
        <v>52100</v>
      </c>
      <c r="BP8" s="866">
        <v>48600</v>
      </c>
      <c r="BQ8" s="866">
        <v>47000</v>
      </c>
      <c r="BR8" s="866">
        <v>52400</v>
      </c>
      <c r="BS8" s="866">
        <v>52900</v>
      </c>
      <c r="BT8" s="866">
        <v>48400</v>
      </c>
      <c r="BU8" s="981">
        <v>37400</v>
      </c>
      <c r="BV8" s="981">
        <v>24900</v>
      </c>
      <c r="BW8" s="981">
        <v>30300</v>
      </c>
      <c r="BX8" s="981">
        <v>33900</v>
      </c>
      <c r="BY8" s="981">
        <v>33100</v>
      </c>
      <c r="BZ8" s="981">
        <v>34400</v>
      </c>
      <c r="CA8" s="981">
        <v>32600</v>
      </c>
      <c r="CB8" s="981">
        <v>32500</v>
      </c>
      <c r="CC8" s="981">
        <v>40800</v>
      </c>
      <c r="CD8" s="981">
        <v>47900</v>
      </c>
      <c r="CE8" s="981">
        <v>48900</v>
      </c>
      <c r="CF8" s="981">
        <v>57200</v>
      </c>
      <c r="CG8" s="981">
        <v>62200</v>
      </c>
      <c r="CH8" s="981">
        <v>70100</v>
      </c>
      <c r="CI8" s="981">
        <v>75100</v>
      </c>
      <c r="CJ8" s="981">
        <v>71430</v>
      </c>
      <c r="CK8" s="981">
        <v>78990</v>
      </c>
      <c r="CL8" s="982">
        <v>72940</v>
      </c>
      <c r="CM8" s="598">
        <f t="shared" si="0"/>
        <v>49804.452380952382</v>
      </c>
      <c r="CN8" s="347"/>
      <c r="CO8" s="347"/>
      <c r="CP8" s="347"/>
      <c r="CQ8" s="347"/>
      <c r="CR8" s="347"/>
      <c r="CS8" s="347"/>
      <c r="CT8" s="347"/>
      <c r="CU8" s="347"/>
      <c r="CV8" s="347"/>
      <c r="CW8" s="347"/>
      <c r="CX8" s="347"/>
      <c r="CY8" s="347"/>
      <c r="CZ8" s="347"/>
      <c r="DA8" s="347"/>
      <c r="DB8" s="347"/>
      <c r="DC8" s="347"/>
      <c r="DD8" s="347"/>
      <c r="DE8" s="347"/>
      <c r="DF8" s="347"/>
      <c r="DG8" s="347"/>
      <c r="DH8" s="347"/>
      <c r="DI8" s="347"/>
      <c r="DJ8" s="347"/>
      <c r="DK8" s="347"/>
      <c r="DL8" s="347"/>
      <c r="DM8" s="347"/>
      <c r="DN8" s="347"/>
      <c r="DO8" s="347"/>
      <c r="DP8" s="347"/>
      <c r="DQ8" s="347"/>
      <c r="DR8" s="347"/>
      <c r="DS8" s="347"/>
      <c r="DT8" s="347"/>
      <c r="DU8" s="347"/>
      <c r="DV8" s="347"/>
      <c r="DW8" s="347"/>
      <c r="DX8" s="347"/>
      <c r="DY8" s="347"/>
      <c r="DZ8" s="347"/>
      <c r="EA8" s="347"/>
      <c r="EB8" s="347"/>
      <c r="EC8" s="347"/>
      <c r="ED8" s="347"/>
      <c r="EE8" s="347"/>
      <c r="EF8" s="347"/>
      <c r="EG8" s="347"/>
      <c r="EH8" s="347"/>
      <c r="EI8" s="347"/>
      <c r="EJ8" s="347"/>
      <c r="EK8" s="347"/>
      <c r="EL8" s="347"/>
      <c r="EM8" s="347"/>
      <c r="EN8" s="347"/>
      <c r="EO8" s="347"/>
      <c r="EP8" s="347"/>
      <c r="EQ8" s="347"/>
      <c r="ER8" s="347"/>
      <c r="ES8" s="347"/>
      <c r="ET8" s="347"/>
      <c r="EU8" s="347"/>
      <c r="EV8" s="347"/>
      <c r="EW8" s="347"/>
      <c r="EX8" s="347"/>
      <c r="EY8" s="347"/>
      <c r="EZ8" s="347"/>
      <c r="FA8" s="347"/>
      <c r="FB8" s="347"/>
      <c r="FC8" s="347"/>
      <c r="FD8" s="347"/>
      <c r="FE8" s="347"/>
      <c r="FF8" s="347"/>
      <c r="FG8" s="347"/>
      <c r="FH8" s="347"/>
      <c r="FI8" s="347"/>
      <c r="FJ8" s="347"/>
      <c r="FK8" s="347"/>
      <c r="FL8" s="347"/>
      <c r="FM8" s="347"/>
      <c r="FN8" s="347"/>
      <c r="FO8" s="347"/>
      <c r="FP8" s="347"/>
      <c r="FQ8" s="347"/>
      <c r="FR8" s="347"/>
      <c r="FS8" s="347"/>
      <c r="FT8" s="347"/>
      <c r="FU8" s="347"/>
      <c r="FV8" s="347"/>
    </row>
    <row r="9" spans="1:178">
      <c r="A9" s="1404"/>
      <c r="B9" s="811" t="s">
        <v>399</v>
      </c>
      <c r="C9" s="581" t="s">
        <v>151</v>
      </c>
      <c r="D9" s="581"/>
      <c r="E9" s="812" t="s">
        <v>464</v>
      </c>
      <c r="F9" s="867" t="s">
        <v>499</v>
      </c>
      <c r="G9" s="1323">
        <v>78900</v>
      </c>
      <c r="H9" s="868">
        <v>75500</v>
      </c>
      <c r="I9" s="868">
        <v>76300</v>
      </c>
      <c r="J9" s="868">
        <v>77300</v>
      </c>
      <c r="K9" s="868">
        <v>74500</v>
      </c>
      <c r="L9" s="868">
        <v>78800</v>
      </c>
      <c r="M9" s="868">
        <v>75500</v>
      </c>
      <c r="N9" s="868">
        <v>77200</v>
      </c>
      <c r="O9" s="868">
        <v>71900</v>
      </c>
      <c r="P9" s="867">
        <v>74600</v>
      </c>
      <c r="Q9" s="867">
        <v>72500</v>
      </c>
      <c r="R9" s="983">
        <v>70300</v>
      </c>
      <c r="S9" s="868">
        <v>69049</v>
      </c>
      <c r="T9" s="983">
        <v>68803</v>
      </c>
      <c r="U9" s="885">
        <v>60570</v>
      </c>
      <c r="V9" s="868">
        <v>69050</v>
      </c>
      <c r="W9" s="983">
        <v>64550</v>
      </c>
      <c r="X9" s="868">
        <v>64300</v>
      </c>
      <c r="Y9" s="868">
        <v>69051</v>
      </c>
      <c r="Z9" s="868">
        <v>64800</v>
      </c>
      <c r="AA9" s="868">
        <v>67700</v>
      </c>
      <c r="AB9" s="868">
        <v>69052</v>
      </c>
      <c r="AC9" s="885">
        <v>69405</v>
      </c>
      <c r="AD9" s="868">
        <v>63700</v>
      </c>
      <c r="AE9" s="868">
        <v>69053</v>
      </c>
      <c r="AF9" s="868">
        <v>62939</v>
      </c>
      <c r="AG9" s="885">
        <v>65350</v>
      </c>
      <c r="AH9" s="868">
        <v>69054</v>
      </c>
      <c r="AI9" s="983">
        <v>63700</v>
      </c>
      <c r="AJ9" s="868">
        <v>61750</v>
      </c>
      <c r="AK9" s="984">
        <v>69055</v>
      </c>
      <c r="AL9" s="868">
        <v>68800</v>
      </c>
      <c r="AM9" s="868">
        <v>63500</v>
      </c>
      <c r="AN9" s="984">
        <v>69056</v>
      </c>
      <c r="AO9" s="868">
        <v>64500</v>
      </c>
      <c r="AP9" s="868">
        <v>64580</v>
      </c>
      <c r="AQ9" s="984">
        <v>69057</v>
      </c>
      <c r="AR9" s="868">
        <v>62925</v>
      </c>
      <c r="AS9" s="868">
        <v>71158</v>
      </c>
      <c r="AT9" s="984">
        <v>69058</v>
      </c>
      <c r="AU9" s="868">
        <v>79391</v>
      </c>
      <c r="AV9" s="868">
        <v>87624</v>
      </c>
      <c r="AW9" s="868">
        <v>91678</v>
      </c>
      <c r="AX9" s="868">
        <v>90255</v>
      </c>
      <c r="AY9" s="868">
        <v>110428</v>
      </c>
      <c r="AZ9" s="868">
        <v>113142</v>
      </c>
      <c r="BA9" s="868">
        <v>109389</v>
      </c>
      <c r="BB9" s="868">
        <v>117818</v>
      </c>
      <c r="BC9" s="868">
        <v>104990</v>
      </c>
      <c r="BD9" s="868">
        <v>79612</v>
      </c>
      <c r="BE9" s="868">
        <v>76089</v>
      </c>
      <c r="BF9" s="868">
        <v>79660</v>
      </c>
      <c r="BG9" s="868">
        <v>80367</v>
      </c>
      <c r="BH9" s="868">
        <v>75404</v>
      </c>
      <c r="BI9" s="868">
        <v>71634</v>
      </c>
      <c r="BJ9" s="868">
        <v>63615</v>
      </c>
      <c r="BK9" s="868">
        <v>66900</v>
      </c>
      <c r="BL9" s="868">
        <v>74300</v>
      </c>
      <c r="BM9" s="868">
        <v>76800</v>
      </c>
      <c r="BN9" s="868">
        <v>85000</v>
      </c>
      <c r="BO9" s="868">
        <v>87600</v>
      </c>
      <c r="BP9" s="868">
        <v>81700</v>
      </c>
      <c r="BQ9" s="868">
        <v>62200</v>
      </c>
      <c r="BR9" s="868">
        <v>63400</v>
      </c>
      <c r="BS9" s="868">
        <v>65100</v>
      </c>
      <c r="BT9" s="868">
        <v>56000</v>
      </c>
      <c r="BU9" s="985">
        <v>50100</v>
      </c>
      <c r="BV9" s="985">
        <v>28400</v>
      </c>
      <c r="BW9" s="985">
        <v>21600</v>
      </c>
      <c r="BX9" s="985">
        <v>22700</v>
      </c>
      <c r="BY9" s="985">
        <v>28600</v>
      </c>
      <c r="BZ9" s="985">
        <v>40200</v>
      </c>
      <c r="CA9" s="985">
        <v>50700</v>
      </c>
      <c r="CB9" s="985">
        <v>66900</v>
      </c>
      <c r="CC9" s="985">
        <v>94800</v>
      </c>
      <c r="CD9" s="985">
        <v>86100</v>
      </c>
      <c r="CE9" s="985">
        <v>58900</v>
      </c>
      <c r="CF9" s="985">
        <v>57400</v>
      </c>
      <c r="CG9" s="985">
        <v>80900</v>
      </c>
      <c r="CH9" s="985">
        <v>72100</v>
      </c>
      <c r="CI9" s="985">
        <v>73600</v>
      </c>
      <c r="CJ9" s="985">
        <v>88040</v>
      </c>
      <c r="CK9" s="985">
        <v>107190</v>
      </c>
      <c r="CL9" s="986">
        <v>116560</v>
      </c>
      <c r="CM9" s="356">
        <f t="shared" si="0"/>
        <v>72163.702380952382</v>
      </c>
      <c r="CN9" s="347"/>
      <c r="CO9" s="347"/>
      <c r="CP9" s="347"/>
      <c r="CQ9" s="347"/>
      <c r="CR9" s="347"/>
      <c r="CS9" s="347"/>
      <c r="CT9" s="347"/>
      <c r="CU9" s="347"/>
      <c r="CV9" s="347"/>
      <c r="CW9" s="347"/>
      <c r="CX9" s="347"/>
      <c r="CY9" s="347"/>
      <c r="CZ9" s="347"/>
      <c r="DA9" s="347"/>
      <c r="DB9" s="347"/>
      <c r="DC9" s="347"/>
      <c r="DD9" s="347"/>
      <c r="DE9" s="347"/>
      <c r="DF9" s="347"/>
      <c r="DG9" s="347"/>
      <c r="DH9" s="347"/>
      <c r="DI9" s="347"/>
      <c r="DJ9" s="347"/>
      <c r="DK9" s="347"/>
      <c r="DL9" s="347"/>
      <c r="DM9" s="347"/>
      <c r="DN9" s="347"/>
      <c r="DO9" s="347"/>
      <c r="DP9" s="347"/>
      <c r="DQ9" s="347"/>
      <c r="DR9" s="347"/>
      <c r="DS9" s="347"/>
      <c r="DT9" s="347"/>
      <c r="DU9" s="347"/>
      <c r="DV9" s="347"/>
      <c r="DW9" s="347"/>
      <c r="DX9" s="347"/>
      <c r="DY9" s="347"/>
      <c r="DZ9" s="347"/>
      <c r="EA9" s="347"/>
      <c r="EB9" s="347"/>
      <c r="EC9" s="347"/>
      <c r="ED9" s="347"/>
      <c r="EE9" s="347"/>
      <c r="EF9" s="347"/>
      <c r="EG9" s="347"/>
      <c r="EH9" s="347"/>
      <c r="EI9" s="347"/>
      <c r="EJ9" s="347"/>
      <c r="EK9" s="347"/>
      <c r="EL9" s="347"/>
      <c r="EM9" s="347"/>
      <c r="EN9" s="347"/>
      <c r="EO9" s="347"/>
      <c r="EP9" s="347"/>
      <c r="EQ9" s="347"/>
      <c r="ER9" s="347"/>
      <c r="ES9" s="347"/>
      <c r="ET9" s="347"/>
      <c r="EU9" s="347"/>
      <c r="EV9" s="347"/>
      <c r="EW9" s="347"/>
      <c r="EX9" s="347"/>
      <c r="EY9" s="347"/>
      <c r="EZ9" s="347"/>
      <c r="FA9" s="347"/>
      <c r="FB9" s="347"/>
      <c r="FC9" s="347"/>
      <c r="FD9" s="347"/>
      <c r="FE9" s="347"/>
      <c r="FF9" s="347"/>
      <c r="FG9" s="347"/>
      <c r="FH9" s="347"/>
      <c r="FI9" s="347"/>
      <c r="FJ9" s="347"/>
      <c r="FK9" s="347"/>
      <c r="FL9" s="347"/>
      <c r="FM9" s="347"/>
      <c r="FN9" s="347"/>
      <c r="FO9" s="347"/>
      <c r="FP9" s="347"/>
      <c r="FQ9" s="347"/>
      <c r="FR9" s="347"/>
      <c r="FS9" s="347"/>
      <c r="FT9" s="347"/>
      <c r="FU9" s="347"/>
      <c r="FV9" s="347"/>
    </row>
    <row r="10" spans="1:178">
      <c r="A10" s="1404"/>
      <c r="B10" s="811" t="s">
        <v>399</v>
      </c>
      <c r="C10" s="581" t="s">
        <v>151</v>
      </c>
      <c r="D10" s="581"/>
      <c r="E10" s="812" t="s">
        <v>464</v>
      </c>
      <c r="F10" s="867" t="s">
        <v>141</v>
      </c>
      <c r="G10" s="1323">
        <v>24398.880000000001</v>
      </c>
      <c r="H10" s="868">
        <v>25035.784242424201</v>
      </c>
      <c r="I10" s="868">
        <v>25672.688484848499</v>
      </c>
      <c r="J10" s="868">
        <v>26309.592727272699</v>
      </c>
      <c r="K10" s="868">
        <v>26946.496969697</v>
      </c>
      <c r="L10" s="868">
        <v>27583.4012121212</v>
      </c>
      <c r="M10" s="868">
        <v>28220.305454545502</v>
      </c>
      <c r="N10" s="868">
        <v>28857.209696969701</v>
      </c>
      <c r="O10" s="868">
        <v>29494.113939393901</v>
      </c>
      <c r="P10" s="983">
        <v>30131.018181818199</v>
      </c>
      <c r="Q10" s="868">
        <v>30767.922424242399</v>
      </c>
      <c r="R10" s="868">
        <v>31404.8266666667</v>
      </c>
      <c r="S10" s="868">
        <v>31722.6</v>
      </c>
      <c r="T10" s="983">
        <v>32547.5</v>
      </c>
      <c r="U10" s="885">
        <v>34500</v>
      </c>
      <c r="V10" s="868">
        <v>33372.400000000001</v>
      </c>
      <c r="W10" s="983">
        <v>34197.300000000003</v>
      </c>
      <c r="X10" s="868">
        <v>35022.199999999997</v>
      </c>
      <c r="Y10" s="868">
        <v>35847.1</v>
      </c>
      <c r="Z10" s="868">
        <v>37700</v>
      </c>
      <c r="AA10" s="868">
        <v>36672</v>
      </c>
      <c r="AB10" s="868">
        <v>37496.9</v>
      </c>
      <c r="AC10" s="885">
        <v>38321.800000000003</v>
      </c>
      <c r="AD10" s="868">
        <v>39146.699999999997</v>
      </c>
      <c r="AE10" s="868">
        <v>35300</v>
      </c>
      <c r="AF10" s="868">
        <v>39971.599999999999</v>
      </c>
      <c r="AG10" s="885">
        <v>40796.5</v>
      </c>
      <c r="AH10" s="868">
        <v>41621.4</v>
      </c>
      <c r="AI10" s="983">
        <v>42446.3</v>
      </c>
      <c r="AJ10" s="984">
        <v>38276</v>
      </c>
      <c r="AK10" s="868">
        <v>40271.199999999997</v>
      </c>
      <c r="AL10" s="868">
        <v>40096.1</v>
      </c>
      <c r="AM10" s="868">
        <v>41921</v>
      </c>
      <c r="AN10" s="868">
        <v>40745.9</v>
      </c>
      <c r="AO10" s="984">
        <v>40250</v>
      </c>
      <c r="AP10" s="868">
        <v>41570.800000000003</v>
      </c>
      <c r="AQ10" s="868">
        <v>39395.699999999997</v>
      </c>
      <c r="AR10" s="868">
        <v>38220.6</v>
      </c>
      <c r="AS10" s="868">
        <v>39045.5</v>
      </c>
      <c r="AT10" s="984">
        <v>40278</v>
      </c>
      <c r="AU10" s="868">
        <v>40825</v>
      </c>
      <c r="AV10" s="868">
        <v>39651</v>
      </c>
      <c r="AW10" s="868">
        <v>40745</v>
      </c>
      <c r="AX10" s="868">
        <v>43210</v>
      </c>
      <c r="AY10" s="868">
        <v>49220</v>
      </c>
      <c r="AZ10" s="868">
        <v>47166</v>
      </c>
      <c r="BA10" s="868">
        <v>48765</v>
      </c>
      <c r="BB10" s="868">
        <v>49461</v>
      </c>
      <c r="BC10" s="868">
        <v>53775</v>
      </c>
      <c r="BD10" s="868">
        <v>54370</v>
      </c>
      <c r="BE10" s="868">
        <v>41640</v>
      </c>
      <c r="BF10" s="868">
        <v>37117</v>
      </c>
      <c r="BG10" s="868">
        <v>37203</v>
      </c>
      <c r="BH10" s="868">
        <v>40633</v>
      </c>
      <c r="BI10" s="868">
        <v>41946</v>
      </c>
      <c r="BJ10" s="868">
        <v>44260</v>
      </c>
      <c r="BK10" s="868">
        <v>46500</v>
      </c>
      <c r="BL10" s="868">
        <v>40900</v>
      </c>
      <c r="BM10" s="868">
        <v>43100</v>
      </c>
      <c r="BN10" s="868">
        <v>41200</v>
      </c>
      <c r="BO10" s="868">
        <v>43200</v>
      </c>
      <c r="BP10" s="868">
        <v>43200</v>
      </c>
      <c r="BQ10" s="868">
        <v>45400</v>
      </c>
      <c r="BR10" s="868">
        <v>48300</v>
      </c>
      <c r="BS10" s="868">
        <v>47500</v>
      </c>
      <c r="BT10" s="868">
        <v>43200</v>
      </c>
      <c r="BU10" s="985">
        <v>30300</v>
      </c>
      <c r="BV10" s="985">
        <v>20000</v>
      </c>
      <c r="BW10" s="985">
        <v>25600</v>
      </c>
      <c r="BX10" s="985">
        <v>36800</v>
      </c>
      <c r="BY10" s="985">
        <v>39400</v>
      </c>
      <c r="BZ10" s="985">
        <v>39300</v>
      </c>
      <c r="CA10" s="985">
        <v>38800</v>
      </c>
      <c r="CB10" s="985">
        <v>38500</v>
      </c>
      <c r="CC10" s="985">
        <v>34300</v>
      </c>
      <c r="CD10" s="985">
        <v>37200</v>
      </c>
      <c r="CE10" s="985">
        <v>42600</v>
      </c>
      <c r="CF10" s="985">
        <v>46400</v>
      </c>
      <c r="CG10" s="985">
        <v>47800</v>
      </c>
      <c r="CH10" s="985">
        <v>47000</v>
      </c>
      <c r="CI10" s="985">
        <v>49100</v>
      </c>
      <c r="CJ10" s="985">
        <v>52210</v>
      </c>
      <c r="CK10" s="985">
        <v>56230</v>
      </c>
      <c r="CL10" s="986">
        <v>53120</v>
      </c>
      <c r="CM10" s="356">
        <f t="shared" si="0"/>
        <v>39151.45642857143</v>
      </c>
      <c r="CN10" s="347"/>
      <c r="CO10" s="347"/>
      <c r="CP10" s="347"/>
      <c r="CQ10" s="347"/>
      <c r="CR10" s="347"/>
      <c r="CS10" s="347"/>
      <c r="CT10" s="347"/>
      <c r="CU10" s="347"/>
      <c r="CV10" s="347"/>
      <c r="CW10" s="347"/>
      <c r="CX10" s="347"/>
      <c r="CY10" s="347"/>
      <c r="CZ10" s="347"/>
      <c r="DA10" s="347"/>
      <c r="DB10" s="347"/>
      <c r="DC10" s="347"/>
      <c r="DD10" s="347"/>
      <c r="DE10" s="347"/>
      <c r="DF10" s="347"/>
      <c r="DG10" s="347"/>
      <c r="DH10" s="347"/>
      <c r="DI10" s="347"/>
      <c r="DJ10" s="347"/>
      <c r="DK10" s="347"/>
      <c r="DL10" s="347"/>
      <c r="DM10" s="347"/>
      <c r="DN10" s="347"/>
      <c r="DO10" s="347"/>
      <c r="DP10" s="347"/>
      <c r="DQ10" s="347"/>
      <c r="DR10" s="347"/>
      <c r="DS10" s="347"/>
      <c r="DT10" s="347"/>
      <c r="DU10" s="347"/>
      <c r="DV10" s="347"/>
      <c r="DW10" s="347"/>
      <c r="DX10" s="347"/>
      <c r="DY10" s="347"/>
      <c r="DZ10" s="347"/>
      <c r="EA10" s="347"/>
      <c r="EB10" s="347"/>
      <c r="EC10" s="347"/>
      <c r="ED10" s="347"/>
      <c r="EE10" s="347"/>
      <c r="EF10" s="347"/>
      <c r="EG10" s="347"/>
      <c r="EH10" s="347"/>
      <c r="EI10" s="347"/>
      <c r="EJ10" s="347"/>
      <c r="EK10" s="347"/>
      <c r="EL10" s="347"/>
      <c r="EM10" s="347"/>
      <c r="EN10" s="347"/>
      <c r="EO10" s="347"/>
      <c r="EP10" s="347"/>
      <c r="EQ10" s="347"/>
      <c r="ER10" s="347"/>
      <c r="ES10" s="347"/>
      <c r="ET10" s="347"/>
      <c r="EU10" s="347"/>
      <c r="EV10" s="347"/>
      <c r="EW10" s="347"/>
      <c r="EX10" s="347"/>
      <c r="EY10" s="347"/>
      <c r="EZ10" s="347"/>
      <c r="FA10" s="347"/>
      <c r="FB10" s="347"/>
      <c r="FC10" s="347"/>
      <c r="FD10" s="347"/>
      <c r="FE10" s="347"/>
      <c r="FF10" s="347"/>
      <c r="FG10" s="347"/>
      <c r="FH10" s="347"/>
      <c r="FI10" s="347"/>
      <c r="FJ10" s="347"/>
      <c r="FK10" s="347"/>
      <c r="FL10" s="347"/>
      <c r="FM10" s="347"/>
      <c r="FN10" s="347"/>
      <c r="FO10" s="347"/>
      <c r="FP10" s="347"/>
      <c r="FQ10" s="347"/>
      <c r="FR10" s="347"/>
      <c r="FS10" s="347"/>
      <c r="FT10" s="347"/>
      <c r="FU10" s="347"/>
      <c r="FV10" s="347"/>
    </row>
    <row r="11" spans="1:178">
      <c r="A11" s="1404"/>
      <c r="B11" s="811" t="s">
        <v>399</v>
      </c>
      <c r="C11" s="581" t="s">
        <v>151</v>
      </c>
      <c r="D11" s="581"/>
      <c r="E11" s="812" t="s">
        <v>464</v>
      </c>
      <c r="F11" s="867" t="s">
        <v>140</v>
      </c>
      <c r="G11" s="1323">
        <v>37759.000000000102</v>
      </c>
      <c r="H11" s="868">
        <v>36931.1292929294</v>
      </c>
      <c r="I11" s="868">
        <v>36103.258585858697</v>
      </c>
      <c r="J11" s="868">
        <v>35275.3878787879</v>
      </c>
      <c r="K11" s="868">
        <v>34447.517171717198</v>
      </c>
      <c r="L11" s="868">
        <v>33619.646464646503</v>
      </c>
      <c r="M11" s="868">
        <v>32791.775757575801</v>
      </c>
      <c r="N11" s="868">
        <v>31963.905050505098</v>
      </c>
      <c r="O11" s="868">
        <v>31136.034343434399</v>
      </c>
      <c r="P11" s="983">
        <v>30308.163636363701</v>
      </c>
      <c r="Q11" s="868">
        <v>29480.292929292998</v>
      </c>
      <c r="R11" s="868">
        <v>28652.422222222202</v>
      </c>
      <c r="S11" s="868">
        <v>31782.666666666701</v>
      </c>
      <c r="T11" s="983">
        <v>31356.666666666701</v>
      </c>
      <c r="U11" s="885">
        <v>22930</v>
      </c>
      <c r="V11" s="868">
        <v>22278</v>
      </c>
      <c r="W11" s="983">
        <v>20505</v>
      </c>
      <c r="X11" s="868">
        <v>21079</v>
      </c>
      <c r="Y11" s="868">
        <v>22653</v>
      </c>
      <c r="Z11" s="868">
        <v>22279</v>
      </c>
      <c r="AA11" s="868">
        <v>22327</v>
      </c>
      <c r="AB11" s="868">
        <v>23801</v>
      </c>
      <c r="AC11" s="885">
        <v>22740</v>
      </c>
      <c r="AD11" s="868">
        <v>22280</v>
      </c>
      <c r="AE11" s="868">
        <v>21799</v>
      </c>
      <c r="AF11" s="868">
        <v>21523</v>
      </c>
      <c r="AG11" s="885">
        <v>23055</v>
      </c>
      <c r="AH11" s="868">
        <v>22281</v>
      </c>
      <c r="AI11" s="983">
        <v>21450</v>
      </c>
      <c r="AJ11" s="868">
        <v>22640</v>
      </c>
      <c r="AK11" s="868">
        <v>25818.666666666701</v>
      </c>
      <c r="AL11" s="984">
        <v>22282</v>
      </c>
      <c r="AM11" s="868">
        <v>25392.666666666701</v>
      </c>
      <c r="AN11" s="868">
        <v>24966.666666666701</v>
      </c>
      <c r="AO11" s="868">
        <v>24540.666666666701</v>
      </c>
      <c r="AP11" s="984">
        <v>22283</v>
      </c>
      <c r="AQ11" s="868">
        <v>24114.666666666701</v>
      </c>
      <c r="AR11" s="868">
        <v>23688.666666666701</v>
      </c>
      <c r="AS11" s="868">
        <v>23262.666666666701</v>
      </c>
      <c r="AT11" s="984">
        <v>22284</v>
      </c>
      <c r="AU11" s="868">
        <v>23133</v>
      </c>
      <c r="AV11" s="868">
        <v>21818</v>
      </c>
      <c r="AW11" s="868">
        <v>22281</v>
      </c>
      <c r="AX11" s="868">
        <v>24177</v>
      </c>
      <c r="AY11" s="868">
        <v>28071</v>
      </c>
      <c r="AZ11" s="868">
        <v>28045</v>
      </c>
      <c r="BA11" s="868">
        <v>29524</v>
      </c>
      <c r="BB11" s="868">
        <v>28439</v>
      </c>
      <c r="BC11" s="868">
        <v>30668</v>
      </c>
      <c r="BD11" s="868">
        <v>33226</v>
      </c>
      <c r="BE11" s="868">
        <v>28437</v>
      </c>
      <c r="BF11" s="868">
        <v>23915</v>
      </c>
      <c r="BG11" s="868">
        <v>25268</v>
      </c>
      <c r="BH11" s="868">
        <v>28957</v>
      </c>
      <c r="BI11" s="868">
        <v>29150</v>
      </c>
      <c r="BJ11" s="868">
        <v>30044</v>
      </c>
      <c r="BK11" s="868">
        <v>28400</v>
      </c>
      <c r="BL11" s="868">
        <v>25400</v>
      </c>
      <c r="BM11" s="868">
        <v>26700</v>
      </c>
      <c r="BN11" s="868">
        <v>22400</v>
      </c>
      <c r="BO11" s="868">
        <v>24500</v>
      </c>
      <c r="BP11" s="868">
        <v>21200</v>
      </c>
      <c r="BQ11" s="868">
        <v>18600</v>
      </c>
      <c r="BR11" s="868">
        <v>21400</v>
      </c>
      <c r="BS11" s="868">
        <v>22400</v>
      </c>
      <c r="BT11" s="868">
        <v>23100</v>
      </c>
      <c r="BU11" s="985">
        <v>14400</v>
      </c>
      <c r="BV11" s="985">
        <v>10800</v>
      </c>
      <c r="BW11" s="985">
        <v>14100</v>
      </c>
      <c r="BX11" s="985">
        <v>18300</v>
      </c>
      <c r="BY11" s="985">
        <v>20100</v>
      </c>
      <c r="BZ11" s="985">
        <v>21300</v>
      </c>
      <c r="CA11" s="985">
        <v>20000</v>
      </c>
      <c r="CB11" s="985">
        <v>20600</v>
      </c>
      <c r="CC11" s="985">
        <v>21500</v>
      </c>
      <c r="CD11" s="985">
        <v>23400</v>
      </c>
      <c r="CE11" s="985">
        <v>24700</v>
      </c>
      <c r="CF11" s="985">
        <v>27200</v>
      </c>
      <c r="CG11" s="985">
        <v>28300</v>
      </c>
      <c r="CH11" s="985">
        <v>29000</v>
      </c>
      <c r="CI11" s="985">
        <v>29700</v>
      </c>
      <c r="CJ11" s="985">
        <v>31350</v>
      </c>
      <c r="CK11" s="985">
        <v>30470</v>
      </c>
      <c r="CL11" s="986">
        <v>31250</v>
      </c>
      <c r="CM11" s="356">
        <f t="shared" si="0"/>
        <v>25495.053968253982</v>
      </c>
      <c r="CN11" s="347"/>
      <c r="CO11" s="347"/>
      <c r="CP11" s="347"/>
      <c r="CQ11" s="347"/>
      <c r="CR11" s="347"/>
      <c r="CS11" s="347"/>
      <c r="CT11" s="347"/>
      <c r="CU11" s="347"/>
      <c r="CV11" s="347"/>
      <c r="CW11" s="347"/>
      <c r="CX11" s="347"/>
      <c r="CY11" s="347"/>
      <c r="CZ11" s="347"/>
      <c r="DA11" s="347"/>
      <c r="DB11" s="347"/>
      <c r="DC11" s="347"/>
      <c r="DD11" s="347"/>
      <c r="DE11" s="347"/>
      <c r="DF11" s="347"/>
      <c r="DG11" s="347"/>
      <c r="DH11" s="347"/>
      <c r="DI11" s="347"/>
      <c r="DJ11" s="347"/>
      <c r="DK11" s="347"/>
      <c r="DL11" s="347"/>
      <c r="DM11" s="347"/>
      <c r="DN11" s="347"/>
      <c r="DO11" s="347"/>
      <c r="DP11" s="347"/>
      <c r="DQ11" s="347"/>
      <c r="DR11" s="347"/>
      <c r="DS11" s="347"/>
      <c r="DT11" s="347"/>
      <c r="DU11" s="347"/>
      <c r="DV11" s="347"/>
      <c r="DW11" s="347"/>
      <c r="DX11" s="347"/>
      <c r="DY11" s="347"/>
      <c r="DZ11" s="347"/>
      <c r="EA11" s="347"/>
      <c r="EB11" s="347"/>
      <c r="EC11" s="347"/>
      <c r="ED11" s="347"/>
      <c r="EE11" s="347"/>
      <c r="EF11" s="347"/>
      <c r="EG11" s="347"/>
      <c r="EH11" s="347"/>
      <c r="EI11" s="347"/>
      <c r="EJ11" s="347"/>
      <c r="EK11" s="347"/>
      <c r="EL11" s="347"/>
      <c r="EM11" s="347"/>
      <c r="EN11" s="347"/>
      <c r="EO11" s="347"/>
      <c r="EP11" s="347"/>
      <c r="EQ11" s="347"/>
      <c r="ER11" s="347"/>
      <c r="ES11" s="347"/>
      <c r="ET11" s="347"/>
      <c r="EU11" s="347"/>
      <c r="EV11" s="347"/>
      <c r="EW11" s="347"/>
      <c r="EX11" s="347"/>
      <c r="EY11" s="347"/>
      <c r="EZ11" s="347"/>
      <c r="FA11" s="347"/>
      <c r="FB11" s="347"/>
      <c r="FC11" s="347"/>
      <c r="FD11" s="347"/>
      <c r="FE11" s="347"/>
      <c r="FF11" s="347"/>
      <c r="FG11" s="347"/>
      <c r="FH11" s="347"/>
      <c r="FI11" s="347"/>
      <c r="FJ11" s="347"/>
      <c r="FK11" s="347"/>
      <c r="FL11" s="347"/>
      <c r="FM11" s="347"/>
      <c r="FN11" s="347"/>
      <c r="FO11" s="347"/>
      <c r="FP11" s="347"/>
      <c r="FQ11" s="347"/>
      <c r="FR11" s="347"/>
      <c r="FS11" s="347"/>
      <c r="FT11" s="347"/>
      <c r="FU11" s="347"/>
      <c r="FV11" s="347"/>
    </row>
    <row r="12" spans="1:178">
      <c r="A12" s="1401"/>
      <c r="B12" s="859" t="s">
        <v>399</v>
      </c>
      <c r="C12" s="860" t="s">
        <v>151</v>
      </c>
      <c r="D12" s="860"/>
      <c r="E12" s="315" t="s">
        <v>464</v>
      </c>
      <c r="F12" s="869" t="s">
        <v>139</v>
      </c>
      <c r="G12" s="1324">
        <v>32175.4666666667</v>
      </c>
      <c r="H12" s="870">
        <v>32270.216161616201</v>
      </c>
      <c r="I12" s="870">
        <v>32364.965656565699</v>
      </c>
      <c r="J12" s="870">
        <v>32459.7151515152</v>
      </c>
      <c r="K12" s="870">
        <v>32554.464646464701</v>
      </c>
      <c r="L12" s="870">
        <v>32649.214141414199</v>
      </c>
      <c r="M12" s="870">
        <v>32743.9636363637</v>
      </c>
      <c r="N12" s="870">
        <v>32838.713131313198</v>
      </c>
      <c r="O12" s="870">
        <v>32933.462626262699</v>
      </c>
      <c r="P12" s="983">
        <v>33028.212121212098</v>
      </c>
      <c r="Q12" s="870">
        <v>33122.9616161616</v>
      </c>
      <c r="R12" s="870">
        <v>33217.711111111101</v>
      </c>
      <c r="S12" s="870">
        <v>33015.666666666701</v>
      </c>
      <c r="T12" s="987">
        <v>33126.166666666701</v>
      </c>
      <c r="U12" s="948">
        <v>33236.666666666701</v>
      </c>
      <c r="V12" s="870">
        <v>35084</v>
      </c>
      <c r="W12" s="987">
        <v>33347.166666666701</v>
      </c>
      <c r="X12" s="870">
        <v>33457.666666666701</v>
      </c>
      <c r="Y12" s="870">
        <v>33568.166666666701</v>
      </c>
      <c r="Z12" s="868">
        <v>35085</v>
      </c>
      <c r="AA12" s="870">
        <v>33678.666666666701</v>
      </c>
      <c r="AB12" s="870">
        <v>33789.166666666701</v>
      </c>
      <c r="AC12" s="948">
        <v>33899.666666666701</v>
      </c>
      <c r="AD12" s="870">
        <v>35086</v>
      </c>
      <c r="AE12" s="868">
        <v>34010.166666666701</v>
      </c>
      <c r="AF12" s="870">
        <v>34120.666666666701</v>
      </c>
      <c r="AG12" s="948">
        <v>34231.166666666701</v>
      </c>
      <c r="AH12" s="870">
        <v>35087</v>
      </c>
      <c r="AI12" s="987">
        <v>34341.666666666701</v>
      </c>
      <c r="AJ12" s="870">
        <v>34452.166666666701</v>
      </c>
      <c r="AK12" s="870">
        <v>34562.666666666701</v>
      </c>
      <c r="AL12" s="988">
        <v>35088</v>
      </c>
      <c r="AM12" s="870">
        <v>34673.166666666701</v>
      </c>
      <c r="AN12" s="870">
        <v>34783.666666666701</v>
      </c>
      <c r="AO12" s="870">
        <v>34894.166666666701</v>
      </c>
      <c r="AP12" s="988">
        <v>35089</v>
      </c>
      <c r="AQ12" s="870">
        <v>35004.666666666701</v>
      </c>
      <c r="AR12" s="870">
        <v>35115.166666666701</v>
      </c>
      <c r="AS12" s="870">
        <v>35225.666666666701</v>
      </c>
      <c r="AT12" s="988">
        <v>35090</v>
      </c>
      <c r="AU12" s="870">
        <v>35648</v>
      </c>
      <c r="AV12" s="870">
        <v>34823</v>
      </c>
      <c r="AW12" s="870">
        <v>35869</v>
      </c>
      <c r="AX12" s="870">
        <v>38900</v>
      </c>
      <c r="AY12" s="870">
        <v>48637</v>
      </c>
      <c r="AZ12" s="870">
        <v>46484</v>
      </c>
      <c r="BA12" s="870">
        <v>48182</v>
      </c>
      <c r="BB12" s="870">
        <v>48880</v>
      </c>
      <c r="BC12" s="870">
        <v>53437</v>
      </c>
      <c r="BD12" s="870">
        <v>53976</v>
      </c>
      <c r="BE12" s="870">
        <v>40000</v>
      </c>
      <c r="BF12" s="870">
        <v>35076</v>
      </c>
      <c r="BG12" s="870">
        <v>35172</v>
      </c>
      <c r="BH12" s="870">
        <v>38937</v>
      </c>
      <c r="BI12" s="870">
        <v>40545</v>
      </c>
      <c r="BJ12" s="870">
        <v>43117</v>
      </c>
      <c r="BK12" s="870">
        <v>41200</v>
      </c>
      <c r="BL12" s="870">
        <v>35000</v>
      </c>
      <c r="BM12" s="870">
        <v>37500</v>
      </c>
      <c r="BN12" s="870">
        <v>35100</v>
      </c>
      <c r="BO12" s="870">
        <v>37300</v>
      </c>
      <c r="BP12" s="870">
        <v>37300</v>
      </c>
      <c r="BQ12" s="870">
        <v>39700</v>
      </c>
      <c r="BR12" s="870">
        <v>41700</v>
      </c>
      <c r="BS12" s="870">
        <v>40900</v>
      </c>
      <c r="BT12" s="870">
        <v>38000</v>
      </c>
      <c r="BU12" s="989">
        <v>25000</v>
      </c>
      <c r="BV12" s="989">
        <v>19100</v>
      </c>
      <c r="BW12" s="989">
        <v>25000</v>
      </c>
      <c r="BX12" s="989">
        <v>31800</v>
      </c>
      <c r="BY12" s="989">
        <v>33800</v>
      </c>
      <c r="BZ12" s="989">
        <v>35100</v>
      </c>
      <c r="CA12" s="989">
        <v>36000</v>
      </c>
      <c r="CB12" s="989">
        <v>35700</v>
      </c>
      <c r="CC12" s="989">
        <v>35700</v>
      </c>
      <c r="CD12" s="989">
        <v>39300</v>
      </c>
      <c r="CE12" s="989">
        <v>42500</v>
      </c>
      <c r="CF12" s="989">
        <v>46600</v>
      </c>
      <c r="CG12" s="989">
        <v>48300</v>
      </c>
      <c r="CH12" s="989">
        <v>44700</v>
      </c>
      <c r="CI12" s="989">
        <v>47100</v>
      </c>
      <c r="CJ12" s="989">
        <v>50610</v>
      </c>
      <c r="CK12" s="989">
        <v>50620</v>
      </c>
      <c r="CL12" s="990">
        <v>44350</v>
      </c>
      <c r="CM12" s="863">
        <f t="shared" si="0"/>
        <v>36990.060317460338</v>
      </c>
      <c r="CN12" s="347"/>
      <c r="CO12" s="347"/>
      <c r="CP12" s="347"/>
      <c r="CQ12" s="347"/>
      <c r="CR12" s="347"/>
      <c r="CS12" s="347"/>
      <c r="CT12" s="347"/>
      <c r="CU12" s="347"/>
      <c r="CV12" s="347"/>
      <c r="CW12" s="347"/>
      <c r="CX12" s="347"/>
      <c r="CY12" s="347"/>
      <c r="CZ12" s="347"/>
      <c r="DA12" s="347"/>
      <c r="DB12" s="347"/>
      <c r="DC12" s="347"/>
      <c r="DD12" s="347"/>
      <c r="DE12" s="347"/>
      <c r="DF12" s="347"/>
      <c r="DG12" s="347"/>
      <c r="DH12" s="347"/>
      <c r="DI12" s="347"/>
      <c r="DJ12" s="347"/>
      <c r="DK12" s="347"/>
      <c r="DL12" s="347"/>
      <c r="DM12" s="347"/>
      <c r="DN12" s="347"/>
      <c r="DO12" s="347"/>
      <c r="DP12" s="347"/>
      <c r="DQ12" s="347"/>
      <c r="DR12" s="347"/>
      <c r="DS12" s="347"/>
      <c r="DT12" s="347"/>
      <c r="DU12" s="347"/>
      <c r="DV12" s="347"/>
      <c r="DW12" s="347"/>
      <c r="DX12" s="347"/>
      <c r="DY12" s="347"/>
      <c r="DZ12" s="347"/>
      <c r="EA12" s="347"/>
      <c r="EB12" s="347"/>
      <c r="EC12" s="347"/>
      <c r="ED12" s="347"/>
      <c r="EE12" s="347"/>
      <c r="EF12" s="347"/>
      <c r="EG12" s="347"/>
      <c r="EH12" s="347"/>
      <c r="EI12" s="347"/>
      <c r="EJ12" s="347"/>
      <c r="EK12" s="347"/>
      <c r="EL12" s="347"/>
      <c r="EM12" s="347"/>
      <c r="EN12" s="347"/>
      <c r="EO12" s="347"/>
      <c r="EP12" s="347"/>
      <c r="EQ12" s="347"/>
      <c r="ER12" s="347"/>
      <c r="ES12" s="347"/>
      <c r="ET12" s="347"/>
      <c r="EU12" s="347"/>
      <c r="EV12" s="347"/>
      <c r="EW12" s="347"/>
      <c r="EX12" s="347"/>
      <c r="EY12" s="347"/>
      <c r="EZ12" s="347"/>
      <c r="FA12" s="347"/>
      <c r="FB12" s="347"/>
      <c r="FC12" s="347"/>
      <c r="FD12" s="347"/>
      <c r="FE12" s="347"/>
      <c r="FF12" s="347"/>
      <c r="FG12" s="347"/>
      <c r="FH12" s="347"/>
      <c r="FI12" s="347"/>
      <c r="FJ12" s="347"/>
      <c r="FK12" s="347"/>
      <c r="FL12" s="347"/>
      <c r="FM12" s="347"/>
      <c r="FN12" s="347"/>
      <c r="FO12" s="347"/>
      <c r="FP12" s="347"/>
      <c r="FQ12" s="347"/>
      <c r="FR12" s="347"/>
      <c r="FS12" s="347"/>
      <c r="FT12" s="347"/>
      <c r="FU12" s="347"/>
      <c r="FV12" s="347"/>
    </row>
    <row r="13" spans="1:178" ht="12.75" customHeight="1">
      <c r="A13" s="1405" t="s">
        <v>552</v>
      </c>
      <c r="B13" s="871" t="s">
        <v>403</v>
      </c>
      <c r="C13" s="872" t="s">
        <v>402</v>
      </c>
      <c r="D13" s="872"/>
      <c r="E13" s="1407" t="s">
        <v>447</v>
      </c>
      <c r="F13" s="873" t="s">
        <v>168</v>
      </c>
      <c r="G13" s="874">
        <f>Feed!$B$4*1000/12</f>
        <v>44583.333333333336</v>
      </c>
      <c r="H13" s="874">
        <f>Feed!$B$4*1000/12</f>
        <v>44583.333333333336</v>
      </c>
      <c r="I13" s="874">
        <f>Feed!$B$4*1000/12</f>
        <v>44583.333333333336</v>
      </c>
      <c r="J13" s="874">
        <f>Feed!$B$4*1000/12</f>
        <v>44583.333333333336</v>
      </c>
      <c r="K13" s="874">
        <f>Feed!$B$4*1000/12</f>
        <v>44583.333333333336</v>
      </c>
      <c r="L13" s="874">
        <f>Feed!$B$4*1000/12</f>
        <v>44583.333333333336</v>
      </c>
      <c r="M13" s="874">
        <f>Feed!$B$4*1000/12</f>
        <v>44583.333333333336</v>
      </c>
      <c r="N13" s="874">
        <f>Feed!$B$4*1000/12</f>
        <v>44583.333333333336</v>
      </c>
      <c r="O13" s="874">
        <f>Feed!$B$4*1000/12</f>
        <v>44583.333333333336</v>
      </c>
      <c r="P13" s="874">
        <f>Feed!$B$4*1000/12</f>
        <v>44583.333333333336</v>
      </c>
      <c r="Q13" s="874">
        <f>Feed!$B$4*1000/12</f>
        <v>44583.333333333336</v>
      </c>
      <c r="R13" s="874">
        <f>Feed!$B$4*1000/12</f>
        <v>44583.333333333336</v>
      </c>
      <c r="S13" s="874">
        <f>Feed!$B$4*1000/12</f>
        <v>44583.333333333336</v>
      </c>
      <c r="T13" s="874">
        <f>Feed!$B$4*1000/12</f>
        <v>44583.333333333336</v>
      </c>
      <c r="U13" s="874">
        <f>Feed!$B$4*1000/12</f>
        <v>44583.333333333336</v>
      </c>
      <c r="V13" s="874">
        <f>Feed!$B$4*1000/12</f>
        <v>44583.333333333336</v>
      </c>
      <c r="W13" s="874">
        <f>Feed!$B$4*1000/12</f>
        <v>44583.333333333336</v>
      </c>
      <c r="X13" s="874">
        <f>Feed!$B$4*1000/12</f>
        <v>44583.333333333336</v>
      </c>
      <c r="Y13" s="874">
        <f>Feed!$B$4*1000/12</f>
        <v>44583.333333333336</v>
      </c>
      <c r="Z13" s="874">
        <f>Feed!$B$4*1000/12</f>
        <v>44583.333333333336</v>
      </c>
      <c r="AA13" s="874">
        <f>Feed!$B$4*1000/12</f>
        <v>44583.333333333336</v>
      </c>
      <c r="AB13" s="874">
        <f>Feed!$B$4*1000/12</f>
        <v>44583.333333333336</v>
      </c>
      <c r="AC13" s="874">
        <f>Feed!$B$4*1000/12</f>
        <v>44583.333333333336</v>
      </c>
      <c r="AD13" s="874">
        <f>Feed!$B$4*1000/12</f>
        <v>44583.333333333336</v>
      </c>
      <c r="AE13" s="874">
        <f>Feed!$B$4*1000/12</f>
        <v>44583.333333333336</v>
      </c>
      <c r="AF13" s="874">
        <f>Feed!$B$4*1000/12</f>
        <v>44583.333333333336</v>
      </c>
      <c r="AG13" s="874">
        <f>Feed!$B$4*1000/12</f>
        <v>44583.333333333336</v>
      </c>
      <c r="AH13" s="874">
        <f>Feed!$B$4*1000/12</f>
        <v>44583.333333333336</v>
      </c>
      <c r="AI13" s="874">
        <f>Feed!$B$4*1000/12</f>
        <v>44583.333333333336</v>
      </c>
      <c r="AJ13" s="874">
        <f>Feed!$B$4*1000/12</f>
        <v>44583.333333333336</v>
      </c>
      <c r="AK13" s="874">
        <f>Feed!$B$4*1000/12</f>
        <v>44583.333333333336</v>
      </c>
      <c r="AL13" s="874">
        <f>Feed!$B$4*1000/12</f>
        <v>44583.333333333336</v>
      </c>
      <c r="AM13" s="874">
        <f>Feed!$B$4*1000/12</f>
        <v>44583.333333333336</v>
      </c>
      <c r="AN13" s="874">
        <f>Feed!$B$4*1000/12</f>
        <v>44583.333333333336</v>
      </c>
      <c r="AO13" s="874">
        <f>Feed!$B$4*1000/12</f>
        <v>44583.333333333336</v>
      </c>
      <c r="AP13" s="874">
        <f>Feed!$B$4*1000/12</f>
        <v>44583.333333333336</v>
      </c>
      <c r="AQ13" s="874">
        <f>Feed!$B$4*1000/12</f>
        <v>44583.333333333336</v>
      </c>
      <c r="AR13" s="874">
        <f>Feed!$B$4*1000/12</f>
        <v>44583.333333333336</v>
      </c>
      <c r="AS13" s="874">
        <f>Feed!$B$4*1000/12</f>
        <v>44583.333333333336</v>
      </c>
      <c r="AT13" s="874">
        <f>Feed!$B$4*1000/12</f>
        <v>44583.333333333336</v>
      </c>
      <c r="AU13" s="874">
        <f>Feed!$B$4*1000/12</f>
        <v>44583.333333333336</v>
      </c>
      <c r="AV13" s="874">
        <f>Feed!$B$4*1000/12</f>
        <v>44583.333333333336</v>
      </c>
      <c r="AW13" s="874">
        <f>Feed!$B$4*1000/12</f>
        <v>44583.333333333336</v>
      </c>
      <c r="AX13" s="874">
        <f>Feed!$B$4*1000/12</f>
        <v>44583.333333333336</v>
      </c>
      <c r="AY13" s="874">
        <f>Feed!$B$4*1000/12</f>
        <v>44583.333333333336</v>
      </c>
      <c r="AZ13" s="874">
        <f>Feed!$B$4*1000/12</f>
        <v>44583.333333333336</v>
      </c>
      <c r="BA13" s="874">
        <f>Feed!$B$4*1000/12</f>
        <v>44583.333333333336</v>
      </c>
      <c r="BB13" s="874">
        <f>Feed!$B$4*1000/12</f>
        <v>44583.333333333336</v>
      </c>
      <c r="BC13" s="874">
        <f>Feed!$B$4*1000/12</f>
        <v>44583.333333333336</v>
      </c>
      <c r="BD13" s="874">
        <f>Feed!$B$4*1000/12</f>
        <v>44583.333333333336</v>
      </c>
      <c r="BE13" s="874">
        <f>Feed!$B$4*1000/12</f>
        <v>44583.333333333336</v>
      </c>
      <c r="BF13" s="874">
        <f>Feed!$B$4*1000/12</f>
        <v>44583.333333333336</v>
      </c>
      <c r="BG13" s="874">
        <f>Feed!$B$4*1000/12</f>
        <v>44583.333333333336</v>
      </c>
      <c r="BH13" s="874">
        <f>Feed!$B$4*1000/12</f>
        <v>44583.333333333336</v>
      </c>
      <c r="BI13" s="874">
        <f>Feed!$B$4*1000/12</f>
        <v>44583.333333333336</v>
      </c>
      <c r="BJ13" s="874">
        <f>Feed!$B$4*1000/12</f>
        <v>44583.333333333336</v>
      </c>
      <c r="BK13" s="874">
        <f>Feed!$B$4*1000/12</f>
        <v>44583.333333333336</v>
      </c>
      <c r="BL13" s="874">
        <f>Feed!$B$4*1000/12</f>
        <v>44583.333333333336</v>
      </c>
      <c r="BM13" s="874">
        <f>Feed!$B$4*1000/12</f>
        <v>44583.333333333336</v>
      </c>
      <c r="BN13" s="874">
        <f>Feed!$B$4*1000/12</f>
        <v>44583.333333333336</v>
      </c>
      <c r="BO13" s="874">
        <f>Feed!$B$4*1000/12</f>
        <v>44583.333333333336</v>
      </c>
      <c r="BP13" s="874">
        <f>Feed!$B$4*1000/12</f>
        <v>44583.333333333336</v>
      </c>
      <c r="BQ13" s="874">
        <f>Feed!$B$4*1000/12</f>
        <v>44583.333333333336</v>
      </c>
      <c r="BR13" s="874">
        <f>Feed!$B$4*1000/12</f>
        <v>44583.333333333336</v>
      </c>
      <c r="BS13" s="874">
        <f>Feed!$B$4*1000/12</f>
        <v>44583.333333333336</v>
      </c>
      <c r="BT13" s="874">
        <f>Feed!$B$4*1000/12</f>
        <v>44583.333333333336</v>
      </c>
      <c r="BU13" s="874">
        <f>Feed!$B$4*1000/12</f>
        <v>44583.333333333336</v>
      </c>
      <c r="BV13" s="874">
        <f>Feed!$B$4*1000/12</f>
        <v>44583.333333333336</v>
      </c>
      <c r="BW13" s="874">
        <f>Feed!$B$4*1000/12</f>
        <v>44583.333333333336</v>
      </c>
      <c r="BX13" s="874">
        <f>Feed!$B$4*1000/12</f>
        <v>44583.333333333336</v>
      </c>
      <c r="BY13" s="874">
        <f>Feed!$B$4*1000/12</f>
        <v>44583.333333333336</v>
      </c>
      <c r="BZ13" s="874">
        <f>Feed!$B$4*1000/12</f>
        <v>44583.333333333336</v>
      </c>
      <c r="CA13" s="874">
        <f>Feed!$B$4*1000/12</f>
        <v>44583.333333333336</v>
      </c>
      <c r="CB13" s="874">
        <f>Feed!$B$4*1000/12</f>
        <v>44583.333333333336</v>
      </c>
      <c r="CC13" s="874">
        <f>Feed!$B$4*1000/12</f>
        <v>44583.333333333336</v>
      </c>
      <c r="CD13" s="874">
        <f>Feed!$B$4*1000/12</f>
        <v>44583.333333333336</v>
      </c>
      <c r="CE13" s="874">
        <f>Feed!$B$4*1000/12</f>
        <v>44583.333333333336</v>
      </c>
      <c r="CF13" s="874">
        <f>Feed!$B$4*1000/12</f>
        <v>44583.333333333336</v>
      </c>
      <c r="CG13" s="874">
        <f>Feed!$B$4*1000/12</f>
        <v>44583.333333333336</v>
      </c>
      <c r="CH13" s="874">
        <f>Feed!$B$4*1000/12</f>
        <v>44583.333333333336</v>
      </c>
      <c r="CI13" s="874">
        <f>Feed!$B$4*1000/12</f>
        <v>44583.333333333336</v>
      </c>
      <c r="CJ13" s="874">
        <f>Feed!$B$4*1000/12</f>
        <v>44583.333333333336</v>
      </c>
      <c r="CK13" s="874">
        <f>Feed!$B$4*1000/12</f>
        <v>44583.333333333336</v>
      </c>
      <c r="CL13" s="874">
        <f>Feed!$B$4*1000/12</f>
        <v>44583.333333333336</v>
      </c>
      <c r="CM13" s="874">
        <f>[10]Feed!$B$4*1000/12</f>
        <v>44583.333333333336</v>
      </c>
      <c r="CN13" s="347"/>
      <c r="CO13" s="347"/>
      <c r="CP13" s="347"/>
      <c r="CQ13" s="347"/>
      <c r="CR13" s="347"/>
      <c r="CS13" s="347"/>
      <c r="CT13" s="347"/>
      <c r="CU13" s="347"/>
      <c r="CV13" s="347"/>
      <c r="CW13" s="347"/>
      <c r="CX13" s="347"/>
      <c r="CY13" s="347"/>
      <c r="CZ13" s="347"/>
      <c r="DA13" s="347"/>
      <c r="DB13" s="347"/>
      <c r="DC13" s="347"/>
      <c r="DD13" s="347"/>
      <c r="DE13" s="347"/>
      <c r="DF13" s="347"/>
      <c r="DG13" s="347"/>
      <c r="DH13" s="347"/>
      <c r="DI13" s="347"/>
      <c r="DJ13" s="347"/>
      <c r="DK13" s="347"/>
      <c r="DL13" s="347"/>
      <c r="DM13" s="347"/>
      <c r="DN13" s="347"/>
      <c r="DO13" s="347"/>
      <c r="DP13" s="347"/>
      <c r="DQ13" s="347"/>
      <c r="DR13" s="347"/>
      <c r="DS13" s="347"/>
      <c r="DT13" s="347"/>
      <c r="DU13" s="347"/>
      <c r="DV13" s="347"/>
      <c r="DW13" s="347"/>
      <c r="DX13" s="347"/>
      <c r="DY13" s="347"/>
      <c r="DZ13" s="347"/>
      <c r="EA13" s="347"/>
      <c r="EB13" s="347"/>
      <c r="EC13" s="347"/>
      <c r="ED13" s="347"/>
      <c r="EE13" s="347"/>
      <c r="EF13" s="347"/>
      <c r="EG13" s="347"/>
      <c r="EH13" s="347"/>
      <c r="EI13" s="347"/>
      <c r="EJ13" s="347"/>
      <c r="EK13" s="347"/>
      <c r="EL13" s="347"/>
      <c r="EM13" s="347"/>
      <c r="EN13" s="347"/>
      <c r="EO13" s="347"/>
      <c r="EP13" s="347"/>
      <c r="EQ13" s="347"/>
      <c r="ER13" s="347"/>
      <c r="ES13" s="347"/>
      <c r="ET13" s="347"/>
      <c r="EU13" s="347"/>
      <c r="EV13" s="347"/>
      <c r="EW13" s="347"/>
      <c r="EX13" s="347"/>
      <c r="EY13" s="347"/>
      <c r="EZ13" s="347"/>
      <c r="FA13" s="347"/>
      <c r="FB13" s="347"/>
      <c r="FC13" s="347"/>
      <c r="FD13" s="347"/>
      <c r="FE13" s="347"/>
      <c r="FF13" s="347"/>
      <c r="FG13" s="347"/>
      <c r="FH13" s="347"/>
      <c r="FI13" s="347"/>
      <c r="FJ13" s="347"/>
      <c r="FK13" s="347"/>
      <c r="FL13" s="347"/>
      <c r="FM13" s="347"/>
      <c r="FN13" s="347"/>
      <c r="FO13" s="347"/>
      <c r="FP13" s="347"/>
      <c r="FQ13" s="347"/>
      <c r="FR13" s="347"/>
      <c r="FS13" s="347"/>
      <c r="FT13" s="347"/>
      <c r="FU13" s="347"/>
      <c r="FV13" s="347"/>
    </row>
    <row r="14" spans="1:178">
      <c r="A14" s="1406"/>
      <c r="B14" s="876" t="s">
        <v>403</v>
      </c>
      <c r="C14" s="877" t="s">
        <v>402</v>
      </c>
      <c r="D14" s="877"/>
      <c r="E14" s="1398"/>
      <c r="F14" s="878" t="s">
        <v>0</v>
      </c>
      <c r="G14" s="874">
        <f>Feed!$B$6*1000/12</f>
        <v>22583.333333333332</v>
      </c>
      <c r="H14" s="874">
        <f>Feed!$B$6*1000/12</f>
        <v>22583.333333333332</v>
      </c>
      <c r="I14" s="874">
        <f>Feed!$B$6*1000/12</f>
        <v>22583.333333333332</v>
      </c>
      <c r="J14" s="874">
        <f>Feed!$B$6*1000/12</f>
        <v>22583.333333333332</v>
      </c>
      <c r="K14" s="874">
        <f>Feed!$B$6*1000/12</f>
        <v>22583.333333333332</v>
      </c>
      <c r="L14" s="874">
        <f>Feed!$B$6*1000/12</f>
        <v>22583.333333333332</v>
      </c>
      <c r="M14" s="874">
        <f>Feed!$B$6*1000/12</f>
        <v>22583.333333333332</v>
      </c>
      <c r="N14" s="874">
        <f>Feed!$B$6*1000/12</f>
        <v>22583.333333333332</v>
      </c>
      <c r="O14" s="874">
        <f>Feed!$B$6*1000/12</f>
        <v>22583.333333333332</v>
      </c>
      <c r="P14" s="874">
        <f>Feed!$B$6*1000/12</f>
        <v>22583.333333333332</v>
      </c>
      <c r="Q14" s="874">
        <f>Feed!$B$6*1000/12</f>
        <v>22583.333333333332</v>
      </c>
      <c r="R14" s="874">
        <f>Feed!$B$6*1000/12</f>
        <v>22583.333333333332</v>
      </c>
      <c r="S14" s="874">
        <f>Feed!$B$6*1000/12</f>
        <v>22583.333333333332</v>
      </c>
      <c r="T14" s="874">
        <f>Feed!$B$6*1000/12</f>
        <v>22583.333333333332</v>
      </c>
      <c r="U14" s="874">
        <f>Feed!$B$6*1000/12</f>
        <v>22583.333333333332</v>
      </c>
      <c r="V14" s="874">
        <f>Feed!$B$6*1000/12</f>
        <v>22583.333333333332</v>
      </c>
      <c r="W14" s="874">
        <f>Feed!$B$6*1000/12</f>
        <v>22583.333333333332</v>
      </c>
      <c r="X14" s="874">
        <f>Feed!$B$6*1000/12</f>
        <v>22583.333333333332</v>
      </c>
      <c r="Y14" s="874">
        <f>Feed!$B$6*1000/12</f>
        <v>22583.333333333332</v>
      </c>
      <c r="Z14" s="874">
        <f>Feed!$B$6*1000/12</f>
        <v>22583.333333333332</v>
      </c>
      <c r="AA14" s="874">
        <f>Feed!$B$6*1000/12</f>
        <v>22583.333333333332</v>
      </c>
      <c r="AB14" s="874">
        <f>Feed!$B$6*1000/12</f>
        <v>22583.333333333332</v>
      </c>
      <c r="AC14" s="874">
        <f>Feed!$B$6*1000/12</f>
        <v>22583.333333333332</v>
      </c>
      <c r="AD14" s="874">
        <f>Feed!$B$6*1000/12</f>
        <v>22583.333333333332</v>
      </c>
      <c r="AE14" s="874">
        <f>Feed!$B$6*1000/12</f>
        <v>22583.333333333332</v>
      </c>
      <c r="AF14" s="874">
        <f>Feed!$B$6*1000/12</f>
        <v>22583.333333333332</v>
      </c>
      <c r="AG14" s="874">
        <f>Feed!$B$6*1000/12</f>
        <v>22583.333333333332</v>
      </c>
      <c r="AH14" s="874">
        <f>Feed!$B$6*1000/12</f>
        <v>22583.333333333332</v>
      </c>
      <c r="AI14" s="874">
        <f>Feed!$B$6*1000/12</f>
        <v>22583.333333333332</v>
      </c>
      <c r="AJ14" s="874">
        <f>Feed!$B$6*1000/12</f>
        <v>22583.333333333332</v>
      </c>
      <c r="AK14" s="874">
        <f>Feed!$B$6*1000/12</f>
        <v>22583.333333333332</v>
      </c>
      <c r="AL14" s="874">
        <f>Feed!$B$6*1000/12</f>
        <v>22583.333333333332</v>
      </c>
      <c r="AM14" s="874">
        <f>Feed!$B$6*1000/12</f>
        <v>22583.333333333332</v>
      </c>
      <c r="AN14" s="874">
        <f>Feed!$B$6*1000/12</f>
        <v>22583.333333333332</v>
      </c>
      <c r="AO14" s="874">
        <f>Feed!$B$6*1000/12</f>
        <v>22583.333333333332</v>
      </c>
      <c r="AP14" s="874">
        <f>Feed!$B$6*1000/12</f>
        <v>22583.333333333332</v>
      </c>
      <c r="AQ14" s="874">
        <f>Feed!$B$6*1000/12</f>
        <v>22583.333333333332</v>
      </c>
      <c r="AR14" s="874">
        <f>Feed!$B$6*1000/12</f>
        <v>22583.333333333332</v>
      </c>
      <c r="AS14" s="874">
        <f>Feed!$B$6*1000/12</f>
        <v>22583.333333333332</v>
      </c>
      <c r="AT14" s="874">
        <f>Feed!$B$6*1000/12</f>
        <v>22583.333333333332</v>
      </c>
      <c r="AU14" s="874">
        <f>Feed!$B$6*1000/12</f>
        <v>22583.333333333332</v>
      </c>
      <c r="AV14" s="874">
        <f>Feed!$B$6*1000/12</f>
        <v>22583.333333333332</v>
      </c>
      <c r="AW14" s="874">
        <f>Feed!$B$6*1000/12</f>
        <v>22583.333333333332</v>
      </c>
      <c r="AX14" s="874">
        <f>Feed!$B$6*1000/12</f>
        <v>22583.333333333332</v>
      </c>
      <c r="AY14" s="874">
        <f>Feed!$B$6*1000/12</f>
        <v>22583.333333333332</v>
      </c>
      <c r="AZ14" s="874">
        <f>Feed!$B$6*1000/12</f>
        <v>22583.333333333332</v>
      </c>
      <c r="BA14" s="874">
        <f>Feed!$B$6*1000/12</f>
        <v>22583.333333333332</v>
      </c>
      <c r="BB14" s="874">
        <f>Feed!$B$6*1000/12</f>
        <v>22583.333333333332</v>
      </c>
      <c r="BC14" s="874">
        <f>Feed!$B$6*1000/12</f>
        <v>22583.333333333332</v>
      </c>
      <c r="BD14" s="874">
        <f>Feed!$B$6*1000/12</f>
        <v>22583.333333333332</v>
      </c>
      <c r="BE14" s="874">
        <f>Feed!$B$6*1000/12</f>
        <v>22583.333333333332</v>
      </c>
      <c r="BF14" s="874">
        <f>Feed!$B$6*1000/12</f>
        <v>22583.333333333332</v>
      </c>
      <c r="BG14" s="874">
        <f>Feed!$B$6*1000/12</f>
        <v>22583.333333333332</v>
      </c>
      <c r="BH14" s="874">
        <f>Feed!$B$6*1000/12</f>
        <v>22583.333333333332</v>
      </c>
      <c r="BI14" s="874">
        <f>Feed!$B$6*1000/12</f>
        <v>22583.333333333332</v>
      </c>
      <c r="BJ14" s="874">
        <f>Feed!$B$6*1000/12</f>
        <v>22583.333333333332</v>
      </c>
      <c r="BK14" s="874">
        <f>Feed!$B$6*1000/12</f>
        <v>22583.333333333332</v>
      </c>
      <c r="BL14" s="874">
        <f>Feed!$B$6*1000/12</f>
        <v>22583.333333333332</v>
      </c>
      <c r="BM14" s="874">
        <f>Feed!$B$6*1000/12</f>
        <v>22583.333333333332</v>
      </c>
      <c r="BN14" s="874">
        <f>Feed!$B$6*1000/12</f>
        <v>22583.333333333332</v>
      </c>
      <c r="BO14" s="874">
        <f>Feed!$B$6*1000/12</f>
        <v>22583.333333333332</v>
      </c>
      <c r="BP14" s="874">
        <f>Feed!$B$6*1000/12</f>
        <v>22583.333333333332</v>
      </c>
      <c r="BQ14" s="874">
        <f>Feed!$B$6*1000/12</f>
        <v>22583.333333333332</v>
      </c>
      <c r="BR14" s="874">
        <f>Feed!$B$6*1000/12</f>
        <v>22583.333333333332</v>
      </c>
      <c r="BS14" s="874">
        <f>Feed!$B$6*1000/12</f>
        <v>22583.333333333332</v>
      </c>
      <c r="BT14" s="874">
        <f>Feed!$B$6*1000/12</f>
        <v>22583.333333333332</v>
      </c>
      <c r="BU14" s="874">
        <f>Feed!$B$6*1000/12</f>
        <v>22583.333333333332</v>
      </c>
      <c r="BV14" s="874">
        <f>Feed!$B$6*1000/12</f>
        <v>22583.333333333332</v>
      </c>
      <c r="BW14" s="874">
        <f>Feed!$B$6*1000/12</f>
        <v>22583.333333333332</v>
      </c>
      <c r="BX14" s="874">
        <f>Feed!$B$6*1000/12</f>
        <v>22583.333333333332</v>
      </c>
      <c r="BY14" s="874">
        <f>Feed!$B$6*1000/12</f>
        <v>22583.333333333332</v>
      </c>
      <c r="BZ14" s="874">
        <f>Feed!$B$6*1000/12</f>
        <v>22583.333333333332</v>
      </c>
      <c r="CA14" s="874">
        <f>Feed!$B$6*1000/12</f>
        <v>22583.333333333332</v>
      </c>
      <c r="CB14" s="874">
        <f>Feed!$B$6*1000/12</f>
        <v>22583.333333333332</v>
      </c>
      <c r="CC14" s="874">
        <f>Feed!$B$6*1000/12</f>
        <v>22583.333333333332</v>
      </c>
      <c r="CD14" s="874">
        <f>Feed!$B$6*1000/12</f>
        <v>22583.333333333332</v>
      </c>
      <c r="CE14" s="874">
        <f>Feed!$B$6*1000/12</f>
        <v>22583.333333333332</v>
      </c>
      <c r="CF14" s="874">
        <f>Feed!$B$6*1000/12</f>
        <v>22583.333333333332</v>
      </c>
      <c r="CG14" s="874">
        <f>Feed!$B$6*1000/12</f>
        <v>22583.333333333332</v>
      </c>
      <c r="CH14" s="874">
        <f>Feed!$B$6*1000/12</f>
        <v>22583.333333333332</v>
      </c>
      <c r="CI14" s="874">
        <f>Feed!$B$6*1000/12</f>
        <v>22583.333333333332</v>
      </c>
      <c r="CJ14" s="874">
        <f>Feed!$B$6*1000/12</f>
        <v>22583.333333333332</v>
      </c>
      <c r="CK14" s="874">
        <f>Feed!$B$6*1000/12</f>
        <v>22583.333333333332</v>
      </c>
      <c r="CL14" s="874">
        <f>Feed!$B$6*1000/12</f>
        <v>22583.333333333332</v>
      </c>
      <c r="CM14" s="874">
        <f>[10]Feed!$B$6*1000/12</f>
        <v>22583.333333333332</v>
      </c>
      <c r="CN14" s="347"/>
      <c r="CO14" s="347"/>
      <c r="CP14" s="347"/>
      <c r="CQ14" s="347"/>
      <c r="CR14" s="347"/>
      <c r="CS14" s="347"/>
      <c r="CT14" s="347"/>
      <c r="CU14" s="347"/>
      <c r="CV14" s="347"/>
      <c r="CW14" s="347"/>
      <c r="CX14" s="347"/>
      <c r="CY14" s="347"/>
      <c r="CZ14" s="347"/>
      <c r="DA14" s="347"/>
      <c r="DB14" s="347"/>
      <c r="DC14" s="347"/>
      <c r="DD14" s="347"/>
      <c r="DE14" s="347"/>
      <c r="DF14" s="347"/>
      <c r="DG14" s="347"/>
      <c r="DH14" s="347"/>
      <c r="DI14" s="347"/>
      <c r="DJ14" s="347"/>
      <c r="DK14" s="347"/>
      <c r="DL14" s="347"/>
      <c r="DM14" s="347"/>
      <c r="DN14" s="347"/>
      <c r="DO14" s="347"/>
      <c r="DP14" s="347"/>
      <c r="DQ14" s="347"/>
      <c r="DR14" s="347"/>
      <c r="DS14" s="347"/>
      <c r="DT14" s="347"/>
      <c r="DU14" s="347"/>
      <c r="DV14" s="347"/>
      <c r="DW14" s="347"/>
      <c r="DX14" s="347"/>
      <c r="DY14" s="347"/>
      <c r="DZ14" s="347"/>
      <c r="EA14" s="347"/>
      <c r="EB14" s="347"/>
      <c r="EC14" s="347"/>
      <c r="ED14" s="347"/>
      <c r="EE14" s="347"/>
      <c r="EF14" s="347"/>
      <c r="EG14" s="347"/>
      <c r="EH14" s="347"/>
      <c r="EI14" s="347"/>
      <c r="EJ14" s="347"/>
      <c r="EK14" s="347"/>
      <c r="EL14" s="347"/>
      <c r="EM14" s="347"/>
      <c r="EN14" s="347"/>
      <c r="EO14" s="347"/>
      <c r="EP14" s="347"/>
      <c r="EQ14" s="347"/>
      <c r="ER14" s="347"/>
      <c r="ES14" s="347"/>
      <c r="ET14" s="347"/>
      <c r="EU14" s="347"/>
      <c r="EV14" s="347"/>
      <c r="EW14" s="347"/>
      <c r="EX14" s="347"/>
      <c r="EY14" s="347"/>
      <c r="EZ14" s="347"/>
      <c r="FA14" s="347"/>
      <c r="FB14" s="347"/>
      <c r="FC14" s="347"/>
      <c r="FD14" s="347"/>
      <c r="FE14" s="347"/>
      <c r="FF14" s="347"/>
      <c r="FG14" s="347"/>
      <c r="FH14" s="347"/>
      <c r="FI14" s="347"/>
      <c r="FJ14" s="347"/>
      <c r="FK14" s="347"/>
      <c r="FL14" s="347"/>
      <c r="FM14" s="347"/>
      <c r="FN14" s="347"/>
      <c r="FO14" s="347"/>
      <c r="FP14" s="347"/>
      <c r="FQ14" s="347"/>
      <c r="FR14" s="347"/>
      <c r="FS14" s="347"/>
      <c r="FT14" s="347"/>
      <c r="FU14" s="347"/>
      <c r="FV14" s="347"/>
    </row>
    <row r="15" spans="1:178">
      <c r="A15" s="1406"/>
      <c r="B15" s="876" t="s">
        <v>403</v>
      </c>
      <c r="C15" s="877" t="s">
        <v>402</v>
      </c>
      <c r="D15" s="877"/>
      <c r="E15" s="1398"/>
      <c r="F15" s="878" t="s">
        <v>398</v>
      </c>
      <c r="G15" s="874">
        <f>Feed!$B$7*1000/12</f>
        <v>13916.666666666666</v>
      </c>
      <c r="H15" s="874">
        <f>Feed!$B$7*1000/12</f>
        <v>13916.666666666666</v>
      </c>
      <c r="I15" s="874">
        <f>Feed!$B$7*1000/12</f>
        <v>13916.666666666666</v>
      </c>
      <c r="J15" s="874">
        <f>Feed!$B$7*1000/12</f>
        <v>13916.666666666666</v>
      </c>
      <c r="K15" s="874">
        <f>Feed!$B$7*1000/12</f>
        <v>13916.666666666666</v>
      </c>
      <c r="L15" s="874">
        <f>Feed!$B$7*1000/12</f>
        <v>13916.666666666666</v>
      </c>
      <c r="M15" s="874">
        <f>Feed!$B$7*1000/12</f>
        <v>13916.666666666666</v>
      </c>
      <c r="N15" s="874">
        <f>Feed!$B$7*1000/12</f>
        <v>13916.666666666666</v>
      </c>
      <c r="O15" s="874">
        <f>Feed!$B$7*1000/12</f>
        <v>13916.666666666666</v>
      </c>
      <c r="P15" s="874">
        <f>Feed!$B$7*1000/12</f>
        <v>13916.666666666666</v>
      </c>
      <c r="Q15" s="874">
        <f>Feed!$B$7*1000/12</f>
        <v>13916.666666666666</v>
      </c>
      <c r="R15" s="874">
        <f>Feed!$B$7*1000/12</f>
        <v>13916.666666666666</v>
      </c>
      <c r="S15" s="874">
        <f>Feed!$B$7*1000/12</f>
        <v>13916.666666666666</v>
      </c>
      <c r="T15" s="874">
        <f>Feed!$B$7*1000/12</f>
        <v>13916.666666666666</v>
      </c>
      <c r="U15" s="874">
        <f>Feed!$B$7*1000/12</f>
        <v>13916.666666666666</v>
      </c>
      <c r="V15" s="874">
        <f>Feed!$B$7*1000/12</f>
        <v>13916.666666666666</v>
      </c>
      <c r="W15" s="874">
        <f>Feed!$B$7*1000/12</f>
        <v>13916.666666666666</v>
      </c>
      <c r="X15" s="874">
        <f>Feed!$B$7*1000/12</f>
        <v>13916.666666666666</v>
      </c>
      <c r="Y15" s="874">
        <f>Feed!$B$7*1000/12</f>
        <v>13916.666666666666</v>
      </c>
      <c r="Z15" s="874">
        <f>Feed!$B$7*1000/12</f>
        <v>13916.666666666666</v>
      </c>
      <c r="AA15" s="874">
        <f>Feed!$B$7*1000/12</f>
        <v>13916.666666666666</v>
      </c>
      <c r="AB15" s="874">
        <f>Feed!$B$7*1000/12</f>
        <v>13916.666666666666</v>
      </c>
      <c r="AC15" s="874">
        <f>Feed!$B$7*1000/12</f>
        <v>13916.666666666666</v>
      </c>
      <c r="AD15" s="874">
        <f>Feed!$B$7*1000/12</f>
        <v>13916.666666666666</v>
      </c>
      <c r="AE15" s="874">
        <f>Feed!$B$7*1000/12</f>
        <v>13916.666666666666</v>
      </c>
      <c r="AF15" s="874">
        <f>Feed!$B$7*1000/12</f>
        <v>13916.666666666666</v>
      </c>
      <c r="AG15" s="874">
        <f>Feed!$B$7*1000/12</f>
        <v>13916.666666666666</v>
      </c>
      <c r="AH15" s="874">
        <f>Feed!$B$7*1000/12</f>
        <v>13916.666666666666</v>
      </c>
      <c r="AI15" s="874">
        <f>Feed!$B$7*1000/12</f>
        <v>13916.666666666666</v>
      </c>
      <c r="AJ15" s="874">
        <f>Feed!$B$7*1000/12</f>
        <v>13916.666666666666</v>
      </c>
      <c r="AK15" s="874">
        <f>Feed!$B$7*1000/12</f>
        <v>13916.666666666666</v>
      </c>
      <c r="AL15" s="874">
        <f>Feed!$B$7*1000/12</f>
        <v>13916.666666666666</v>
      </c>
      <c r="AM15" s="874">
        <f>Feed!$B$7*1000/12</f>
        <v>13916.666666666666</v>
      </c>
      <c r="AN15" s="874">
        <f>Feed!$B$7*1000/12</f>
        <v>13916.666666666666</v>
      </c>
      <c r="AO15" s="874">
        <f>Feed!$B$7*1000/12</f>
        <v>13916.666666666666</v>
      </c>
      <c r="AP15" s="874">
        <f>Feed!$B$7*1000/12</f>
        <v>13916.666666666666</v>
      </c>
      <c r="AQ15" s="874">
        <f>Feed!$B$7*1000/12</f>
        <v>13916.666666666666</v>
      </c>
      <c r="AR15" s="874">
        <f>Feed!$B$7*1000/12</f>
        <v>13916.666666666666</v>
      </c>
      <c r="AS15" s="874">
        <f>Feed!$B$7*1000/12</f>
        <v>13916.666666666666</v>
      </c>
      <c r="AT15" s="874">
        <f>Feed!$B$7*1000/12</f>
        <v>13916.666666666666</v>
      </c>
      <c r="AU15" s="874">
        <f>Feed!$B$7*1000/12</f>
        <v>13916.666666666666</v>
      </c>
      <c r="AV15" s="874">
        <f>Feed!$B$7*1000/12</f>
        <v>13916.666666666666</v>
      </c>
      <c r="AW15" s="874">
        <f>Feed!$B$7*1000/12</f>
        <v>13916.666666666666</v>
      </c>
      <c r="AX15" s="874">
        <f>Feed!$B$7*1000/12</f>
        <v>13916.666666666666</v>
      </c>
      <c r="AY15" s="874">
        <f>Feed!$B$7*1000/12</f>
        <v>13916.666666666666</v>
      </c>
      <c r="AZ15" s="874">
        <f>Feed!$B$7*1000/12</f>
        <v>13916.666666666666</v>
      </c>
      <c r="BA15" s="874">
        <f>Feed!$B$7*1000/12</f>
        <v>13916.666666666666</v>
      </c>
      <c r="BB15" s="874">
        <f>Feed!$B$7*1000/12</f>
        <v>13916.666666666666</v>
      </c>
      <c r="BC15" s="874">
        <f>Feed!$B$7*1000/12</f>
        <v>13916.666666666666</v>
      </c>
      <c r="BD15" s="874">
        <f>Feed!$B$7*1000/12</f>
        <v>13916.666666666666</v>
      </c>
      <c r="BE15" s="874">
        <f>Feed!$B$7*1000/12</f>
        <v>13916.666666666666</v>
      </c>
      <c r="BF15" s="874">
        <f>Feed!$B$7*1000/12</f>
        <v>13916.666666666666</v>
      </c>
      <c r="BG15" s="874">
        <f>Feed!$B$7*1000/12</f>
        <v>13916.666666666666</v>
      </c>
      <c r="BH15" s="874">
        <f>Feed!$B$7*1000/12</f>
        <v>13916.666666666666</v>
      </c>
      <c r="BI15" s="874">
        <f>Feed!$B$7*1000/12</f>
        <v>13916.666666666666</v>
      </c>
      <c r="BJ15" s="874">
        <f>Feed!$B$7*1000/12</f>
        <v>13916.666666666666</v>
      </c>
      <c r="BK15" s="874">
        <f>Feed!$B$7*1000/12</f>
        <v>13916.666666666666</v>
      </c>
      <c r="BL15" s="874">
        <f>Feed!$B$7*1000/12</f>
        <v>13916.666666666666</v>
      </c>
      <c r="BM15" s="874">
        <f>Feed!$B$7*1000/12</f>
        <v>13916.666666666666</v>
      </c>
      <c r="BN15" s="874">
        <f>Feed!$B$7*1000/12</f>
        <v>13916.666666666666</v>
      </c>
      <c r="BO15" s="874">
        <f>Feed!$B$7*1000/12</f>
        <v>13916.666666666666</v>
      </c>
      <c r="BP15" s="874">
        <f>Feed!$B$7*1000/12</f>
        <v>13916.666666666666</v>
      </c>
      <c r="BQ15" s="874">
        <f>Feed!$B$7*1000/12</f>
        <v>13916.666666666666</v>
      </c>
      <c r="BR15" s="874">
        <f>Feed!$B$7*1000/12</f>
        <v>13916.666666666666</v>
      </c>
      <c r="BS15" s="874">
        <f>Feed!$B$7*1000/12</f>
        <v>13916.666666666666</v>
      </c>
      <c r="BT15" s="874">
        <f>Feed!$B$7*1000/12</f>
        <v>13916.666666666666</v>
      </c>
      <c r="BU15" s="874">
        <f>Feed!$B$7*1000/12</f>
        <v>13916.666666666666</v>
      </c>
      <c r="BV15" s="874">
        <f>Feed!$B$7*1000/12</f>
        <v>13916.666666666666</v>
      </c>
      <c r="BW15" s="874">
        <f>Feed!$B$7*1000/12</f>
        <v>13916.666666666666</v>
      </c>
      <c r="BX15" s="874">
        <f>Feed!$B$7*1000/12</f>
        <v>13916.666666666666</v>
      </c>
      <c r="BY15" s="874">
        <f>Feed!$B$7*1000/12</f>
        <v>13916.666666666666</v>
      </c>
      <c r="BZ15" s="874">
        <f>Feed!$B$7*1000/12</f>
        <v>13916.666666666666</v>
      </c>
      <c r="CA15" s="874">
        <f>Feed!$B$7*1000/12</f>
        <v>13916.666666666666</v>
      </c>
      <c r="CB15" s="874">
        <f>Feed!$B$7*1000/12</f>
        <v>13916.666666666666</v>
      </c>
      <c r="CC15" s="874">
        <f>Feed!$B$7*1000/12</f>
        <v>13916.666666666666</v>
      </c>
      <c r="CD15" s="874">
        <f>Feed!$B$7*1000/12</f>
        <v>13916.666666666666</v>
      </c>
      <c r="CE15" s="874">
        <f>Feed!$B$7*1000/12</f>
        <v>13916.666666666666</v>
      </c>
      <c r="CF15" s="874">
        <f>Feed!$B$7*1000/12</f>
        <v>13916.666666666666</v>
      </c>
      <c r="CG15" s="874">
        <f>Feed!$B$7*1000/12</f>
        <v>13916.666666666666</v>
      </c>
      <c r="CH15" s="874">
        <f>Feed!$B$7*1000/12</f>
        <v>13916.666666666666</v>
      </c>
      <c r="CI15" s="874">
        <f>Feed!$B$7*1000/12</f>
        <v>13916.666666666666</v>
      </c>
      <c r="CJ15" s="874">
        <f>Feed!$B$7*1000/12</f>
        <v>13916.666666666666</v>
      </c>
      <c r="CK15" s="874">
        <f>Feed!$B$7*1000/12</f>
        <v>13916.666666666666</v>
      </c>
      <c r="CL15" s="874">
        <f>Feed!$B$7*1000/12</f>
        <v>13916.666666666666</v>
      </c>
      <c r="CM15" s="874">
        <f>[10]Feed!$B$7*1000/12</f>
        <v>13916.666666666666</v>
      </c>
      <c r="CN15" s="347"/>
      <c r="CO15" s="347"/>
      <c r="CP15" s="347"/>
      <c r="CQ15" s="347"/>
      <c r="CR15" s="347"/>
      <c r="CS15" s="347"/>
      <c r="CT15" s="347"/>
      <c r="CU15" s="347"/>
      <c r="CV15" s="347"/>
      <c r="CW15" s="347"/>
      <c r="CX15" s="347"/>
      <c r="CY15" s="347"/>
      <c r="CZ15" s="347"/>
      <c r="DA15" s="347"/>
      <c r="DB15" s="347"/>
      <c r="DC15" s="347"/>
      <c r="DD15" s="347"/>
      <c r="DE15" s="347"/>
      <c r="DF15" s="347"/>
      <c r="DG15" s="347"/>
      <c r="DH15" s="347"/>
      <c r="DI15" s="347"/>
      <c r="DJ15" s="347"/>
      <c r="DK15" s="347"/>
      <c r="DL15" s="347"/>
      <c r="DM15" s="347"/>
      <c r="DN15" s="347"/>
      <c r="DO15" s="347"/>
      <c r="DP15" s="347"/>
      <c r="DQ15" s="347"/>
      <c r="DR15" s="347"/>
      <c r="DS15" s="347"/>
      <c r="DT15" s="347"/>
      <c r="DU15" s="347"/>
      <c r="DV15" s="347"/>
      <c r="DW15" s="347"/>
      <c r="DX15" s="347"/>
      <c r="DY15" s="347"/>
      <c r="DZ15" s="347"/>
      <c r="EA15" s="347"/>
      <c r="EB15" s="347"/>
      <c r="EC15" s="347"/>
      <c r="ED15" s="347"/>
      <c r="EE15" s="347"/>
      <c r="EF15" s="347"/>
      <c r="EG15" s="347"/>
      <c r="EH15" s="347"/>
      <c r="EI15" s="347"/>
      <c r="EJ15" s="347"/>
      <c r="EK15" s="347"/>
      <c r="EL15" s="347"/>
      <c r="EM15" s="347"/>
      <c r="EN15" s="347"/>
      <c r="EO15" s="347"/>
      <c r="EP15" s="347"/>
      <c r="EQ15" s="347"/>
      <c r="ER15" s="347"/>
      <c r="ES15" s="347"/>
      <c r="ET15" s="347"/>
      <c r="EU15" s="347"/>
      <c r="EV15" s="347"/>
      <c r="EW15" s="347"/>
      <c r="EX15" s="347"/>
      <c r="EY15" s="347"/>
      <c r="EZ15" s="347"/>
      <c r="FA15" s="347"/>
      <c r="FB15" s="347"/>
      <c r="FC15" s="347"/>
      <c r="FD15" s="347"/>
      <c r="FE15" s="347"/>
      <c r="FF15" s="347"/>
      <c r="FG15" s="347"/>
      <c r="FH15" s="347"/>
      <c r="FI15" s="347"/>
      <c r="FJ15" s="347"/>
      <c r="FK15" s="347"/>
      <c r="FL15" s="347"/>
      <c r="FM15" s="347"/>
      <c r="FN15" s="347"/>
      <c r="FO15" s="347"/>
      <c r="FP15" s="347"/>
      <c r="FQ15" s="347"/>
      <c r="FR15" s="347"/>
      <c r="FS15" s="347"/>
      <c r="FT15" s="347"/>
      <c r="FU15" s="347"/>
      <c r="FV15" s="347"/>
    </row>
    <row r="16" spans="1:178">
      <c r="A16" s="1406"/>
      <c r="B16" s="876" t="s">
        <v>403</v>
      </c>
      <c r="C16" s="877" t="s">
        <v>402</v>
      </c>
      <c r="D16" s="877"/>
      <c r="E16" s="1398"/>
      <c r="F16" s="878" t="s">
        <v>1</v>
      </c>
      <c r="G16" s="874">
        <f>Feed!$B$5*1000/12</f>
        <v>125000</v>
      </c>
      <c r="H16" s="874">
        <f>Feed!$B$5*1000/12</f>
        <v>125000</v>
      </c>
      <c r="I16" s="874">
        <f>Feed!$B$5*1000/12</f>
        <v>125000</v>
      </c>
      <c r="J16" s="874">
        <f>Feed!$B$5*1000/12</f>
        <v>125000</v>
      </c>
      <c r="K16" s="874">
        <f>Feed!$B$5*1000/12</f>
        <v>125000</v>
      </c>
      <c r="L16" s="874">
        <f>Feed!$B$5*1000/12</f>
        <v>125000</v>
      </c>
      <c r="M16" s="874">
        <f>Feed!$B$5*1000/12</f>
        <v>125000</v>
      </c>
      <c r="N16" s="874">
        <f>Feed!$B$5*1000/12</f>
        <v>125000</v>
      </c>
      <c r="O16" s="874">
        <f>Feed!$B$5*1000/12</f>
        <v>125000</v>
      </c>
      <c r="P16" s="874">
        <f>Feed!$B$5*1000/12</f>
        <v>125000</v>
      </c>
      <c r="Q16" s="874">
        <f>Feed!$B$5*1000/12</f>
        <v>125000</v>
      </c>
      <c r="R16" s="874">
        <f>Feed!$B$5*1000/12</f>
        <v>125000</v>
      </c>
      <c r="S16" s="874">
        <f>Feed!$B$5*1000/12</f>
        <v>125000</v>
      </c>
      <c r="T16" s="874">
        <f>Feed!$B$5*1000/12</f>
        <v>125000</v>
      </c>
      <c r="U16" s="874">
        <f>Feed!$B$5*1000/12</f>
        <v>125000</v>
      </c>
      <c r="V16" s="874">
        <f>Feed!$B$5*1000/12</f>
        <v>125000</v>
      </c>
      <c r="W16" s="874">
        <f>Feed!$B$5*1000/12</f>
        <v>125000</v>
      </c>
      <c r="X16" s="874">
        <f>Feed!$B$5*1000/12</f>
        <v>125000</v>
      </c>
      <c r="Y16" s="874">
        <f>Feed!$B$5*1000/12</f>
        <v>125000</v>
      </c>
      <c r="Z16" s="874">
        <f>Feed!$B$5*1000/12</f>
        <v>125000</v>
      </c>
      <c r="AA16" s="874">
        <f>Feed!$B$5*1000/12</f>
        <v>125000</v>
      </c>
      <c r="AB16" s="874">
        <f>Feed!$B$5*1000/12</f>
        <v>125000</v>
      </c>
      <c r="AC16" s="874">
        <f>Feed!$B$5*1000/12</f>
        <v>125000</v>
      </c>
      <c r="AD16" s="874">
        <f>Feed!$B$5*1000/12</f>
        <v>125000</v>
      </c>
      <c r="AE16" s="874">
        <f>Feed!$B$5*1000/12</f>
        <v>125000</v>
      </c>
      <c r="AF16" s="874">
        <f>Feed!$B$5*1000/12</f>
        <v>125000</v>
      </c>
      <c r="AG16" s="874">
        <f>Feed!$B$5*1000/12</f>
        <v>125000</v>
      </c>
      <c r="AH16" s="874">
        <f>Feed!$B$5*1000/12</f>
        <v>125000</v>
      </c>
      <c r="AI16" s="874">
        <f>Feed!$B$5*1000/12</f>
        <v>125000</v>
      </c>
      <c r="AJ16" s="874">
        <f>Feed!$B$5*1000/12</f>
        <v>125000</v>
      </c>
      <c r="AK16" s="874">
        <f>Feed!$B$5*1000/12</f>
        <v>125000</v>
      </c>
      <c r="AL16" s="874">
        <f>Feed!$B$5*1000/12</f>
        <v>125000</v>
      </c>
      <c r="AM16" s="874">
        <f>Feed!$B$5*1000/12</f>
        <v>125000</v>
      </c>
      <c r="AN16" s="874">
        <f>Feed!$B$5*1000/12</f>
        <v>125000</v>
      </c>
      <c r="AO16" s="874">
        <f>Feed!$B$5*1000/12</f>
        <v>125000</v>
      </c>
      <c r="AP16" s="874">
        <f>Feed!$B$5*1000/12</f>
        <v>125000</v>
      </c>
      <c r="AQ16" s="874">
        <f>Feed!$B$5*1000/12</f>
        <v>125000</v>
      </c>
      <c r="AR16" s="874">
        <f>Feed!$B$5*1000/12</f>
        <v>125000</v>
      </c>
      <c r="AS16" s="874">
        <f>Feed!$B$5*1000/12</f>
        <v>125000</v>
      </c>
      <c r="AT16" s="874">
        <f>Feed!$B$5*1000/12</f>
        <v>125000</v>
      </c>
      <c r="AU16" s="874">
        <f>Feed!$B$5*1000/12</f>
        <v>125000</v>
      </c>
      <c r="AV16" s="874">
        <f>Feed!$B$5*1000/12</f>
        <v>125000</v>
      </c>
      <c r="AW16" s="874">
        <f>Feed!$B$5*1000/12</f>
        <v>125000</v>
      </c>
      <c r="AX16" s="874">
        <f>Feed!$B$5*1000/12</f>
        <v>125000</v>
      </c>
      <c r="AY16" s="874">
        <f>Feed!$B$5*1000/12</f>
        <v>125000</v>
      </c>
      <c r="AZ16" s="874">
        <f>Feed!$B$5*1000/12</f>
        <v>125000</v>
      </c>
      <c r="BA16" s="874">
        <f>Feed!$B$5*1000/12</f>
        <v>125000</v>
      </c>
      <c r="BB16" s="874">
        <f>Feed!$B$5*1000/12</f>
        <v>125000</v>
      </c>
      <c r="BC16" s="874">
        <f>Feed!$B$5*1000/12</f>
        <v>125000</v>
      </c>
      <c r="BD16" s="874">
        <f>Feed!$B$5*1000/12</f>
        <v>125000</v>
      </c>
      <c r="BE16" s="874">
        <f>Feed!$B$5*1000/12</f>
        <v>125000</v>
      </c>
      <c r="BF16" s="874">
        <f>Feed!$B$5*1000/12</f>
        <v>125000</v>
      </c>
      <c r="BG16" s="874">
        <f>Feed!$B$5*1000/12</f>
        <v>125000</v>
      </c>
      <c r="BH16" s="874">
        <f>Feed!$B$5*1000/12</f>
        <v>125000</v>
      </c>
      <c r="BI16" s="874">
        <f>Feed!$B$5*1000/12</f>
        <v>125000</v>
      </c>
      <c r="BJ16" s="874">
        <f>Feed!$B$5*1000/12</f>
        <v>125000</v>
      </c>
      <c r="BK16" s="874">
        <f>Feed!$B$5*1000/12</f>
        <v>125000</v>
      </c>
      <c r="BL16" s="874">
        <f>Feed!$B$5*1000/12</f>
        <v>125000</v>
      </c>
      <c r="BM16" s="874">
        <f>Feed!$B$5*1000/12</f>
        <v>125000</v>
      </c>
      <c r="BN16" s="874">
        <f>Feed!$B$5*1000/12</f>
        <v>125000</v>
      </c>
      <c r="BO16" s="874">
        <f>Feed!$B$5*1000/12</f>
        <v>125000</v>
      </c>
      <c r="BP16" s="874">
        <f>Feed!$B$5*1000/12</f>
        <v>125000</v>
      </c>
      <c r="BQ16" s="874">
        <f>Feed!$B$5*1000/12</f>
        <v>125000</v>
      </c>
      <c r="BR16" s="874">
        <f>Feed!$B$5*1000/12</f>
        <v>125000</v>
      </c>
      <c r="BS16" s="874">
        <f>Feed!$B$5*1000/12</f>
        <v>125000</v>
      </c>
      <c r="BT16" s="874">
        <f>Feed!$B$5*1000/12</f>
        <v>125000</v>
      </c>
      <c r="BU16" s="874">
        <f>Feed!$B$5*1000/12</f>
        <v>125000</v>
      </c>
      <c r="BV16" s="874">
        <f>Feed!$B$5*1000/12</f>
        <v>125000</v>
      </c>
      <c r="BW16" s="874">
        <f>Feed!$B$5*1000/12</f>
        <v>125000</v>
      </c>
      <c r="BX16" s="874">
        <f>Feed!$B$5*1000/12</f>
        <v>125000</v>
      </c>
      <c r="BY16" s="874">
        <f>Feed!$B$5*1000/12</f>
        <v>125000</v>
      </c>
      <c r="BZ16" s="874">
        <f>Feed!$B$5*1000/12</f>
        <v>125000</v>
      </c>
      <c r="CA16" s="874">
        <f>Feed!$B$5*1000/12</f>
        <v>125000</v>
      </c>
      <c r="CB16" s="874">
        <f>Feed!$B$5*1000/12</f>
        <v>125000</v>
      </c>
      <c r="CC16" s="874">
        <f>Feed!$B$5*1000/12</f>
        <v>125000</v>
      </c>
      <c r="CD16" s="874">
        <f>Feed!$B$5*1000/12</f>
        <v>125000</v>
      </c>
      <c r="CE16" s="874">
        <f>Feed!$B$5*1000/12</f>
        <v>125000</v>
      </c>
      <c r="CF16" s="874">
        <f>Feed!$B$5*1000/12</f>
        <v>125000</v>
      </c>
      <c r="CG16" s="874">
        <f>Feed!$B$5*1000/12</f>
        <v>125000</v>
      </c>
      <c r="CH16" s="874">
        <f>Feed!$B$5*1000/12</f>
        <v>125000</v>
      </c>
      <c r="CI16" s="874">
        <f>Feed!$B$5*1000/12</f>
        <v>125000</v>
      </c>
      <c r="CJ16" s="874">
        <f>Feed!$B$5*1000/12</f>
        <v>125000</v>
      </c>
      <c r="CK16" s="874">
        <f>Feed!$B$5*1000/12</f>
        <v>125000</v>
      </c>
      <c r="CL16" s="874">
        <f>Feed!$B$5*1000/12</f>
        <v>125000</v>
      </c>
      <c r="CM16" s="874">
        <f>[10]Feed!$B$5*1000/12</f>
        <v>125000</v>
      </c>
      <c r="CN16" s="347"/>
      <c r="CO16" s="347"/>
      <c r="CP16" s="347"/>
      <c r="CQ16" s="347"/>
      <c r="CR16" s="347"/>
      <c r="CS16" s="347"/>
      <c r="CT16" s="347"/>
      <c r="CU16" s="347"/>
      <c r="CV16" s="347"/>
      <c r="CW16" s="347"/>
      <c r="CX16" s="347"/>
      <c r="CY16" s="347"/>
      <c r="CZ16" s="347"/>
      <c r="DA16" s="347"/>
      <c r="DB16" s="347"/>
      <c r="DC16" s="347"/>
      <c r="DD16" s="347"/>
      <c r="DE16" s="347"/>
      <c r="DF16" s="347"/>
      <c r="DG16" s="347"/>
      <c r="DH16" s="347"/>
      <c r="DI16" s="347"/>
      <c r="DJ16" s="347"/>
      <c r="DK16" s="347"/>
      <c r="DL16" s="347"/>
      <c r="DM16" s="347"/>
      <c r="DN16" s="347"/>
      <c r="DO16" s="347"/>
      <c r="DP16" s="347"/>
      <c r="DQ16" s="347"/>
      <c r="DR16" s="347"/>
      <c r="DS16" s="347"/>
      <c r="DT16" s="347"/>
      <c r="DU16" s="347"/>
      <c r="DV16" s="347"/>
      <c r="DW16" s="347"/>
      <c r="DX16" s="347"/>
      <c r="DY16" s="347"/>
      <c r="DZ16" s="347"/>
      <c r="EA16" s="347"/>
      <c r="EB16" s="347"/>
      <c r="EC16" s="347"/>
      <c r="ED16" s="347"/>
      <c r="EE16" s="347"/>
      <c r="EF16" s="347"/>
      <c r="EG16" s="347"/>
      <c r="EH16" s="347"/>
      <c r="EI16" s="347"/>
      <c r="EJ16" s="347"/>
      <c r="EK16" s="347"/>
      <c r="EL16" s="347"/>
      <c r="EM16" s="347"/>
      <c r="EN16" s="347"/>
      <c r="EO16" s="347"/>
      <c r="EP16" s="347"/>
      <c r="EQ16" s="347"/>
      <c r="ER16" s="347"/>
      <c r="ES16" s="347"/>
      <c r="ET16" s="347"/>
      <c r="EU16" s="347"/>
      <c r="EV16" s="347"/>
      <c r="EW16" s="347"/>
      <c r="EX16" s="347"/>
      <c r="EY16" s="347"/>
      <c r="EZ16" s="347"/>
      <c r="FA16" s="347"/>
      <c r="FB16" s="347"/>
      <c r="FC16" s="347"/>
      <c r="FD16" s="347"/>
      <c r="FE16" s="347"/>
      <c r="FF16" s="347"/>
      <c r="FG16" s="347"/>
      <c r="FH16" s="347"/>
      <c r="FI16" s="347"/>
      <c r="FJ16" s="347"/>
      <c r="FK16" s="347"/>
      <c r="FL16" s="347"/>
      <c r="FM16" s="347"/>
      <c r="FN16" s="347"/>
      <c r="FO16" s="347"/>
      <c r="FP16" s="347"/>
      <c r="FQ16" s="347"/>
      <c r="FR16" s="347"/>
      <c r="FS16" s="347"/>
      <c r="FT16" s="347"/>
      <c r="FU16" s="347"/>
      <c r="FV16" s="347"/>
    </row>
    <row r="17" spans="1:178">
      <c r="A17" s="1408" t="s">
        <v>448</v>
      </c>
      <c r="B17" s="313" t="s">
        <v>403</v>
      </c>
      <c r="C17" s="583" t="s">
        <v>402</v>
      </c>
      <c r="D17" s="583"/>
      <c r="E17" s="1411" t="s">
        <v>449</v>
      </c>
      <c r="F17" s="879" t="s">
        <v>165</v>
      </c>
      <c r="G17" s="880">
        <v>91539.166666666672</v>
      </c>
      <c r="H17" s="880">
        <v>91539.166666666672</v>
      </c>
      <c r="I17" s="880">
        <v>91539.166666666672</v>
      </c>
      <c r="J17" s="880">
        <v>91539.166666666672</v>
      </c>
      <c r="K17" s="880">
        <v>91539.166666666672</v>
      </c>
      <c r="L17" s="880">
        <v>91539.166666666672</v>
      </c>
      <c r="M17" s="880">
        <v>91539.166666666672</v>
      </c>
      <c r="N17" s="880">
        <v>91539.166666666672</v>
      </c>
      <c r="O17" s="880">
        <v>91539.166666666672</v>
      </c>
      <c r="P17" s="880">
        <v>91539.166666666672</v>
      </c>
      <c r="Q17" s="880">
        <v>91539.166666666672</v>
      </c>
      <c r="R17" s="880">
        <v>91539.166666666672</v>
      </c>
      <c r="S17" s="880">
        <v>91539.166666666672</v>
      </c>
      <c r="T17" s="880">
        <v>91539.166666666672</v>
      </c>
      <c r="U17" s="880">
        <v>91539.166666666672</v>
      </c>
      <c r="V17" s="880">
        <v>91539.166666666672</v>
      </c>
      <c r="W17" s="880">
        <v>91539.166666666672</v>
      </c>
      <c r="X17" s="880">
        <v>91539.166666666672</v>
      </c>
      <c r="Y17" s="880">
        <v>91539.166666666672</v>
      </c>
      <c r="Z17" s="880">
        <v>91539.166666666672</v>
      </c>
      <c r="AA17" s="880">
        <v>91539.166666666672</v>
      </c>
      <c r="AB17" s="880">
        <v>91539.166666666672</v>
      </c>
      <c r="AC17" s="880">
        <v>91539.166666666672</v>
      </c>
      <c r="AD17" s="880">
        <v>91539.166666666672</v>
      </c>
      <c r="AE17" s="880">
        <v>91539.166666666672</v>
      </c>
      <c r="AF17" s="880">
        <v>91539.166666666672</v>
      </c>
      <c r="AG17" s="880">
        <v>91539.166666666672</v>
      </c>
      <c r="AH17" s="880">
        <v>91539.166666666672</v>
      </c>
      <c r="AI17" s="880">
        <v>91539.166666666672</v>
      </c>
      <c r="AJ17" s="880">
        <v>91539.166666666672</v>
      </c>
      <c r="AK17" s="880">
        <v>91539.166666666672</v>
      </c>
      <c r="AL17" s="880">
        <v>91539.166666666672</v>
      </c>
      <c r="AM17" s="880">
        <v>91539.166666666672</v>
      </c>
      <c r="AN17" s="880">
        <v>91539.166666666672</v>
      </c>
      <c r="AO17" s="880">
        <v>91539.166666666672</v>
      </c>
      <c r="AP17" s="880">
        <v>91539.166666666672</v>
      </c>
      <c r="AQ17" s="880">
        <v>91539.166666666672</v>
      </c>
      <c r="AR17" s="880">
        <v>91539.166666666672</v>
      </c>
      <c r="AS17" s="880">
        <v>91539.166666666672</v>
      </c>
      <c r="AT17" s="880">
        <v>91539.166666666672</v>
      </c>
      <c r="AU17" s="880">
        <v>91539.166666666672</v>
      </c>
      <c r="AV17" s="880">
        <v>91539.166666666672</v>
      </c>
      <c r="AW17" s="880">
        <v>91539.166666666672</v>
      </c>
      <c r="AX17" s="880">
        <v>91539.166666666672</v>
      </c>
      <c r="AY17" s="880">
        <v>91539.166666666672</v>
      </c>
      <c r="AZ17" s="880">
        <v>91539.166666666672</v>
      </c>
      <c r="BA17" s="880">
        <v>91539.166666666672</v>
      </c>
      <c r="BB17" s="880">
        <v>91539.166666666672</v>
      </c>
      <c r="BC17" s="880">
        <v>91539.166666666672</v>
      </c>
      <c r="BD17" s="880">
        <v>91539.166666666672</v>
      </c>
      <c r="BE17" s="880">
        <v>91539.166666666672</v>
      </c>
      <c r="BF17" s="880">
        <v>91539.166666666672</v>
      </c>
      <c r="BG17" s="880">
        <v>91539.166666666672</v>
      </c>
      <c r="BH17" s="880">
        <v>91539.166666666672</v>
      </c>
      <c r="BI17" s="880">
        <v>91539.166666666672</v>
      </c>
      <c r="BJ17" s="880">
        <v>91539.166666666672</v>
      </c>
      <c r="BK17" s="880">
        <v>91539.166666666672</v>
      </c>
      <c r="BL17" s="880">
        <v>91539.166666666672</v>
      </c>
      <c r="BM17" s="880">
        <v>91539.166666666672</v>
      </c>
      <c r="BN17" s="880">
        <v>91539.166666666672</v>
      </c>
      <c r="BO17" s="880">
        <v>91539.166666666672</v>
      </c>
      <c r="BP17" s="880">
        <v>91539.166666666672</v>
      </c>
      <c r="BQ17" s="880">
        <v>91539.166666666672</v>
      </c>
      <c r="BR17" s="880">
        <v>91539.166666666672</v>
      </c>
      <c r="BS17" s="880">
        <v>91539.166666666672</v>
      </c>
      <c r="BT17" s="880">
        <v>91539.166666666672</v>
      </c>
      <c r="BU17" s="880">
        <v>91539.166666666672</v>
      </c>
      <c r="BV17" s="880">
        <v>91539.166666666672</v>
      </c>
      <c r="BW17" s="880">
        <v>91539.166666666672</v>
      </c>
      <c r="BX17" s="880">
        <v>91539.166666666672</v>
      </c>
      <c r="BY17" s="880">
        <v>91539.166666666672</v>
      </c>
      <c r="BZ17" s="880">
        <v>91539.166666666672</v>
      </c>
      <c r="CA17" s="880">
        <v>91539.166666666672</v>
      </c>
      <c r="CB17" s="880">
        <v>91539.166666666672</v>
      </c>
      <c r="CC17" s="880">
        <v>91539.166666666672</v>
      </c>
      <c r="CD17" s="880">
        <v>91539.166666666672</v>
      </c>
      <c r="CE17" s="880">
        <v>91539.166666666672</v>
      </c>
      <c r="CF17" s="880">
        <v>91539.166666666672</v>
      </c>
      <c r="CG17" s="880">
        <v>91539.166666666672</v>
      </c>
      <c r="CH17" s="880">
        <v>91539.166666666672</v>
      </c>
      <c r="CI17" s="880">
        <v>91539.166666666672</v>
      </c>
      <c r="CJ17" s="880">
        <v>91539.166666666672</v>
      </c>
      <c r="CK17" s="880">
        <v>91539.166666666672</v>
      </c>
      <c r="CL17" s="880">
        <v>91539.166666666672</v>
      </c>
      <c r="CM17" s="880">
        <v>91539.166666666672</v>
      </c>
      <c r="CN17" s="347"/>
      <c r="CO17" s="347"/>
      <c r="CP17" s="347"/>
      <c r="CQ17" s="347"/>
      <c r="CR17" s="347"/>
      <c r="CS17" s="347"/>
      <c r="CT17" s="347"/>
      <c r="CU17" s="347"/>
      <c r="CV17" s="347"/>
      <c r="CW17" s="347"/>
      <c r="CX17" s="347"/>
      <c r="CY17" s="347"/>
      <c r="CZ17" s="347"/>
      <c r="DA17" s="347"/>
      <c r="DB17" s="347"/>
      <c r="DC17" s="347"/>
      <c r="DD17" s="347"/>
      <c r="DE17" s="347"/>
      <c r="DF17" s="347"/>
      <c r="DG17" s="347"/>
      <c r="DH17" s="347"/>
      <c r="DI17" s="347"/>
      <c r="DJ17" s="347"/>
      <c r="DK17" s="347"/>
      <c r="DL17" s="347"/>
      <c r="DM17" s="347"/>
      <c r="DN17" s="347"/>
      <c r="DO17" s="347"/>
      <c r="DP17" s="347"/>
      <c r="DQ17" s="347"/>
      <c r="DR17" s="347"/>
      <c r="DS17" s="347"/>
      <c r="DT17" s="347"/>
      <c r="DU17" s="347"/>
      <c r="DV17" s="347"/>
      <c r="DW17" s="347"/>
      <c r="DX17" s="347"/>
      <c r="DY17" s="347"/>
      <c r="DZ17" s="347"/>
      <c r="EA17" s="347"/>
      <c r="EB17" s="347"/>
      <c r="EC17" s="347"/>
      <c r="ED17" s="347"/>
      <c r="EE17" s="347"/>
      <c r="EF17" s="347"/>
      <c r="EG17" s="347"/>
      <c r="EH17" s="347"/>
      <c r="EI17" s="347"/>
      <c r="EJ17" s="347"/>
      <c r="EK17" s="347"/>
      <c r="EL17" s="347"/>
      <c r="EM17" s="347"/>
      <c r="EN17" s="347"/>
      <c r="EO17" s="347"/>
      <c r="EP17" s="347"/>
      <c r="EQ17" s="347"/>
      <c r="ER17" s="347"/>
      <c r="ES17" s="347"/>
      <c r="ET17" s="347"/>
      <c r="EU17" s="347"/>
      <c r="EV17" s="347"/>
      <c r="EW17" s="347"/>
      <c r="EX17" s="347"/>
      <c r="EY17" s="347"/>
      <c r="EZ17" s="347"/>
      <c r="FA17" s="347"/>
      <c r="FB17" s="347"/>
      <c r="FC17" s="347"/>
      <c r="FD17" s="347"/>
      <c r="FE17" s="347"/>
      <c r="FF17" s="347"/>
      <c r="FG17" s="347"/>
      <c r="FH17" s="347"/>
      <c r="FI17" s="347"/>
      <c r="FJ17" s="347"/>
      <c r="FK17" s="347"/>
      <c r="FL17" s="347"/>
      <c r="FM17" s="347"/>
      <c r="FN17" s="347"/>
      <c r="FO17" s="347"/>
      <c r="FP17" s="347"/>
      <c r="FQ17" s="347"/>
      <c r="FR17" s="347"/>
      <c r="FS17" s="347"/>
      <c r="FT17" s="347"/>
      <c r="FU17" s="347"/>
      <c r="FV17" s="347"/>
    </row>
    <row r="18" spans="1:178">
      <c r="A18" s="1409"/>
      <c r="B18" s="811" t="s">
        <v>403</v>
      </c>
      <c r="C18" s="581" t="s">
        <v>402</v>
      </c>
      <c r="D18" s="581"/>
      <c r="E18" s="1412"/>
      <c r="F18" s="881" t="s">
        <v>2</v>
      </c>
      <c r="G18" s="1325">
        <v>33330.833333333336</v>
      </c>
      <c r="H18" s="882">
        <v>33330.833333333336</v>
      </c>
      <c r="I18" s="882">
        <v>33330.833333333336</v>
      </c>
      <c r="J18" s="882">
        <v>33330.833333333336</v>
      </c>
      <c r="K18" s="882">
        <v>33330.833333333336</v>
      </c>
      <c r="L18" s="882">
        <v>33330.833333333336</v>
      </c>
      <c r="M18" s="882">
        <v>33330.833333333336</v>
      </c>
      <c r="N18" s="882">
        <v>33330.833333333336</v>
      </c>
      <c r="O18" s="882">
        <v>33330.833333333336</v>
      </c>
      <c r="P18" s="882">
        <v>33330.833333333336</v>
      </c>
      <c r="Q18" s="882">
        <v>33330.833333333336</v>
      </c>
      <c r="R18" s="882">
        <v>33330.833333333336</v>
      </c>
      <c r="S18" s="882">
        <v>33330.833333333336</v>
      </c>
      <c r="T18" s="882">
        <v>33330.833333333336</v>
      </c>
      <c r="U18" s="882">
        <v>33330.833333333336</v>
      </c>
      <c r="V18" s="882">
        <v>33330.833333333336</v>
      </c>
      <c r="W18" s="882">
        <v>33330.833333333336</v>
      </c>
      <c r="X18" s="882">
        <v>33330.833333333336</v>
      </c>
      <c r="Y18" s="882">
        <v>33330.833333333336</v>
      </c>
      <c r="Z18" s="882">
        <v>33330.833333333336</v>
      </c>
      <c r="AA18" s="882">
        <v>33330.833333333336</v>
      </c>
      <c r="AB18" s="882">
        <v>33330.833333333336</v>
      </c>
      <c r="AC18" s="882">
        <v>33330.833333333336</v>
      </c>
      <c r="AD18" s="882">
        <v>33330.833333333336</v>
      </c>
      <c r="AE18" s="882">
        <v>33330.833333333336</v>
      </c>
      <c r="AF18" s="882">
        <v>33330.833333333336</v>
      </c>
      <c r="AG18" s="882">
        <v>33330.833333333336</v>
      </c>
      <c r="AH18" s="882">
        <v>33330.833333333336</v>
      </c>
      <c r="AI18" s="882">
        <v>33330.833333333336</v>
      </c>
      <c r="AJ18" s="882">
        <v>33330.833333333336</v>
      </c>
      <c r="AK18" s="882">
        <v>33330.833333333336</v>
      </c>
      <c r="AL18" s="882">
        <v>33330.833333333336</v>
      </c>
      <c r="AM18" s="882">
        <v>33330.833333333336</v>
      </c>
      <c r="AN18" s="882">
        <v>33330.833333333336</v>
      </c>
      <c r="AO18" s="882">
        <v>33330.833333333336</v>
      </c>
      <c r="AP18" s="882">
        <v>33330.833333333336</v>
      </c>
      <c r="AQ18" s="882">
        <v>33330.833333333336</v>
      </c>
      <c r="AR18" s="882">
        <v>33330.833333333336</v>
      </c>
      <c r="AS18" s="882">
        <v>33330.833333333336</v>
      </c>
      <c r="AT18" s="882">
        <v>33330.833333333336</v>
      </c>
      <c r="AU18" s="882">
        <v>33330.833333333336</v>
      </c>
      <c r="AV18" s="882">
        <v>33330.833333333336</v>
      </c>
      <c r="AW18" s="882">
        <v>33330.833333333336</v>
      </c>
      <c r="AX18" s="882">
        <v>33330.833333333336</v>
      </c>
      <c r="AY18" s="882">
        <v>33330.833333333336</v>
      </c>
      <c r="AZ18" s="882">
        <v>33330.833333333336</v>
      </c>
      <c r="BA18" s="882">
        <v>33330.833333333336</v>
      </c>
      <c r="BB18" s="882">
        <v>33330.833333333336</v>
      </c>
      <c r="BC18" s="882">
        <v>33330.833333333336</v>
      </c>
      <c r="BD18" s="882">
        <v>33330.833333333336</v>
      </c>
      <c r="BE18" s="882">
        <v>33330.833333333336</v>
      </c>
      <c r="BF18" s="882">
        <v>33330.833333333336</v>
      </c>
      <c r="BG18" s="882">
        <v>33330.833333333336</v>
      </c>
      <c r="BH18" s="882">
        <v>33330.833333333336</v>
      </c>
      <c r="BI18" s="882">
        <v>33330.833333333336</v>
      </c>
      <c r="BJ18" s="882">
        <v>33330.833333333336</v>
      </c>
      <c r="BK18" s="882">
        <v>33330.833333333336</v>
      </c>
      <c r="BL18" s="882">
        <v>33330.833333333336</v>
      </c>
      <c r="BM18" s="882">
        <v>33330.833333333336</v>
      </c>
      <c r="BN18" s="882">
        <v>33330.833333333336</v>
      </c>
      <c r="BO18" s="882">
        <v>33330.833333333336</v>
      </c>
      <c r="BP18" s="882">
        <v>33330.833333333336</v>
      </c>
      <c r="BQ18" s="882">
        <v>33330.833333333336</v>
      </c>
      <c r="BR18" s="882">
        <v>33330.833333333336</v>
      </c>
      <c r="BS18" s="882">
        <v>33330.833333333336</v>
      </c>
      <c r="BT18" s="882">
        <v>33330.833333333336</v>
      </c>
      <c r="BU18" s="882">
        <v>33330.833333333336</v>
      </c>
      <c r="BV18" s="882">
        <v>33330.833333333336</v>
      </c>
      <c r="BW18" s="882">
        <v>33330.833333333336</v>
      </c>
      <c r="BX18" s="882">
        <v>33330.833333333336</v>
      </c>
      <c r="BY18" s="882">
        <v>33330.833333333336</v>
      </c>
      <c r="BZ18" s="882">
        <v>33330.833333333336</v>
      </c>
      <c r="CA18" s="882">
        <v>33330.833333333336</v>
      </c>
      <c r="CB18" s="882">
        <v>33330.833333333336</v>
      </c>
      <c r="CC18" s="882">
        <v>33330.833333333336</v>
      </c>
      <c r="CD18" s="882">
        <v>33330.833333333336</v>
      </c>
      <c r="CE18" s="882">
        <v>33330.833333333336</v>
      </c>
      <c r="CF18" s="882">
        <v>33330.833333333336</v>
      </c>
      <c r="CG18" s="882">
        <v>33330.833333333336</v>
      </c>
      <c r="CH18" s="882">
        <v>33330.833333333336</v>
      </c>
      <c r="CI18" s="882">
        <v>33330.833333333336</v>
      </c>
      <c r="CJ18" s="882">
        <v>33330.833333333336</v>
      </c>
      <c r="CK18" s="882">
        <v>33330.833333333336</v>
      </c>
      <c r="CL18" s="882">
        <v>33330.833333333336</v>
      </c>
      <c r="CM18" s="882">
        <v>33330.833333333336</v>
      </c>
      <c r="CN18" s="347"/>
      <c r="CO18" s="347"/>
      <c r="CP18" s="347"/>
      <c r="CQ18" s="347"/>
      <c r="CR18" s="347"/>
      <c r="CS18" s="347"/>
      <c r="CT18" s="347"/>
      <c r="CU18" s="347"/>
      <c r="CV18" s="347"/>
      <c r="CW18" s="347"/>
      <c r="CX18" s="347"/>
      <c r="CY18" s="347"/>
      <c r="CZ18" s="347"/>
      <c r="DA18" s="347"/>
      <c r="DB18" s="347"/>
      <c r="DC18" s="347"/>
      <c r="DD18" s="347"/>
      <c r="DE18" s="347"/>
      <c r="DF18" s="347"/>
      <c r="DG18" s="347"/>
      <c r="DH18" s="347"/>
      <c r="DI18" s="347"/>
      <c r="DJ18" s="347"/>
      <c r="DK18" s="347"/>
      <c r="DL18" s="347"/>
      <c r="DM18" s="347"/>
      <c r="DN18" s="347"/>
      <c r="DO18" s="347"/>
      <c r="DP18" s="347"/>
      <c r="DQ18" s="347"/>
      <c r="DR18" s="347"/>
      <c r="DS18" s="347"/>
      <c r="DT18" s="347"/>
      <c r="DU18" s="347"/>
      <c r="DV18" s="347"/>
      <c r="DW18" s="347"/>
      <c r="DX18" s="347"/>
      <c r="DY18" s="347"/>
      <c r="DZ18" s="347"/>
      <c r="EA18" s="347"/>
      <c r="EB18" s="347"/>
      <c r="EC18" s="347"/>
      <c r="ED18" s="347"/>
      <c r="EE18" s="347"/>
      <c r="EF18" s="347"/>
      <c r="EG18" s="347"/>
      <c r="EH18" s="347"/>
      <c r="EI18" s="347"/>
      <c r="EJ18" s="347"/>
      <c r="EK18" s="347"/>
      <c r="EL18" s="347"/>
      <c r="EM18" s="347"/>
      <c r="EN18" s="347"/>
      <c r="EO18" s="347"/>
      <c r="EP18" s="347"/>
      <c r="EQ18" s="347"/>
      <c r="ER18" s="347"/>
      <c r="ES18" s="347"/>
      <c r="ET18" s="347"/>
      <c r="EU18" s="347"/>
      <c r="EV18" s="347"/>
      <c r="EW18" s="347"/>
      <c r="EX18" s="347"/>
      <c r="EY18" s="347"/>
      <c r="EZ18" s="347"/>
      <c r="FA18" s="347"/>
      <c r="FB18" s="347"/>
      <c r="FC18" s="347"/>
      <c r="FD18" s="347"/>
      <c r="FE18" s="347"/>
      <c r="FF18" s="347"/>
      <c r="FG18" s="347"/>
      <c r="FH18" s="347"/>
      <c r="FI18" s="347"/>
      <c r="FJ18" s="347"/>
      <c r="FK18" s="347"/>
      <c r="FL18" s="347"/>
      <c r="FM18" s="347"/>
      <c r="FN18" s="347"/>
      <c r="FO18" s="347"/>
      <c r="FP18" s="347"/>
      <c r="FQ18" s="347"/>
      <c r="FR18" s="347"/>
      <c r="FS18" s="347"/>
      <c r="FT18" s="347"/>
      <c r="FU18" s="347"/>
      <c r="FV18" s="347"/>
    </row>
    <row r="19" spans="1:178">
      <c r="A19" s="1409"/>
      <c r="B19" s="811" t="s">
        <v>403</v>
      </c>
      <c r="C19" s="581" t="s">
        <v>402</v>
      </c>
      <c r="D19" s="581"/>
      <c r="E19" s="1412"/>
      <c r="F19" s="881" t="str">
        <f>F8</f>
        <v xml:space="preserve">Benzene </v>
      </c>
      <c r="G19" s="1325">
        <v>10920.149999999998</v>
      </c>
      <c r="H19" s="882">
        <v>10920.149999999998</v>
      </c>
      <c r="I19" s="882">
        <v>10920.149999999998</v>
      </c>
      <c r="J19" s="882">
        <v>10920.149999999998</v>
      </c>
      <c r="K19" s="882">
        <v>10920.149999999998</v>
      </c>
      <c r="L19" s="882">
        <v>10920.149999999998</v>
      </c>
      <c r="M19" s="882">
        <v>10920.149999999998</v>
      </c>
      <c r="N19" s="882">
        <v>10920.149999999998</v>
      </c>
      <c r="O19" s="882">
        <v>10920.149999999998</v>
      </c>
      <c r="P19" s="882">
        <v>10920.149999999998</v>
      </c>
      <c r="Q19" s="882">
        <v>10920.149999999998</v>
      </c>
      <c r="R19" s="882">
        <v>10920.149999999998</v>
      </c>
      <c r="S19" s="882">
        <v>10920.149999999998</v>
      </c>
      <c r="T19" s="882">
        <v>10920.149999999998</v>
      </c>
      <c r="U19" s="882">
        <v>10920.149999999998</v>
      </c>
      <c r="V19" s="882">
        <v>10920.149999999998</v>
      </c>
      <c r="W19" s="882">
        <v>10920.149999999998</v>
      </c>
      <c r="X19" s="882">
        <v>10920.149999999998</v>
      </c>
      <c r="Y19" s="882">
        <v>10920.149999999998</v>
      </c>
      <c r="Z19" s="882">
        <v>10920.149999999998</v>
      </c>
      <c r="AA19" s="882">
        <v>10920.149999999998</v>
      </c>
      <c r="AB19" s="882">
        <v>10920.149999999998</v>
      </c>
      <c r="AC19" s="882">
        <v>10920.149999999998</v>
      </c>
      <c r="AD19" s="882">
        <v>10920.149999999998</v>
      </c>
      <c r="AE19" s="882">
        <v>10920.149999999998</v>
      </c>
      <c r="AF19" s="882">
        <v>10920.149999999998</v>
      </c>
      <c r="AG19" s="882">
        <v>10920.149999999998</v>
      </c>
      <c r="AH19" s="882">
        <v>10920.149999999998</v>
      </c>
      <c r="AI19" s="882">
        <v>10920.149999999998</v>
      </c>
      <c r="AJ19" s="882">
        <v>10920.149999999998</v>
      </c>
      <c r="AK19" s="882">
        <v>10920.149999999998</v>
      </c>
      <c r="AL19" s="882">
        <v>10920.149999999998</v>
      </c>
      <c r="AM19" s="882">
        <v>10920.149999999998</v>
      </c>
      <c r="AN19" s="882">
        <v>10920.149999999998</v>
      </c>
      <c r="AO19" s="882">
        <v>10920.149999999998</v>
      </c>
      <c r="AP19" s="882">
        <v>10920.149999999998</v>
      </c>
      <c r="AQ19" s="882">
        <v>10920.149999999998</v>
      </c>
      <c r="AR19" s="882">
        <v>10920.149999999998</v>
      </c>
      <c r="AS19" s="882">
        <v>10920.149999999998</v>
      </c>
      <c r="AT19" s="882">
        <v>10920.149999999998</v>
      </c>
      <c r="AU19" s="882">
        <v>10920.149999999998</v>
      </c>
      <c r="AV19" s="882">
        <v>10920.149999999998</v>
      </c>
      <c r="AW19" s="882">
        <v>10920.149999999998</v>
      </c>
      <c r="AX19" s="882">
        <v>10920.149999999998</v>
      </c>
      <c r="AY19" s="882">
        <v>10920.149999999998</v>
      </c>
      <c r="AZ19" s="882">
        <v>10920.149999999998</v>
      </c>
      <c r="BA19" s="882">
        <v>10920.149999999998</v>
      </c>
      <c r="BB19" s="882">
        <v>10920.149999999998</v>
      </c>
      <c r="BC19" s="882">
        <v>10920.149999999998</v>
      </c>
      <c r="BD19" s="882">
        <v>10920.149999999998</v>
      </c>
      <c r="BE19" s="882">
        <v>10920.149999999998</v>
      </c>
      <c r="BF19" s="882">
        <v>10920.149999999998</v>
      </c>
      <c r="BG19" s="882">
        <v>10920.149999999998</v>
      </c>
      <c r="BH19" s="882">
        <v>10920.149999999998</v>
      </c>
      <c r="BI19" s="882">
        <v>10920.149999999998</v>
      </c>
      <c r="BJ19" s="882">
        <v>10920.149999999998</v>
      </c>
      <c r="BK19" s="882">
        <v>10920.149999999998</v>
      </c>
      <c r="BL19" s="882">
        <v>10920.149999999998</v>
      </c>
      <c r="BM19" s="882">
        <v>10920.149999999998</v>
      </c>
      <c r="BN19" s="882">
        <v>10920.149999999998</v>
      </c>
      <c r="BO19" s="882">
        <v>10920.149999999998</v>
      </c>
      <c r="BP19" s="882">
        <v>10920.149999999998</v>
      </c>
      <c r="BQ19" s="882">
        <v>10920.149999999998</v>
      </c>
      <c r="BR19" s="882">
        <v>10920.149999999998</v>
      </c>
      <c r="BS19" s="882">
        <v>10920.149999999998</v>
      </c>
      <c r="BT19" s="882">
        <v>10920.149999999998</v>
      </c>
      <c r="BU19" s="882">
        <v>10920.149999999998</v>
      </c>
      <c r="BV19" s="882">
        <v>10920.149999999998</v>
      </c>
      <c r="BW19" s="882">
        <v>10920.149999999998</v>
      </c>
      <c r="BX19" s="882">
        <v>10920.149999999998</v>
      </c>
      <c r="BY19" s="882">
        <v>10920.149999999998</v>
      </c>
      <c r="BZ19" s="882">
        <v>10920.149999999998</v>
      </c>
      <c r="CA19" s="882">
        <v>10920.149999999998</v>
      </c>
      <c r="CB19" s="882">
        <v>10920.149999999998</v>
      </c>
      <c r="CC19" s="882">
        <v>10920.149999999998</v>
      </c>
      <c r="CD19" s="882">
        <v>10920.149999999998</v>
      </c>
      <c r="CE19" s="882">
        <v>10920.149999999998</v>
      </c>
      <c r="CF19" s="882">
        <v>10920.149999999998</v>
      </c>
      <c r="CG19" s="882">
        <v>10920.149999999998</v>
      </c>
      <c r="CH19" s="882">
        <v>10920.149999999998</v>
      </c>
      <c r="CI19" s="882">
        <v>10920.149999999998</v>
      </c>
      <c r="CJ19" s="882">
        <v>10920.149999999998</v>
      </c>
      <c r="CK19" s="882">
        <v>10920.149999999998</v>
      </c>
      <c r="CL19" s="882">
        <v>10920.149999999998</v>
      </c>
      <c r="CM19" s="882">
        <v>10920.149999999998</v>
      </c>
      <c r="CN19" s="347"/>
      <c r="CO19" s="347"/>
      <c r="CP19" s="347"/>
      <c r="CQ19" s="347"/>
      <c r="CR19" s="347"/>
      <c r="CS19" s="347"/>
      <c r="CT19" s="347"/>
      <c r="CU19" s="347"/>
      <c r="CV19" s="347"/>
      <c r="CW19" s="347"/>
      <c r="CX19" s="347"/>
      <c r="CY19" s="347"/>
      <c r="CZ19" s="347"/>
      <c r="DA19" s="347"/>
      <c r="DB19" s="347"/>
      <c r="DC19" s="347"/>
      <c r="DD19" s="347"/>
      <c r="DE19" s="347"/>
      <c r="DF19" s="347"/>
      <c r="DG19" s="347"/>
      <c r="DH19" s="347"/>
      <c r="DI19" s="347"/>
      <c r="DJ19" s="347"/>
      <c r="DK19" s="347"/>
      <c r="DL19" s="347"/>
      <c r="DM19" s="347"/>
      <c r="DN19" s="347"/>
      <c r="DO19" s="347"/>
      <c r="DP19" s="347"/>
      <c r="DQ19" s="347"/>
      <c r="DR19" s="347"/>
      <c r="DS19" s="347"/>
      <c r="DT19" s="347"/>
      <c r="DU19" s="347"/>
      <c r="DV19" s="347"/>
      <c r="DW19" s="347"/>
      <c r="DX19" s="347"/>
      <c r="DY19" s="347"/>
      <c r="DZ19" s="347"/>
      <c r="EA19" s="347"/>
      <c r="EB19" s="347"/>
      <c r="EC19" s="347"/>
      <c r="ED19" s="347"/>
      <c r="EE19" s="347"/>
      <c r="EF19" s="347"/>
      <c r="EG19" s="347"/>
      <c r="EH19" s="347"/>
      <c r="EI19" s="347"/>
      <c r="EJ19" s="347"/>
      <c r="EK19" s="347"/>
      <c r="EL19" s="347"/>
      <c r="EM19" s="347"/>
      <c r="EN19" s="347"/>
      <c r="EO19" s="347"/>
      <c r="EP19" s="347"/>
      <c r="EQ19" s="347"/>
      <c r="ER19" s="347"/>
      <c r="ES19" s="347"/>
      <c r="ET19" s="347"/>
      <c r="EU19" s="347"/>
      <c r="EV19" s="347"/>
      <c r="EW19" s="347"/>
      <c r="EX19" s="347"/>
      <c r="EY19" s="347"/>
      <c r="EZ19" s="347"/>
      <c r="FA19" s="347"/>
      <c r="FB19" s="347"/>
      <c r="FC19" s="347"/>
      <c r="FD19" s="347"/>
      <c r="FE19" s="347"/>
      <c r="FF19" s="347"/>
      <c r="FG19" s="347"/>
      <c r="FH19" s="347"/>
      <c r="FI19" s="347"/>
      <c r="FJ19" s="347"/>
      <c r="FK19" s="347"/>
      <c r="FL19" s="347"/>
      <c r="FM19" s="347"/>
      <c r="FN19" s="347"/>
      <c r="FO19" s="347"/>
      <c r="FP19" s="347"/>
      <c r="FQ19" s="347"/>
      <c r="FR19" s="347"/>
      <c r="FS19" s="347"/>
      <c r="FT19" s="347"/>
      <c r="FU19" s="347"/>
      <c r="FV19" s="347"/>
    </row>
    <row r="20" spans="1:178">
      <c r="A20" s="1409"/>
      <c r="B20" s="811" t="s">
        <v>403</v>
      </c>
      <c r="C20" s="581" t="s">
        <v>402</v>
      </c>
      <c r="D20" s="581"/>
      <c r="E20" s="1412"/>
      <c r="F20" s="881" t="str">
        <f>F9</f>
        <v xml:space="preserve"> 1,3 Butadiene </v>
      </c>
      <c r="G20" s="1325">
        <v>10338</v>
      </c>
      <c r="H20" s="882">
        <f>'[11]Ethylene-Propylene COP'!$BE$31</f>
        <v>10338.423458333333</v>
      </c>
      <c r="I20" s="882">
        <f>'[11]Ethylene-Propylene COP'!$BE$31</f>
        <v>10338.423458333333</v>
      </c>
      <c r="J20" s="882">
        <f>'[11]Ethylene-Propylene COP'!$BE$31</f>
        <v>10338.423458333333</v>
      </c>
      <c r="K20" s="882">
        <f>'[11]Ethylene-Propylene COP'!$BE$31</f>
        <v>10338.423458333333</v>
      </c>
      <c r="L20" s="882">
        <f>'[11]Ethylene-Propylene COP'!$BE$31</f>
        <v>10338.423458333333</v>
      </c>
      <c r="M20" s="882">
        <f>'[11]Ethylene-Propylene COP'!$BE$31</f>
        <v>10338.423458333333</v>
      </c>
      <c r="N20" s="882">
        <f>'[11]Ethylene-Propylene COP'!$BE$31</f>
        <v>10338.423458333333</v>
      </c>
      <c r="O20" s="882">
        <f>'[11]Ethylene-Propylene COP'!$BE$31</f>
        <v>10338.423458333333</v>
      </c>
      <c r="P20" s="882">
        <f>'[11]Ethylene-Propylene COP'!$BE$31</f>
        <v>10338.423458333333</v>
      </c>
      <c r="Q20" s="882">
        <f>'[11]Ethylene-Propylene COP'!$BE$31</f>
        <v>10338.423458333333</v>
      </c>
      <c r="R20" s="882">
        <f>'[11]Ethylene-Propylene COP'!$BE$31</f>
        <v>10338.423458333333</v>
      </c>
      <c r="S20" s="882">
        <f>'[11]Ethylene-Propylene COP'!$BE$31</f>
        <v>10338.423458333333</v>
      </c>
      <c r="T20" s="882">
        <f>'[11]Ethylene-Propylene COP'!$BE$31</f>
        <v>10338.423458333333</v>
      </c>
      <c r="U20" s="882">
        <f>'[11]Ethylene-Propylene COP'!$BE$31</f>
        <v>10338.423458333333</v>
      </c>
      <c r="V20" s="882">
        <f>'[11]Ethylene-Propylene COP'!$BE$31</f>
        <v>10338.423458333333</v>
      </c>
      <c r="W20" s="882">
        <f>'[11]Ethylene-Propylene COP'!$BE$31</f>
        <v>10338.423458333333</v>
      </c>
      <c r="X20" s="882">
        <f>'[11]Ethylene-Propylene COP'!$BE$31</f>
        <v>10338.423458333333</v>
      </c>
      <c r="Y20" s="882">
        <f>'[11]Ethylene-Propylene COP'!$BE$31</f>
        <v>10338.423458333333</v>
      </c>
      <c r="Z20" s="882">
        <f>'[11]Ethylene-Propylene COP'!$BE$31</f>
        <v>10338.423458333333</v>
      </c>
      <c r="AA20" s="882">
        <f>'[11]Ethylene-Propylene COP'!$BE$31</f>
        <v>10338.423458333333</v>
      </c>
      <c r="AB20" s="882">
        <f>'[11]Ethylene-Propylene COP'!$BE$31</f>
        <v>10338.423458333333</v>
      </c>
      <c r="AC20" s="882">
        <f>'[11]Ethylene-Propylene COP'!$BE$31</f>
        <v>10338.423458333333</v>
      </c>
      <c r="AD20" s="882">
        <f>'[11]Ethylene-Propylene COP'!$BE$31</f>
        <v>10338.423458333333</v>
      </c>
      <c r="AE20" s="882">
        <f>'[11]Ethylene-Propylene COP'!$BE$31</f>
        <v>10338.423458333333</v>
      </c>
      <c r="AF20" s="882">
        <f>'[11]Ethylene-Propylene COP'!$BE$31</f>
        <v>10338.423458333333</v>
      </c>
      <c r="AG20" s="882">
        <f>'[11]Ethylene-Propylene COP'!$BE$31</f>
        <v>10338.423458333333</v>
      </c>
      <c r="AH20" s="882">
        <f>'[11]Ethylene-Propylene COP'!$BE$31</f>
        <v>10338.423458333333</v>
      </c>
      <c r="AI20" s="882">
        <f>'[11]Ethylene-Propylene COP'!$BE$31</f>
        <v>10338.423458333333</v>
      </c>
      <c r="AJ20" s="882">
        <f>'[11]Ethylene-Propylene COP'!$BE$31</f>
        <v>10338.423458333333</v>
      </c>
      <c r="AK20" s="882">
        <f>'[11]Ethylene-Propylene COP'!$BE$31</f>
        <v>10338.423458333333</v>
      </c>
      <c r="AL20" s="882">
        <f>'[11]Ethylene-Propylene COP'!$BE$31</f>
        <v>10338.423458333333</v>
      </c>
      <c r="AM20" s="882">
        <f>'[11]Ethylene-Propylene COP'!$BE$31</f>
        <v>10338.423458333333</v>
      </c>
      <c r="AN20" s="882">
        <f>'[11]Ethylene-Propylene COP'!$BE$31</f>
        <v>10338.423458333333</v>
      </c>
      <c r="AO20" s="882">
        <f>'[11]Ethylene-Propylene COP'!$BE$31</f>
        <v>10338.423458333333</v>
      </c>
      <c r="AP20" s="882">
        <f>'[11]Ethylene-Propylene COP'!$BE$31</f>
        <v>10338.423458333333</v>
      </c>
      <c r="AQ20" s="882">
        <f>'[11]Ethylene-Propylene COP'!$BE$31</f>
        <v>10338.423458333333</v>
      </c>
      <c r="AR20" s="882">
        <f>'[11]Ethylene-Propylene COP'!$BE$31</f>
        <v>10338.423458333333</v>
      </c>
      <c r="AS20" s="882">
        <f>'[11]Ethylene-Propylene COP'!$BE$31</f>
        <v>10338.423458333333</v>
      </c>
      <c r="AT20" s="882">
        <f>'[11]Ethylene-Propylene COP'!$BE$31</f>
        <v>10338.423458333333</v>
      </c>
      <c r="AU20" s="882">
        <f>'[11]Ethylene-Propylene COP'!$BE$31</f>
        <v>10338.423458333333</v>
      </c>
      <c r="AV20" s="882">
        <f>'[11]Ethylene-Propylene COP'!$BE$31</f>
        <v>10338.423458333333</v>
      </c>
      <c r="AW20" s="882">
        <f>'[11]Ethylene-Propylene COP'!$BE$31</f>
        <v>10338.423458333333</v>
      </c>
      <c r="AX20" s="882">
        <f>'[11]Ethylene-Propylene COP'!$BE$31</f>
        <v>10338.423458333333</v>
      </c>
      <c r="AY20" s="882">
        <f>'[11]Ethylene-Propylene COP'!$BE$31</f>
        <v>10338.423458333333</v>
      </c>
      <c r="AZ20" s="882">
        <f>'[11]Ethylene-Propylene COP'!$BE$31</f>
        <v>10338.423458333333</v>
      </c>
      <c r="BA20" s="882">
        <f>'[11]Ethylene-Propylene COP'!$BE$31</f>
        <v>10338.423458333333</v>
      </c>
      <c r="BB20" s="882">
        <f>'[11]Ethylene-Propylene COP'!$BE$31</f>
        <v>10338.423458333333</v>
      </c>
      <c r="BC20" s="882">
        <f>'[11]Ethylene-Propylene COP'!$BE$31</f>
        <v>10338.423458333333</v>
      </c>
      <c r="BD20" s="882">
        <f>'[11]Ethylene-Propylene COP'!$BE$31</f>
        <v>10338.423458333333</v>
      </c>
      <c r="BE20" s="882">
        <f>'[11]Ethylene-Propylene COP'!$BE$31</f>
        <v>10338.423458333333</v>
      </c>
      <c r="BF20" s="882">
        <f>'[11]Ethylene-Propylene COP'!$BE$31</f>
        <v>10338.423458333333</v>
      </c>
      <c r="BG20" s="882">
        <f>'[11]Ethylene-Propylene COP'!$BE$31</f>
        <v>10338.423458333333</v>
      </c>
      <c r="BH20" s="882">
        <f>'[11]Ethylene-Propylene COP'!$BE$31</f>
        <v>10338.423458333333</v>
      </c>
      <c r="BI20" s="882">
        <f>'[11]Ethylene-Propylene COP'!$BE$31</f>
        <v>10338.423458333333</v>
      </c>
      <c r="BJ20" s="882">
        <f>'[11]Ethylene-Propylene COP'!$BE$31</f>
        <v>10338.423458333333</v>
      </c>
      <c r="BK20" s="882">
        <f>'[11]Ethylene-Propylene COP'!$BE$31</f>
        <v>10338.423458333333</v>
      </c>
      <c r="BL20" s="882">
        <f>'[11]Ethylene-Propylene COP'!$BE$31</f>
        <v>10338.423458333333</v>
      </c>
      <c r="BM20" s="882">
        <f>'[11]Ethylene-Propylene COP'!$BE$31</f>
        <v>10338.423458333333</v>
      </c>
      <c r="BN20" s="882">
        <f>'[11]Ethylene-Propylene COP'!$BE$31</f>
        <v>10338.423458333333</v>
      </c>
      <c r="BO20" s="882">
        <f>'[11]Ethylene-Propylene COP'!$BE$31</f>
        <v>10338.423458333333</v>
      </c>
      <c r="BP20" s="882">
        <f>'[11]Ethylene-Propylene COP'!$BE$31</f>
        <v>10338.423458333333</v>
      </c>
      <c r="BQ20" s="882">
        <f>'[11]Ethylene-Propylene COP'!$BE$31</f>
        <v>10338.423458333333</v>
      </c>
      <c r="BR20" s="882">
        <f>'[11]Ethylene-Propylene COP'!$BE$31</f>
        <v>10338.423458333333</v>
      </c>
      <c r="BS20" s="882">
        <f>'[11]Ethylene-Propylene COP'!$BE$31</f>
        <v>10338.423458333333</v>
      </c>
      <c r="BT20" s="882">
        <f>'[11]Ethylene-Propylene COP'!$BE$31</f>
        <v>10338.423458333333</v>
      </c>
      <c r="BU20" s="882">
        <f>'[11]Ethylene-Propylene COP'!$BE$31</f>
        <v>10338.423458333333</v>
      </c>
      <c r="BV20" s="882">
        <f>'[11]Ethylene-Propylene COP'!$BE$31</f>
        <v>10338.423458333333</v>
      </c>
      <c r="BW20" s="882">
        <f>'[11]Ethylene-Propylene COP'!$BE$31</f>
        <v>10338.423458333333</v>
      </c>
      <c r="BX20" s="882">
        <f>'[11]Ethylene-Propylene COP'!$BE$31</f>
        <v>10338.423458333333</v>
      </c>
      <c r="BY20" s="882">
        <f>'[11]Ethylene-Propylene COP'!$BE$31</f>
        <v>10338.423458333333</v>
      </c>
      <c r="BZ20" s="882">
        <f>'[11]Ethylene-Propylene COP'!$BE$31</f>
        <v>10338.423458333333</v>
      </c>
      <c r="CA20" s="882">
        <f>'[11]Ethylene-Propylene COP'!$BE$31</f>
        <v>10338.423458333333</v>
      </c>
      <c r="CB20" s="882">
        <f>'[11]Ethylene-Propylene COP'!$BE$31</f>
        <v>10338.423458333333</v>
      </c>
      <c r="CC20" s="882">
        <f>'[11]Ethylene-Propylene COP'!$BE$31</f>
        <v>10338.423458333333</v>
      </c>
      <c r="CD20" s="882">
        <f>'[11]Ethylene-Propylene COP'!$BE$31</f>
        <v>10338.423458333333</v>
      </c>
      <c r="CE20" s="882">
        <f>'[11]Ethylene-Propylene COP'!$BE$31</f>
        <v>10338.423458333333</v>
      </c>
      <c r="CF20" s="882">
        <f>'[11]Ethylene-Propylene COP'!$BE$31</f>
        <v>10338.423458333333</v>
      </c>
      <c r="CG20" s="882">
        <f>'[11]Ethylene-Propylene COP'!$BE$31</f>
        <v>10338.423458333333</v>
      </c>
      <c r="CH20" s="882">
        <f>'[11]Ethylene-Propylene COP'!$BE$31</f>
        <v>10338.423458333333</v>
      </c>
      <c r="CI20" s="882">
        <f>'[11]Ethylene-Propylene COP'!$BE$31</f>
        <v>10338.423458333333</v>
      </c>
      <c r="CJ20" s="882">
        <f>'[11]Ethylene-Propylene COP'!$BE$31</f>
        <v>10338.423458333333</v>
      </c>
      <c r="CK20" s="882">
        <f>'[11]Ethylene-Propylene COP'!$BE$31</f>
        <v>10338.423458333333</v>
      </c>
      <c r="CL20" s="882">
        <f>'[11]Ethylene-Propylene COP'!$BE$31</f>
        <v>10338.423458333333</v>
      </c>
      <c r="CM20" s="882">
        <f>'[11]Ethylene-Propylene COP'!$BE$31</f>
        <v>10338.423458333333</v>
      </c>
      <c r="CN20" s="347"/>
      <c r="CO20" s="347"/>
      <c r="CP20" s="347"/>
      <c r="CQ20" s="347"/>
      <c r="CR20" s="347"/>
      <c r="CS20" s="347"/>
      <c r="CT20" s="347"/>
      <c r="CU20" s="347"/>
      <c r="CV20" s="347"/>
      <c r="CW20" s="347"/>
      <c r="CX20" s="347"/>
      <c r="CY20" s="347"/>
      <c r="CZ20" s="347"/>
      <c r="DA20" s="347"/>
      <c r="DB20" s="347"/>
      <c r="DC20" s="347"/>
      <c r="DD20" s="347"/>
      <c r="DE20" s="347"/>
      <c r="DF20" s="347"/>
      <c r="DG20" s="347"/>
      <c r="DH20" s="347"/>
      <c r="DI20" s="347"/>
      <c r="DJ20" s="347"/>
      <c r="DK20" s="347"/>
      <c r="DL20" s="347"/>
      <c r="DM20" s="347"/>
      <c r="DN20" s="347"/>
      <c r="DO20" s="347"/>
      <c r="DP20" s="347"/>
      <c r="DQ20" s="347"/>
      <c r="DR20" s="347"/>
      <c r="DS20" s="347"/>
      <c r="DT20" s="347"/>
      <c r="DU20" s="347"/>
      <c r="DV20" s="347"/>
      <c r="DW20" s="347"/>
      <c r="DX20" s="347"/>
      <c r="DY20" s="347"/>
      <c r="DZ20" s="347"/>
      <c r="EA20" s="347"/>
      <c r="EB20" s="347"/>
      <c r="EC20" s="347"/>
      <c r="ED20" s="347"/>
      <c r="EE20" s="347"/>
      <c r="EF20" s="347"/>
      <c r="EG20" s="347"/>
      <c r="EH20" s="347"/>
      <c r="EI20" s="347"/>
      <c r="EJ20" s="347"/>
      <c r="EK20" s="347"/>
      <c r="EL20" s="347"/>
      <c r="EM20" s="347"/>
      <c r="EN20" s="347"/>
      <c r="EO20" s="347"/>
      <c r="EP20" s="347"/>
      <c r="EQ20" s="347"/>
      <c r="ER20" s="347"/>
      <c r="ES20" s="347"/>
      <c r="ET20" s="347"/>
      <c r="EU20" s="347"/>
      <c r="EV20" s="347"/>
      <c r="EW20" s="347"/>
      <c r="EX20" s="347"/>
      <c r="EY20" s="347"/>
      <c r="EZ20" s="347"/>
      <c r="FA20" s="347"/>
      <c r="FB20" s="347"/>
      <c r="FC20" s="347"/>
      <c r="FD20" s="347"/>
      <c r="FE20" s="347"/>
      <c r="FF20" s="347"/>
      <c r="FG20" s="347"/>
      <c r="FH20" s="347"/>
      <c r="FI20" s="347"/>
      <c r="FJ20" s="347"/>
      <c r="FK20" s="347"/>
      <c r="FL20" s="347"/>
      <c r="FM20" s="347"/>
      <c r="FN20" s="347"/>
      <c r="FO20" s="347"/>
      <c r="FP20" s="347"/>
      <c r="FQ20" s="347"/>
      <c r="FR20" s="347"/>
      <c r="FS20" s="347"/>
      <c r="FT20" s="347"/>
      <c r="FU20" s="347"/>
      <c r="FV20" s="347"/>
    </row>
    <row r="21" spans="1:178">
      <c r="A21" s="1409"/>
      <c r="B21" s="811" t="s">
        <v>403</v>
      </c>
      <c r="C21" s="581" t="s">
        <v>402</v>
      </c>
      <c r="D21" s="581"/>
      <c r="E21" s="1412"/>
      <c r="F21" s="881" t="str">
        <f>F10</f>
        <v xml:space="preserve"> Hydrogenated Pygas (HPG) </v>
      </c>
      <c r="G21" s="1325">
        <v>12285</v>
      </c>
      <c r="H21" s="882">
        <v>12285</v>
      </c>
      <c r="I21" s="882">
        <v>12285</v>
      </c>
      <c r="J21" s="882">
        <v>12285</v>
      </c>
      <c r="K21" s="882">
        <v>12285</v>
      </c>
      <c r="L21" s="882">
        <v>12285</v>
      </c>
      <c r="M21" s="882">
        <v>12285</v>
      </c>
      <c r="N21" s="882">
        <v>12285</v>
      </c>
      <c r="O21" s="882">
        <v>12285</v>
      </c>
      <c r="P21" s="882">
        <v>12285</v>
      </c>
      <c r="Q21" s="882">
        <v>12285</v>
      </c>
      <c r="R21" s="882">
        <v>12285</v>
      </c>
      <c r="S21" s="882">
        <v>12285</v>
      </c>
      <c r="T21" s="882">
        <v>12285</v>
      </c>
      <c r="U21" s="882">
        <v>12285</v>
      </c>
      <c r="V21" s="882">
        <v>12285</v>
      </c>
      <c r="W21" s="882">
        <v>12285</v>
      </c>
      <c r="X21" s="882">
        <v>12285</v>
      </c>
      <c r="Y21" s="882">
        <v>12285</v>
      </c>
      <c r="Z21" s="882">
        <v>12285</v>
      </c>
      <c r="AA21" s="882">
        <v>12285</v>
      </c>
      <c r="AB21" s="882">
        <v>12285</v>
      </c>
      <c r="AC21" s="882">
        <v>12285</v>
      </c>
      <c r="AD21" s="882">
        <v>12285</v>
      </c>
      <c r="AE21" s="882">
        <v>12285</v>
      </c>
      <c r="AF21" s="882">
        <v>12285</v>
      </c>
      <c r="AG21" s="882">
        <v>12285</v>
      </c>
      <c r="AH21" s="882">
        <v>12285</v>
      </c>
      <c r="AI21" s="882">
        <v>12285</v>
      </c>
      <c r="AJ21" s="882">
        <v>12285</v>
      </c>
      <c r="AK21" s="882">
        <v>12285</v>
      </c>
      <c r="AL21" s="882">
        <v>12285</v>
      </c>
      <c r="AM21" s="882">
        <v>12285</v>
      </c>
      <c r="AN21" s="882">
        <v>12285</v>
      </c>
      <c r="AO21" s="882">
        <v>12285</v>
      </c>
      <c r="AP21" s="882">
        <v>12285</v>
      </c>
      <c r="AQ21" s="882">
        <v>12285</v>
      </c>
      <c r="AR21" s="882">
        <v>12285</v>
      </c>
      <c r="AS21" s="882">
        <v>12285</v>
      </c>
      <c r="AT21" s="882">
        <v>12285</v>
      </c>
      <c r="AU21" s="882">
        <v>12285</v>
      </c>
      <c r="AV21" s="882">
        <v>12285</v>
      </c>
      <c r="AW21" s="882">
        <v>12285</v>
      </c>
      <c r="AX21" s="882">
        <v>12285</v>
      </c>
      <c r="AY21" s="882">
        <v>12285</v>
      </c>
      <c r="AZ21" s="882">
        <v>12285</v>
      </c>
      <c r="BA21" s="882">
        <v>12285</v>
      </c>
      <c r="BB21" s="882">
        <v>12285</v>
      </c>
      <c r="BC21" s="882">
        <v>12285</v>
      </c>
      <c r="BD21" s="882">
        <v>12285</v>
      </c>
      <c r="BE21" s="882">
        <v>12285</v>
      </c>
      <c r="BF21" s="882">
        <v>12285</v>
      </c>
      <c r="BG21" s="882">
        <v>12285</v>
      </c>
      <c r="BH21" s="882">
        <v>12285</v>
      </c>
      <c r="BI21" s="882">
        <v>12285</v>
      </c>
      <c r="BJ21" s="882">
        <v>12285</v>
      </c>
      <c r="BK21" s="882">
        <v>12285</v>
      </c>
      <c r="BL21" s="882">
        <v>12285</v>
      </c>
      <c r="BM21" s="882">
        <v>12285</v>
      </c>
      <c r="BN21" s="882">
        <v>12285</v>
      </c>
      <c r="BO21" s="882">
        <v>12285</v>
      </c>
      <c r="BP21" s="882">
        <v>12285</v>
      </c>
      <c r="BQ21" s="882">
        <v>12285</v>
      </c>
      <c r="BR21" s="882">
        <v>12285</v>
      </c>
      <c r="BS21" s="882">
        <v>12285</v>
      </c>
      <c r="BT21" s="882">
        <v>12285</v>
      </c>
      <c r="BU21" s="882">
        <v>12285</v>
      </c>
      <c r="BV21" s="882">
        <v>12285</v>
      </c>
      <c r="BW21" s="882">
        <v>12285</v>
      </c>
      <c r="BX21" s="882">
        <v>12285</v>
      </c>
      <c r="BY21" s="882">
        <v>12285</v>
      </c>
      <c r="BZ21" s="882">
        <v>12285</v>
      </c>
      <c r="CA21" s="882">
        <v>12285</v>
      </c>
      <c r="CB21" s="882">
        <v>12285</v>
      </c>
      <c r="CC21" s="882">
        <v>12285</v>
      </c>
      <c r="CD21" s="882">
        <v>12285</v>
      </c>
      <c r="CE21" s="882">
        <v>12285</v>
      </c>
      <c r="CF21" s="882">
        <v>12285</v>
      </c>
      <c r="CG21" s="882">
        <v>12285</v>
      </c>
      <c r="CH21" s="882">
        <v>12285</v>
      </c>
      <c r="CI21" s="882">
        <v>12285</v>
      </c>
      <c r="CJ21" s="882">
        <v>12285</v>
      </c>
      <c r="CK21" s="882">
        <v>12285</v>
      </c>
      <c r="CL21" s="882">
        <v>12285</v>
      </c>
      <c r="CM21" s="882">
        <v>12285</v>
      </c>
      <c r="CN21" s="347"/>
      <c r="CO21" s="347"/>
      <c r="CP21" s="347"/>
      <c r="CQ21" s="347"/>
      <c r="CR21" s="347"/>
      <c r="CS21" s="347"/>
      <c r="CT21" s="347"/>
      <c r="CU21" s="347"/>
      <c r="CV21" s="347"/>
      <c r="CW21" s="347"/>
      <c r="CX21" s="347"/>
      <c r="CY21" s="347"/>
      <c r="CZ21" s="347"/>
      <c r="DA21" s="347"/>
      <c r="DB21" s="347"/>
      <c r="DC21" s="347"/>
      <c r="DD21" s="347"/>
      <c r="DE21" s="347"/>
      <c r="DF21" s="347"/>
      <c r="DG21" s="347"/>
      <c r="DH21" s="347"/>
      <c r="DI21" s="347"/>
      <c r="DJ21" s="347"/>
      <c r="DK21" s="347"/>
      <c r="DL21" s="347"/>
      <c r="DM21" s="347"/>
      <c r="DN21" s="347"/>
      <c r="DO21" s="347"/>
      <c r="DP21" s="347"/>
      <c r="DQ21" s="347"/>
      <c r="DR21" s="347"/>
      <c r="DS21" s="347"/>
      <c r="DT21" s="347"/>
      <c r="DU21" s="347"/>
      <c r="DV21" s="347"/>
      <c r="DW21" s="347"/>
      <c r="DX21" s="347"/>
      <c r="DY21" s="347"/>
      <c r="DZ21" s="347"/>
      <c r="EA21" s="347"/>
      <c r="EB21" s="347"/>
      <c r="EC21" s="347"/>
      <c r="ED21" s="347"/>
      <c r="EE21" s="347"/>
      <c r="EF21" s="347"/>
      <c r="EG21" s="347"/>
      <c r="EH21" s="347"/>
      <c r="EI21" s="347"/>
      <c r="EJ21" s="347"/>
      <c r="EK21" s="347"/>
      <c r="EL21" s="347"/>
      <c r="EM21" s="347"/>
      <c r="EN21" s="347"/>
      <c r="EO21" s="347"/>
      <c r="EP21" s="347"/>
      <c r="EQ21" s="347"/>
      <c r="ER21" s="347"/>
      <c r="ES21" s="347"/>
      <c r="ET21" s="347"/>
      <c r="EU21" s="347"/>
      <c r="EV21" s="347"/>
      <c r="EW21" s="347"/>
      <c r="EX21" s="347"/>
      <c r="EY21" s="347"/>
      <c r="EZ21" s="347"/>
      <c r="FA21" s="347"/>
      <c r="FB21" s="347"/>
      <c r="FC21" s="347"/>
      <c r="FD21" s="347"/>
      <c r="FE21" s="347"/>
      <c r="FF21" s="347"/>
      <c r="FG21" s="347"/>
      <c r="FH21" s="347"/>
      <c r="FI21" s="347"/>
      <c r="FJ21" s="347"/>
      <c r="FK21" s="347"/>
      <c r="FL21" s="347"/>
      <c r="FM21" s="347"/>
      <c r="FN21" s="347"/>
      <c r="FO21" s="347"/>
      <c r="FP21" s="347"/>
      <c r="FQ21" s="347"/>
      <c r="FR21" s="347"/>
      <c r="FS21" s="347"/>
      <c r="FT21" s="347"/>
      <c r="FU21" s="347"/>
      <c r="FV21" s="347"/>
    </row>
    <row r="22" spans="1:178">
      <c r="A22" s="1409"/>
      <c r="B22" s="811" t="s">
        <v>403</v>
      </c>
      <c r="C22" s="581" t="s">
        <v>402</v>
      </c>
      <c r="D22" s="581"/>
      <c r="E22" s="1412"/>
      <c r="F22" s="881" t="str">
        <f>F11</f>
        <v xml:space="preserve"> CBFS </v>
      </c>
      <c r="G22" s="1325">
        <f>4945.25</f>
        <v>4945.25</v>
      </c>
      <c r="H22" s="882">
        <f t="shared" ref="H22:BS22" si="1">4945.25</f>
        <v>4945.25</v>
      </c>
      <c r="I22" s="882">
        <f t="shared" si="1"/>
        <v>4945.25</v>
      </c>
      <c r="J22" s="882">
        <f t="shared" si="1"/>
        <v>4945.25</v>
      </c>
      <c r="K22" s="882">
        <f t="shared" si="1"/>
        <v>4945.25</v>
      </c>
      <c r="L22" s="882">
        <f t="shared" si="1"/>
        <v>4945.25</v>
      </c>
      <c r="M22" s="882">
        <f t="shared" si="1"/>
        <v>4945.25</v>
      </c>
      <c r="N22" s="882">
        <f t="shared" si="1"/>
        <v>4945.25</v>
      </c>
      <c r="O22" s="882">
        <f t="shared" si="1"/>
        <v>4945.25</v>
      </c>
      <c r="P22" s="882">
        <f t="shared" si="1"/>
        <v>4945.25</v>
      </c>
      <c r="Q22" s="882">
        <f t="shared" si="1"/>
        <v>4945.25</v>
      </c>
      <c r="R22" s="882">
        <f t="shared" si="1"/>
        <v>4945.25</v>
      </c>
      <c r="S22" s="882">
        <f t="shared" si="1"/>
        <v>4945.25</v>
      </c>
      <c r="T22" s="882">
        <f t="shared" si="1"/>
        <v>4945.25</v>
      </c>
      <c r="U22" s="882">
        <f t="shared" si="1"/>
        <v>4945.25</v>
      </c>
      <c r="V22" s="882">
        <f t="shared" si="1"/>
        <v>4945.25</v>
      </c>
      <c r="W22" s="882">
        <f t="shared" si="1"/>
        <v>4945.25</v>
      </c>
      <c r="X22" s="882">
        <f t="shared" si="1"/>
        <v>4945.25</v>
      </c>
      <c r="Y22" s="882">
        <f t="shared" si="1"/>
        <v>4945.25</v>
      </c>
      <c r="Z22" s="882">
        <f t="shared" si="1"/>
        <v>4945.25</v>
      </c>
      <c r="AA22" s="882">
        <f t="shared" si="1"/>
        <v>4945.25</v>
      </c>
      <c r="AB22" s="882">
        <f t="shared" si="1"/>
        <v>4945.25</v>
      </c>
      <c r="AC22" s="882">
        <f t="shared" si="1"/>
        <v>4945.25</v>
      </c>
      <c r="AD22" s="882">
        <f t="shared" si="1"/>
        <v>4945.25</v>
      </c>
      <c r="AE22" s="882">
        <f t="shared" si="1"/>
        <v>4945.25</v>
      </c>
      <c r="AF22" s="882">
        <f t="shared" si="1"/>
        <v>4945.25</v>
      </c>
      <c r="AG22" s="882">
        <f t="shared" si="1"/>
        <v>4945.25</v>
      </c>
      <c r="AH22" s="882">
        <f t="shared" si="1"/>
        <v>4945.25</v>
      </c>
      <c r="AI22" s="882">
        <f t="shared" si="1"/>
        <v>4945.25</v>
      </c>
      <c r="AJ22" s="882">
        <f t="shared" si="1"/>
        <v>4945.25</v>
      </c>
      <c r="AK22" s="882">
        <f t="shared" si="1"/>
        <v>4945.25</v>
      </c>
      <c r="AL22" s="882">
        <f t="shared" si="1"/>
        <v>4945.25</v>
      </c>
      <c r="AM22" s="882">
        <f t="shared" si="1"/>
        <v>4945.25</v>
      </c>
      <c r="AN22" s="882">
        <f t="shared" si="1"/>
        <v>4945.25</v>
      </c>
      <c r="AO22" s="882">
        <f t="shared" si="1"/>
        <v>4945.25</v>
      </c>
      <c r="AP22" s="882">
        <f t="shared" si="1"/>
        <v>4945.25</v>
      </c>
      <c r="AQ22" s="882">
        <f t="shared" si="1"/>
        <v>4945.25</v>
      </c>
      <c r="AR22" s="882">
        <f t="shared" si="1"/>
        <v>4945.25</v>
      </c>
      <c r="AS22" s="882">
        <f t="shared" si="1"/>
        <v>4945.25</v>
      </c>
      <c r="AT22" s="882">
        <f t="shared" si="1"/>
        <v>4945.25</v>
      </c>
      <c r="AU22" s="882">
        <f t="shared" si="1"/>
        <v>4945.25</v>
      </c>
      <c r="AV22" s="882">
        <f t="shared" si="1"/>
        <v>4945.25</v>
      </c>
      <c r="AW22" s="882">
        <f t="shared" si="1"/>
        <v>4945.25</v>
      </c>
      <c r="AX22" s="882">
        <f t="shared" si="1"/>
        <v>4945.25</v>
      </c>
      <c r="AY22" s="882">
        <f t="shared" si="1"/>
        <v>4945.25</v>
      </c>
      <c r="AZ22" s="882">
        <f t="shared" si="1"/>
        <v>4945.25</v>
      </c>
      <c r="BA22" s="882">
        <f t="shared" si="1"/>
        <v>4945.25</v>
      </c>
      <c r="BB22" s="882">
        <f t="shared" si="1"/>
        <v>4945.25</v>
      </c>
      <c r="BC22" s="882">
        <f t="shared" si="1"/>
        <v>4945.25</v>
      </c>
      <c r="BD22" s="882">
        <f t="shared" si="1"/>
        <v>4945.25</v>
      </c>
      <c r="BE22" s="882">
        <f t="shared" si="1"/>
        <v>4945.25</v>
      </c>
      <c r="BF22" s="882">
        <f t="shared" si="1"/>
        <v>4945.25</v>
      </c>
      <c r="BG22" s="882">
        <f t="shared" si="1"/>
        <v>4945.25</v>
      </c>
      <c r="BH22" s="882">
        <f t="shared" si="1"/>
        <v>4945.25</v>
      </c>
      <c r="BI22" s="882">
        <f t="shared" si="1"/>
        <v>4945.25</v>
      </c>
      <c r="BJ22" s="882">
        <f t="shared" si="1"/>
        <v>4945.25</v>
      </c>
      <c r="BK22" s="882">
        <f t="shared" si="1"/>
        <v>4945.25</v>
      </c>
      <c r="BL22" s="882">
        <f t="shared" si="1"/>
        <v>4945.25</v>
      </c>
      <c r="BM22" s="882">
        <f t="shared" si="1"/>
        <v>4945.25</v>
      </c>
      <c r="BN22" s="882">
        <f t="shared" si="1"/>
        <v>4945.25</v>
      </c>
      <c r="BO22" s="882">
        <f t="shared" si="1"/>
        <v>4945.25</v>
      </c>
      <c r="BP22" s="882">
        <f t="shared" si="1"/>
        <v>4945.25</v>
      </c>
      <c r="BQ22" s="882">
        <f t="shared" si="1"/>
        <v>4945.25</v>
      </c>
      <c r="BR22" s="882">
        <f t="shared" si="1"/>
        <v>4945.25</v>
      </c>
      <c r="BS22" s="882">
        <f t="shared" si="1"/>
        <v>4945.25</v>
      </c>
      <c r="BT22" s="882">
        <f t="shared" ref="BT22:CM22" si="2">4945.25</f>
        <v>4945.25</v>
      </c>
      <c r="BU22" s="882">
        <f t="shared" si="2"/>
        <v>4945.25</v>
      </c>
      <c r="BV22" s="882">
        <f t="shared" si="2"/>
        <v>4945.25</v>
      </c>
      <c r="BW22" s="882">
        <f t="shared" si="2"/>
        <v>4945.25</v>
      </c>
      <c r="BX22" s="882">
        <f t="shared" si="2"/>
        <v>4945.25</v>
      </c>
      <c r="BY22" s="882">
        <f t="shared" si="2"/>
        <v>4945.25</v>
      </c>
      <c r="BZ22" s="882">
        <f t="shared" si="2"/>
        <v>4945.25</v>
      </c>
      <c r="CA22" s="882">
        <f t="shared" si="2"/>
        <v>4945.25</v>
      </c>
      <c r="CB22" s="882">
        <f t="shared" si="2"/>
        <v>4945.25</v>
      </c>
      <c r="CC22" s="882">
        <f t="shared" si="2"/>
        <v>4945.25</v>
      </c>
      <c r="CD22" s="882">
        <f t="shared" si="2"/>
        <v>4945.25</v>
      </c>
      <c r="CE22" s="882">
        <f t="shared" si="2"/>
        <v>4945.25</v>
      </c>
      <c r="CF22" s="882">
        <f t="shared" si="2"/>
        <v>4945.25</v>
      </c>
      <c r="CG22" s="882">
        <f t="shared" si="2"/>
        <v>4945.25</v>
      </c>
      <c r="CH22" s="882">
        <f t="shared" si="2"/>
        <v>4945.25</v>
      </c>
      <c r="CI22" s="882">
        <f t="shared" si="2"/>
        <v>4945.25</v>
      </c>
      <c r="CJ22" s="882">
        <f t="shared" si="2"/>
        <v>4945.25</v>
      </c>
      <c r="CK22" s="882">
        <f t="shared" si="2"/>
        <v>4945.25</v>
      </c>
      <c r="CL22" s="882">
        <f t="shared" si="2"/>
        <v>4945.25</v>
      </c>
      <c r="CM22" s="882">
        <f t="shared" si="2"/>
        <v>4945.25</v>
      </c>
      <c r="CN22" s="347"/>
      <c r="CO22" s="347"/>
      <c r="CP22" s="347"/>
      <c r="CQ22" s="347"/>
      <c r="CR22" s="347"/>
      <c r="CS22" s="347"/>
      <c r="CT22" s="347"/>
      <c r="CU22" s="347"/>
      <c r="CV22" s="347"/>
      <c r="CW22" s="347"/>
      <c r="CX22" s="347"/>
      <c r="CY22" s="347"/>
      <c r="CZ22" s="347"/>
      <c r="DA22" s="347"/>
      <c r="DB22" s="347"/>
      <c r="DC22" s="347"/>
      <c r="DD22" s="347"/>
      <c r="DE22" s="347"/>
      <c r="DF22" s="347"/>
      <c r="DG22" s="347"/>
      <c r="DH22" s="347"/>
      <c r="DI22" s="347"/>
      <c r="DJ22" s="347"/>
      <c r="DK22" s="347"/>
      <c r="DL22" s="347"/>
      <c r="DM22" s="347"/>
      <c r="DN22" s="347"/>
      <c r="DO22" s="347"/>
      <c r="DP22" s="347"/>
      <c r="DQ22" s="347"/>
      <c r="DR22" s="347"/>
      <c r="DS22" s="347"/>
      <c r="DT22" s="347"/>
      <c r="DU22" s="347"/>
      <c r="DV22" s="347"/>
      <c r="DW22" s="347"/>
      <c r="DX22" s="347"/>
      <c r="DY22" s="347"/>
      <c r="DZ22" s="347"/>
      <c r="EA22" s="347"/>
      <c r="EB22" s="347"/>
      <c r="EC22" s="347"/>
      <c r="ED22" s="347"/>
      <c r="EE22" s="347"/>
      <c r="EF22" s="347"/>
      <c r="EG22" s="347"/>
      <c r="EH22" s="347"/>
      <c r="EI22" s="347"/>
      <c r="EJ22" s="347"/>
      <c r="EK22" s="347"/>
      <c r="EL22" s="347"/>
      <c r="EM22" s="347"/>
      <c r="EN22" s="347"/>
      <c r="EO22" s="347"/>
      <c r="EP22" s="347"/>
      <c r="EQ22" s="347"/>
      <c r="ER22" s="347"/>
      <c r="ES22" s="347"/>
      <c r="ET22" s="347"/>
      <c r="EU22" s="347"/>
      <c r="EV22" s="347"/>
      <c r="EW22" s="347"/>
      <c r="EX22" s="347"/>
      <c r="EY22" s="347"/>
      <c r="EZ22" s="347"/>
      <c r="FA22" s="347"/>
      <c r="FB22" s="347"/>
      <c r="FC22" s="347"/>
      <c r="FD22" s="347"/>
      <c r="FE22" s="347"/>
      <c r="FF22" s="347"/>
      <c r="FG22" s="347"/>
      <c r="FH22" s="347"/>
      <c r="FI22" s="347"/>
      <c r="FJ22" s="347"/>
      <c r="FK22" s="347"/>
      <c r="FL22" s="347"/>
      <c r="FM22" s="347"/>
      <c r="FN22" s="347"/>
      <c r="FO22" s="347"/>
      <c r="FP22" s="347"/>
      <c r="FQ22" s="347"/>
      <c r="FR22" s="347"/>
      <c r="FS22" s="347"/>
      <c r="FT22" s="347"/>
      <c r="FU22" s="347"/>
      <c r="FV22" s="347"/>
    </row>
    <row r="23" spans="1:178">
      <c r="A23" s="1410"/>
      <c r="B23" s="859" t="s">
        <v>403</v>
      </c>
      <c r="C23" s="860" t="s">
        <v>402</v>
      </c>
      <c r="D23" s="860"/>
      <c r="E23" s="1413"/>
      <c r="F23" s="883" t="str">
        <f>F12</f>
        <v xml:space="preserve"> C9+   </v>
      </c>
      <c r="G23" s="1343">
        <f>3685.55</f>
        <v>3685.55</v>
      </c>
      <c r="H23" s="884">
        <f t="shared" ref="H23:BS23" si="3">3685.55</f>
        <v>3685.55</v>
      </c>
      <c r="I23" s="884">
        <f t="shared" si="3"/>
        <v>3685.55</v>
      </c>
      <c r="J23" s="884">
        <f t="shared" si="3"/>
        <v>3685.55</v>
      </c>
      <c r="K23" s="884">
        <f t="shared" si="3"/>
        <v>3685.55</v>
      </c>
      <c r="L23" s="884">
        <f t="shared" si="3"/>
        <v>3685.55</v>
      </c>
      <c r="M23" s="884">
        <f t="shared" si="3"/>
        <v>3685.55</v>
      </c>
      <c r="N23" s="884">
        <f t="shared" si="3"/>
        <v>3685.55</v>
      </c>
      <c r="O23" s="884">
        <f t="shared" si="3"/>
        <v>3685.55</v>
      </c>
      <c r="P23" s="884">
        <f t="shared" si="3"/>
        <v>3685.55</v>
      </c>
      <c r="Q23" s="884">
        <f t="shared" si="3"/>
        <v>3685.55</v>
      </c>
      <c r="R23" s="884">
        <f t="shared" si="3"/>
        <v>3685.55</v>
      </c>
      <c r="S23" s="884">
        <f t="shared" si="3"/>
        <v>3685.55</v>
      </c>
      <c r="T23" s="884">
        <f t="shared" si="3"/>
        <v>3685.55</v>
      </c>
      <c r="U23" s="884">
        <f t="shared" si="3"/>
        <v>3685.55</v>
      </c>
      <c r="V23" s="884">
        <f t="shared" si="3"/>
        <v>3685.55</v>
      </c>
      <c r="W23" s="884">
        <f t="shared" si="3"/>
        <v>3685.55</v>
      </c>
      <c r="X23" s="884">
        <f t="shared" si="3"/>
        <v>3685.55</v>
      </c>
      <c r="Y23" s="884">
        <f t="shared" si="3"/>
        <v>3685.55</v>
      </c>
      <c r="Z23" s="884">
        <f t="shared" si="3"/>
        <v>3685.55</v>
      </c>
      <c r="AA23" s="884">
        <f t="shared" si="3"/>
        <v>3685.55</v>
      </c>
      <c r="AB23" s="884">
        <f t="shared" si="3"/>
        <v>3685.55</v>
      </c>
      <c r="AC23" s="884">
        <f t="shared" si="3"/>
        <v>3685.55</v>
      </c>
      <c r="AD23" s="884">
        <f t="shared" si="3"/>
        <v>3685.55</v>
      </c>
      <c r="AE23" s="884">
        <f t="shared" si="3"/>
        <v>3685.55</v>
      </c>
      <c r="AF23" s="884">
        <f t="shared" si="3"/>
        <v>3685.55</v>
      </c>
      <c r="AG23" s="884">
        <f t="shared" si="3"/>
        <v>3685.55</v>
      </c>
      <c r="AH23" s="884">
        <f t="shared" si="3"/>
        <v>3685.55</v>
      </c>
      <c r="AI23" s="884">
        <f t="shared" si="3"/>
        <v>3685.55</v>
      </c>
      <c r="AJ23" s="884">
        <f t="shared" si="3"/>
        <v>3685.55</v>
      </c>
      <c r="AK23" s="884">
        <f t="shared" si="3"/>
        <v>3685.55</v>
      </c>
      <c r="AL23" s="884">
        <f t="shared" si="3"/>
        <v>3685.55</v>
      </c>
      <c r="AM23" s="884">
        <f t="shared" si="3"/>
        <v>3685.55</v>
      </c>
      <c r="AN23" s="884">
        <f t="shared" si="3"/>
        <v>3685.55</v>
      </c>
      <c r="AO23" s="884">
        <f t="shared" si="3"/>
        <v>3685.55</v>
      </c>
      <c r="AP23" s="884">
        <f t="shared" si="3"/>
        <v>3685.55</v>
      </c>
      <c r="AQ23" s="884">
        <f t="shared" si="3"/>
        <v>3685.55</v>
      </c>
      <c r="AR23" s="884">
        <f t="shared" si="3"/>
        <v>3685.55</v>
      </c>
      <c r="AS23" s="884">
        <f t="shared" si="3"/>
        <v>3685.55</v>
      </c>
      <c r="AT23" s="884">
        <f t="shared" si="3"/>
        <v>3685.55</v>
      </c>
      <c r="AU23" s="884">
        <f t="shared" si="3"/>
        <v>3685.55</v>
      </c>
      <c r="AV23" s="884">
        <f t="shared" si="3"/>
        <v>3685.55</v>
      </c>
      <c r="AW23" s="884">
        <f t="shared" si="3"/>
        <v>3685.55</v>
      </c>
      <c r="AX23" s="884">
        <f t="shared" si="3"/>
        <v>3685.55</v>
      </c>
      <c r="AY23" s="884">
        <f t="shared" si="3"/>
        <v>3685.55</v>
      </c>
      <c r="AZ23" s="884">
        <f t="shared" si="3"/>
        <v>3685.55</v>
      </c>
      <c r="BA23" s="884">
        <f t="shared" si="3"/>
        <v>3685.55</v>
      </c>
      <c r="BB23" s="884">
        <f t="shared" si="3"/>
        <v>3685.55</v>
      </c>
      <c r="BC23" s="884">
        <f t="shared" si="3"/>
        <v>3685.55</v>
      </c>
      <c r="BD23" s="884">
        <f t="shared" si="3"/>
        <v>3685.55</v>
      </c>
      <c r="BE23" s="884">
        <f t="shared" si="3"/>
        <v>3685.55</v>
      </c>
      <c r="BF23" s="884">
        <f t="shared" si="3"/>
        <v>3685.55</v>
      </c>
      <c r="BG23" s="884">
        <f t="shared" si="3"/>
        <v>3685.55</v>
      </c>
      <c r="BH23" s="884">
        <f t="shared" si="3"/>
        <v>3685.55</v>
      </c>
      <c r="BI23" s="884">
        <f t="shared" si="3"/>
        <v>3685.55</v>
      </c>
      <c r="BJ23" s="884">
        <f t="shared" si="3"/>
        <v>3685.55</v>
      </c>
      <c r="BK23" s="884">
        <f t="shared" si="3"/>
        <v>3685.55</v>
      </c>
      <c r="BL23" s="884">
        <f t="shared" si="3"/>
        <v>3685.55</v>
      </c>
      <c r="BM23" s="884">
        <f t="shared" si="3"/>
        <v>3685.55</v>
      </c>
      <c r="BN23" s="884">
        <f t="shared" si="3"/>
        <v>3685.55</v>
      </c>
      <c r="BO23" s="884">
        <f t="shared" si="3"/>
        <v>3685.55</v>
      </c>
      <c r="BP23" s="884">
        <f t="shared" si="3"/>
        <v>3685.55</v>
      </c>
      <c r="BQ23" s="884">
        <f t="shared" si="3"/>
        <v>3685.55</v>
      </c>
      <c r="BR23" s="884">
        <f t="shared" si="3"/>
        <v>3685.55</v>
      </c>
      <c r="BS23" s="884">
        <f t="shared" si="3"/>
        <v>3685.55</v>
      </c>
      <c r="BT23" s="884">
        <f t="shared" ref="BT23:CM23" si="4">3685.55</f>
        <v>3685.55</v>
      </c>
      <c r="BU23" s="884">
        <f t="shared" si="4"/>
        <v>3685.55</v>
      </c>
      <c r="BV23" s="884">
        <f t="shared" si="4"/>
        <v>3685.55</v>
      </c>
      <c r="BW23" s="884">
        <f t="shared" si="4"/>
        <v>3685.55</v>
      </c>
      <c r="BX23" s="884">
        <f t="shared" si="4"/>
        <v>3685.55</v>
      </c>
      <c r="BY23" s="884">
        <f t="shared" si="4"/>
        <v>3685.55</v>
      </c>
      <c r="BZ23" s="884">
        <f t="shared" si="4"/>
        <v>3685.55</v>
      </c>
      <c r="CA23" s="884">
        <f t="shared" si="4"/>
        <v>3685.55</v>
      </c>
      <c r="CB23" s="884">
        <f t="shared" si="4"/>
        <v>3685.55</v>
      </c>
      <c r="CC23" s="884">
        <f t="shared" si="4"/>
        <v>3685.55</v>
      </c>
      <c r="CD23" s="884">
        <f t="shared" si="4"/>
        <v>3685.55</v>
      </c>
      <c r="CE23" s="884">
        <f t="shared" si="4"/>
        <v>3685.55</v>
      </c>
      <c r="CF23" s="884">
        <f t="shared" si="4"/>
        <v>3685.55</v>
      </c>
      <c r="CG23" s="884">
        <f t="shared" si="4"/>
        <v>3685.55</v>
      </c>
      <c r="CH23" s="884">
        <f t="shared" si="4"/>
        <v>3685.55</v>
      </c>
      <c r="CI23" s="884">
        <f t="shared" si="4"/>
        <v>3685.55</v>
      </c>
      <c r="CJ23" s="884">
        <f t="shared" si="4"/>
        <v>3685.55</v>
      </c>
      <c r="CK23" s="884">
        <f t="shared" si="4"/>
        <v>3685.55</v>
      </c>
      <c r="CL23" s="884">
        <f t="shared" si="4"/>
        <v>3685.55</v>
      </c>
      <c r="CM23" s="884">
        <f t="shared" si="4"/>
        <v>3685.55</v>
      </c>
      <c r="CN23" s="347"/>
      <c r="CO23" s="347"/>
      <c r="CP23" s="347"/>
      <c r="CQ23" s="347"/>
      <c r="CR23" s="347"/>
      <c r="CS23" s="347"/>
      <c r="CT23" s="347"/>
      <c r="CU23" s="347"/>
      <c r="CV23" s="347"/>
      <c r="CW23" s="347"/>
      <c r="CX23" s="347"/>
      <c r="CY23" s="347"/>
      <c r="CZ23" s="347"/>
      <c r="DA23" s="347"/>
      <c r="DB23" s="347"/>
      <c r="DC23" s="347"/>
      <c r="DD23" s="347"/>
      <c r="DE23" s="347"/>
      <c r="DF23" s="347"/>
      <c r="DG23" s="347"/>
      <c r="DH23" s="347"/>
      <c r="DI23" s="347"/>
      <c r="DJ23" s="347"/>
      <c r="DK23" s="347"/>
      <c r="DL23" s="347"/>
      <c r="DM23" s="347"/>
      <c r="DN23" s="347"/>
      <c r="DO23" s="347"/>
      <c r="DP23" s="347"/>
      <c r="DQ23" s="347"/>
      <c r="DR23" s="347"/>
      <c r="DS23" s="347"/>
      <c r="DT23" s="347"/>
      <c r="DU23" s="347"/>
      <c r="DV23" s="347"/>
      <c r="DW23" s="347"/>
      <c r="DX23" s="347"/>
      <c r="DY23" s="347"/>
      <c r="DZ23" s="347"/>
      <c r="EA23" s="347"/>
      <c r="EB23" s="347"/>
      <c r="EC23" s="347"/>
      <c r="ED23" s="347"/>
      <c r="EE23" s="347"/>
      <c r="EF23" s="347"/>
      <c r="EG23" s="347"/>
      <c r="EH23" s="347"/>
      <c r="EI23" s="347"/>
      <c r="EJ23" s="347"/>
      <c r="EK23" s="347"/>
      <c r="EL23" s="347"/>
      <c r="EM23" s="347"/>
      <c r="EN23" s="347"/>
      <c r="EO23" s="347"/>
      <c r="EP23" s="347"/>
      <c r="EQ23" s="347"/>
      <c r="ER23" s="347"/>
      <c r="ES23" s="347"/>
      <c r="ET23" s="347"/>
      <c r="EU23" s="347"/>
      <c r="EV23" s="347"/>
      <c r="EW23" s="347"/>
      <c r="EX23" s="347"/>
      <c r="EY23" s="347"/>
      <c r="EZ23" s="347"/>
      <c r="FA23" s="347"/>
      <c r="FB23" s="347"/>
      <c r="FC23" s="347"/>
      <c r="FD23" s="347"/>
      <c r="FE23" s="347"/>
      <c r="FF23" s="347"/>
      <c r="FG23" s="347"/>
      <c r="FH23" s="347"/>
      <c r="FI23" s="347"/>
      <c r="FJ23" s="347"/>
      <c r="FK23" s="347"/>
      <c r="FL23" s="347"/>
      <c r="FM23" s="347"/>
      <c r="FN23" s="347"/>
      <c r="FO23" s="347"/>
      <c r="FP23" s="347"/>
      <c r="FQ23" s="347"/>
      <c r="FR23" s="347"/>
      <c r="FS23" s="347"/>
      <c r="FT23" s="347"/>
      <c r="FU23" s="347"/>
      <c r="FV23" s="347"/>
    </row>
    <row r="24" spans="1:178">
      <c r="A24" s="1394" t="s">
        <v>404</v>
      </c>
      <c r="B24" s="811" t="s">
        <v>403</v>
      </c>
      <c r="C24" s="581" t="s">
        <v>402</v>
      </c>
      <c r="D24" s="581">
        <v>27.86</v>
      </c>
      <c r="E24" s="347"/>
      <c r="F24" s="885" t="s">
        <v>203</v>
      </c>
      <c r="G24" s="597">
        <f>$D$24*G17/1000</f>
        <v>2550.2811833333335</v>
      </c>
      <c r="H24" s="597">
        <f t="shared" ref="H24:BS24" si="5">$D$24*H17/1000</f>
        <v>2550.2811833333335</v>
      </c>
      <c r="I24" s="597">
        <f t="shared" si="5"/>
        <v>2550.2811833333335</v>
      </c>
      <c r="J24" s="597">
        <f t="shared" si="5"/>
        <v>2550.2811833333335</v>
      </c>
      <c r="K24" s="597">
        <f t="shared" si="5"/>
        <v>2550.2811833333335</v>
      </c>
      <c r="L24" s="597">
        <f t="shared" si="5"/>
        <v>2550.2811833333335</v>
      </c>
      <c r="M24" s="597">
        <f t="shared" si="5"/>
        <v>2550.2811833333335</v>
      </c>
      <c r="N24" s="597">
        <f t="shared" si="5"/>
        <v>2550.2811833333335</v>
      </c>
      <c r="O24" s="597">
        <f t="shared" si="5"/>
        <v>2550.2811833333335</v>
      </c>
      <c r="P24" s="597">
        <f t="shared" si="5"/>
        <v>2550.2811833333335</v>
      </c>
      <c r="Q24" s="597">
        <f t="shared" si="5"/>
        <v>2550.2811833333335</v>
      </c>
      <c r="R24" s="597">
        <f t="shared" si="5"/>
        <v>2550.2811833333335</v>
      </c>
      <c r="S24" s="597">
        <f t="shared" si="5"/>
        <v>2550.2811833333335</v>
      </c>
      <c r="T24" s="597">
        <f t="shared" si="5"/>
        <v>2550.2811833333335</v>
      </c>
      <c r="U24" s="597">
        <f t="shared" si="5"/>
        <v>2550.2811833333335</v>
      </c>
      <c r="V24" s="597">
        <f t="shared" si="5"/>
        <v>2550.2811833333335</v>
      </c>
      <c r="W24" s="597">
        <f t="shared" si="5"/>
        <v>2550.2811833333335</v>
      </c>
      <c r="X24" s="597">
        <f t="shared" si="5"/>
        <v>2550.2811833333335</v>
      </c>
      <c r="Y24" s="597">
        <f t="shared" si="5"/>
        <v>2550.2811833333335</v>
      </c>
      <c r="Z24" s="597">
        <f t="shared" si="5"/>
        <v>2550.2811833333335</v>
      </c>
      <c r="AA24" s="597">
        <f t="shared" si="5"/>
        <v>2550.2811833333335</v>
      </c>
      <c r="AB24" s="597">
        <f t="shared" si="5"/>
        <v>2550.2811833333335</v>
      </c>
      <c r="AC24" s="597">
        <f t="shared" si="5"/>
        <v>2550.2811833333335</v>
      </c>
      <c r="AD24" s="597">
        <f t="shared" si="5"/>
        <v>2550.2811833333335</v>
      </c>
      <c r="AE24" s="597">
        <f t="shared" si="5"/>
        <v>2550.2811833333335</v>
      </c>
      <c r="AF24" s="597">
        <f t="shared" si="5"/>
        <v>2550.2811833333335</v>
      </c>
      <c r="AG24" s="597">
        <f t="shared" si="5"/>
        <v>2550.2811833333335</v>
      </c>
      <c r="AH24" s="597">
        <f t="shared" si="5"/>
        <v>2550.2811833333335</v>
      </c>
      <c r="AI24" s="597">
        <f t="shared" si="5"/>
        <v>2550.2811833333335</v>
      </c>
      <c r="AJ24" s="597">
        <f t="shared" si="5"/>
        <v>2550.2811833333335</v>
      </c>
      <c r="AK24" s="597">
        <f t="shared" si="5"/>
        <v>2550.2811833333335</v>
      </c>
      <c r="AL24" s="597">
        <f t="shared" si="5"/>
        <v>2550.2811833333335</v>
      </c>
      <c r="AM24" s="597">
        <f t="shared" si="5"/>
        <v>2550.2811833333335</v>
      </c>
      <c r="AN24" s="597">
        <f t="shared" si="5"/>
        <v>2550.2811833333335</v>
      </c>
      <c r="AO24" s="597">
        <f t="shared" si="5"/>
        <v>2550.2811833333335</v>
      </c>
      <c r="AP24" s="597">
        <f t="shared" si="5"/>
        <v>2550.2811833333335</v>
      </c>
      <c r="AQ24" s="597">
        <f t="shared" si="5"/>
        <v>2550.2811833333335</v>
      </c>
      <c r="AR24" s="597">
        <f t="shared" si="5"/>
        <v>2550.2811833333335</v>
      </c>
      <c r="AS24" s="597">
        <f t="shared" si="5"/>
        <v>2550.2811833333335</v>
      </c>
      <c r="AT24" s="597">
        <f t="shared" si="5"/>
        <v>2550.2811833333335</v>
      </c>
      <c r="AU24" s="597">
        <f t="shared" si="5"/>
        <v>2550.2811833333335</v>
      </c>
      <c r="AV24" s="597">
        <f t="shared" si="5"/>
        <v>2550.2811833333335</v>
      </c>
      <c r="AW24" s="597">
        <f t="shared" si="5"/>
        <v>2550.2811833333335</v>
      </c>
      <c r="AX24" s="597">
        <f t="shared" si="5"/>
        <v>2550.2811833333335</v>
      </c>
      <c r="AY24" s="597">
        <f t="shared" si="5"/>
        <v>2550.2811833333335</v>
      </c>
      <c r="AZ24" s="597">
        <f t="shared" si="5"/>
        <v>2550.2811833333335</v>
      </c>
      <c r="BA24" s="597">
        <f t="shared" si="5"/>
        <v>2550.2811833333335</v>
      </c>
      <c r="BB24" s="597">
        <f t="shared" si="5"/>
        <v>2550.2811833333335</v>
      </c>
      <c r="BC24" s="597">
        <f t="shared" si="5"/>
        <v>2550.2811833333335</v>
      </c>
      <c r="BD24" s="597">
        <f t="shared" si="5"/>
        <v>2550.2811833333335</v>
      </c>
      <c r="BE24" s="597">
        <f t="shared" si="5"/>
        <v>2550.2811833333335</v>
      </c>
      <c r="BF24" s="597">
        <f t="shared" si="5"/>
        <v>2550.2811833333335</v>
      </c>
      <c r="BG24" s="597">
        <f t="shared" si="5"/>
        <v>2550.2811833333335</v>
      </c>
      <c r="BH24" s="597">
        <f t="shared" si="5"/>
        <v>2550.2811833333335</v>
      </c>
      <c r="BI24" s="597">
        <f t="shared" si="5"/>
        <v>2550.2811833333335</v>
      </c>
      <c r="BJ24" s="597">
        <f t="shared" si="5"/>
        <v>2550.2811833333335</v>
      </c>
      <c r="BK24" s="597">
        <f t="shared" si="5"/>
        <v>2550.2811833333335</v>
      </c>
      <c r="BL24" s="597">
        <f t="shared" si="5"/>
        <v>2550.2811833333335</v>
      </c>
      <c r="BM24" s="597">
        <f t="shared" si="5"/>
        <v>2550.2811833333335</v>
      </c>
      <c r="BN24" s="597">
        <f t="shared" si="5"/>
        <v>2550.2811833333335</v>
      </c>
      <c r="BO24" s="597">
        <f t="shared" si="5"/>
        <v>2550.2811833333335</v>
      </c>
      <c r="BP24" s="597">
        <f t="shared" si="5"/>
        <v>2550.2811833333335</v>
      </c>
      <c r="BQ24" s="597">
        <f t="shared" si="5"/>
        <v>2550.2811833333335</v>
      </c>
      <c r="BR24" s="597">
        <f t="shared" si="5"/>
        <v>2550.2811833333335</v>
      </c>
      <c r="BS24" s="597">
        <f t="shared" si="5"/>
        <v>2550.2811833333335</v>
      </c>
      <c r="BT24" s="597">
        <f t="shared" ref="BT24:CM24" si="6">$D$24*BT17/1000</f>
        <v>2550.2811833333335</v>
      </c>
      <c r="BU24" s="597">
        <f t="shared" si="6"/>
        <v>2550.2811833333335</v>
      </c>
      <c r="BV24" s="597">
        <f t="shared" si="6"/>
        <v>2550.2811833333335</v>
      </c>
      <c r="BW24" s="597">
        <f t="shared" si="6"/>
        <v>2550.2811833333335</v>
      </c>
      <c r="BX24" s="597">
        <f t="shared" si="6"/>
        <v>2550.2811833333335</v>
      </c>
      <c r="BY24" s="597">
        <f t="shared" si="6"/>
        <v>2550.2811833333335</v>
      </c>
      <c r="BZ24" s="597">
        <f t="shared" si="6"/>
        <v>2550.2811833333335</v>
      </c>
      <c r="CA24" s="597">
        <f t="shared" si="6"/>
        <v>2550.2811833333335</v>
      </c>
      <c r="CB24" s="597">
        <f t="shared" si="6"/>
        <v>2550.2811833333335</v>
      </c>
      <c r="CC24" s="597">
        <f t="shared" si="6"/>
        <v>2550.2811833333335</v>
      </c>
      <c r="CD24" s="597">
        <f t="shared" si="6"/>
        <v>2550.2811833333335</v>
      </c>
      <c r="CE24" s="597">
        <f t="shared" si="6"/>
        <v>2550.2811833333335</v>
      </c>
      <c r="CF24" s="597">
        <f t="shared" si="6"/>
        <v>2550.2811833333335</v>
      </c>
      <c r="CG24" s="597">
        <f t="shared" si="6"/>
        <v>2550.2811833333335</v>
      </c>
      <c r="CH24" s="597">
        <f t="shared" si="6"/>
        <v>2550.2811833333335</v>
      </c>
      <c r="CI24" s="597">
        <f t="shared" si="6"/>
        <v>2550.2811833333335</v>
      </c>
      <c r="CJ24" s="597">
        <f t="shared" si="6"/>
        <v>2550.2811833333335</v>
      </c>
      <c r="CK24" s="597">
        <f t="shared" si="6"/>
        <v>2550.2811833333335</v>
      </c>
      <c r="CL24" s="597">
        <f t="shared" si="6"/>
        <v>2550.2811833333335</v>
      </c>
      <c r="CM24" s="597">
        <f t="shared" si="6"/>
        <v>2550.2811833333335</v>
      </c>
      <c r="CN24" s="347"/>
      <c r="CO24" s="347"/>
      <c r="CP24" s="347"/>
      <c r="CQ24" s="347"/>
      <c r="CR24" s="347"/>
      <c r="CS24" s="347"/>
      <c r="CT24" s="347"/>
      <c r="CU24" s="347"/>
      <c r="CV24" s="347"/>
      <c r="CW24" s="347"/>
      <c r="CX24" s="347"/>
      <c r="CY24" s="347"/>
      <c r="CZ24" s="347"/>
      <c r="DA24" s="347"/>
      <c r="DB24" s="347"/>
      <c r="DC24" s="347"/>
      <c r="DD24" s="347"/>
      <c r="DE24" s="347"/>
      <c r="DF24" s="347"/>
      <c r="DG24" s="347"/>
      <c r="DH24" s="347"/>
      <c r="DI24" s="347"/>
      <c r="DJ24" s="347"/>
      <c r="DK24" s="347"/>
      <c r="DL24" s="347"/>
      <c r="DM24" s="347"/>
      <c r="DN24" s="347"/>
      <c r="DO24" s="347"/>
      <c r="DP24" s="347"/>
      <c r="DQ24" s="347"/>
      <c r="DR24" s="347"/>
      <c r="DS24" s="347"/>
      <c r="DT24" s="347"/>
      <c r="DU24" s="347"/>
      <c r="DV24" s="347"/>
      <c r="DW24" s="347"/>
      <c r="DX24" s="347"/>
      <c r="DY24" s="347"/>
      <c r="DZ24" s="347"/>
      <c r="EA24" s="347"/>
      <c r="EB24" s="347"/>
      <c r="EC24" s="347"/>
      <c r="ED24" s="347"/>
      <c r="EE24" s="347"/>
      <c r="EF24" s="347"/>
      <c r="EG24" s="347"/>
      <c r="EH24" s="347"/>
      <c r="EI24" s="347"/>
      <c r="EJ24" s="347"/>
      <c r="EK24" s="347"/>
      <c r="EL24" s="347"/>
      <c r="EM24" s="347"/>
      <c r="EN24" s="347"/>
      <c r="EO24" s="347"/>
      <c r="EP24" s="347"/>
      <c r="EQ24" s="347"/>
      <c r="ER24" s="347"/>
      <c r="ES24" s="347"/>
      <c r="ET24" s="347"/>
      <c r="EU24" s="347"/>
      <c r="EV24" s="347"/>
      <c r="EW24" s="347"/>
      <c r="EX24" s="347"/>
      <c r="EY24" s="347"/>
      <c r="EZ24" s="347"/>
      <c r="FA24" s="347"/>
      <c r="FB24" s="347"/>
      <c r="FC24" s="347"/>
      <c r="FD24" s="347"/>
      <c r="FE24" s="347"/>
      <c r="FF24" s="347"/>
      <c r="FG24" s="347"/>
      <c r="FH24" s="347"/>
      <c r="FI24" s="347"/>
      <c r="FJ24" s="347"/>
      <c r="FK24" s="347"/>
      <c r="FL24" s="347"/>
      <c r="FM24" s="347"/>
      <c r="FN24" s="347"/>
      <c r="FO24" s="347"/>
      <c r="FP24" s="347"/>
      <c r="FQ24" s="347"/>
      <c r="FR24" s="347"/>
      <c r="FS24" s="347"/>
      <c r="FT24" s="347"/>
      <c r="FU24" s="347"/>
      <c r="FV24" s="347"/>
    </row>
    <row r="25" spans="1:178">
      <c r="A25" s="1394"/>
      <c r="B25" s="811" t="s">
        <v>403</v>
      </c>
      <c r="C25" s="581" t="s">
        <v>402</v>
      </c>
      <c r="D25" s="581">
        <v>0.23</v>
      </c>
      <c r="E25" s="347"/>
      <c r="F25" s="885" t="s">
        <v>204</v>
      </c>
      <c r="G25" s="597">
        <f>$D$25*G14</f>
        <v>5194.166666666667</v>
      </c>
      <c r="H25" s="597">
        <f t="shared" ref="H25:BS25" si="7">$D$25*H14</f>
        <v>5194.166666666667</v>
      </c>
      <c r="I25" s="597">
        <f t="shared" si="7"/>
        <v>5194.166666666667</v>
      </c>
      <c r="J25" s="597">
        <f t="shared" si="7"/>
        <v>5194.166666666667</v>
      </c>
      <c r="K25" s="597">
        <f t="shared" si="7"/>
        <v>5194.166666666667</v>
      </c>
      <c r="L25" s="597">
        <f t="shared" si="7"/>
        <v>5194.166666666667</v>
      </c>
      <c r="M25" s="597">
        <f t="shared" si="7"/>
        <v>5194.166666666667</v>
      </c>
      <c r="N25" s="597">
        <f t="shared" si="7"/>
        <v>5194.166666666667</v>
      </c>
      <c r="O25" s="597">
        <f t="shared" si="7"/>
        <v>5194.166666666667</v>
      </c>
      <c r="P25" s="597">
        <f t="shared" si="7"/>
        <v>5194.166666666667</v>
      </c>
      <c r="Q25" s="597">
        <f t="shared" si="7"/>
        <v>5194.166666666667</v>
      </c>
      <c r="R25" s="597">
        <f t="shared" si="7"/>
        <v>5194.166666666667</v>
      </c>
      <c r="S25" s="597">
        <f t="shared" si="7"/>
        <v>5194.166666666667</v>
      </c>
      <c r="T25" s="597">
        <f t="shared" si="7"/>
        <v>5194.166666666667</v>
      </c>
      <c r="U25" s="597">
        <f t="shared" si="7"/>
        <v>5194.166666666667</v>
      </c>
      <c r="V25" s="597">
        <f t="shared" si="7"/>
        <v>5194.166666666667</v>
      </c>
      <c r="W25" s="597">
        <f t="shared" si="7"/>
        <v>5194.166666666667</v>
      </c>
      <c r="X25" s="597">
        <f t="shared" si="7"/>
        <v>5194.166666666667</v>
      </c>
      <c r="Y25" s="597">
        <f t="shared" si="7"/>
        <v>5194.166666666667</v>
      </c>
      <c r="Z25" s="597">
        <f t="shared" si="7"/>
        <v>5194.166666666667</v>
      </c>
      <c r="AA25" s="597">
        <f t="shared" si="7"/>
        <v>5194.166666666667</v>
      </c>
      <c r="AB25" s="597">
        <f t="shared" si="7"/>
        <v>5194.166666666667</v>
      </c>
      <c r="AC25" s="597">
        <f t="shared" si="7"/>
        <v>5194.166666666667</v>
      </c>
      <c r="AD25" s="597">
        <f t="shared" si="7"/>
        <v>5194.166666666667</v>
      </c>
      <c r="AE25" s="597">
        <f t="shared" si="7"/>
        <v>5194.166666666667</v>
      </c>
      <c r="AF25" s="597">
        <f t="shared" si="7"/>
        <v>5194.166666666667</v>
      </c>
      <c r="AG25" s="597">
        <f t="shared" si="7"/>
        <v>5194.166666666667</v>
      </c>
      <c r="AH25" s="597">
        <f t="shared" si="7"/>
        <v>5194.166666666667</v>
      </c>
      <c r="AI25" s="597">
        <f t="shared" si="7"/>
        <v>5194.166666666667</v>
      </c>
      <c r="AJ25" s="597">
        <f t="shared" si="7"/>
        <v>5194.166666666667</v>
      </c>
      <c r="AK25" s="597">
        <f t="shared" si="7"/>
        <v>5194.166666666667</v>
      </c>
      <c r="AL25" s="597">
        <f t="shared" si="7"/>
        <v>5194.166666666667</v>
      </c>
      <c r="AM25" s="597">
        <f t="shared" si="7"/>
        <v>5194.166666666667</v>
      </c>
      <c r="AN25" s="597">
        <f t="shared" si="7"/>
        <v>5194.166666666667</v>
      </c>
      <c r="AO25" s="597">
        <f t="shared" si="7"/>
        <v>5194.166666666667</v>
      </c>
      <c r="AP25" s="597">
        <f t="shared" si="7"/>
        <v>5194.166666666667</v>
      </c>
      <c r="AQ25" s="597">
        <f t="shared" si="7"/>
        <v>5194.166666666667</v>
      </c>
      <c r="AR25" s="597">
        <f t="shared" si="7"/>
        <v>5194.166666666667</v>
      </c>
      <c r="AS25" s="597">
        <f t="shared" si="7"/>
        <v>5194.166666666667</v>
      </c>
      <c r="AT25" s="597">
        <f t="shared" si="7"/>
        <v>5194.166666666667</v>
      </c>
      <c r="AU25" s="597">
        <f t="shared" si="7"/>
        <v>5194.166666666667</v>
      </c>
      <c r="AV25" s="597">
        <f t="shared" si="7"/>
        <v>5194.166666666667</v>
      </c>
      <c r="AW25" s="597">
        <f t="shared" si="7"/>
        <v>5194.166666666667</v>
      </c>
      <c r="AX25" s="597">
        <f t="shared" si="7"/>
        <v>5194.166666666667</v>
      </c>
      <c r="AY25" s="597">
        <f t="shared" si="7"/>
        <v>5194.166666666667</v>
      </c>
      <c r="AZ25" s="597">
        <f t="shared" si="7"/>
        <v>5194.166666666667</v>
      </c>
      <c r="BA25" s="597">
        <f t="shared" si="7"/>
        <v>5194.166666666667</v>
      </c>
      <c r="BB25" s="597">
        <f t="shared" si="7"/>
        <v>5194.166666666667</v>
      </c>
      <c r="BC25" s="597">
        <f t="shared" si="7"/>
        <v>5194.166666666667</v>
      </c>
      <c r="BD25" s="597">
        <f t="shared" si="7"/>
        <v>5194.166666666667</v>
      </c>
      <c r="BE25" s="597">
        <f t="shared" si="7"/>
        <v>5194.166666666667</v>
      </c>
      <c r="BF25" s="597">
        <f t="shared" si="7"/>
        <v>5194.166666666667</v>
      </c>
      <c r="BG25" s="597">
        <f t="shared" si="7"/>
        <v>5194.166666666667</v>
      </c>
      <c r="BH25" s="597">
        <f t="shared" si="7"/>
        <v>5194.166666666667</v>
      </c>
      <c r="BI25" s="597">
        <f t="shared" si="7"/>
        <v>5194.166666666667</v>
      </c>
      <c r="BJ25" s="597">
        <f t="shared" si="7"/>
        <v>5194.166666666667</v>
      </c>
      <c r="BK25" s="597">
        <f t="shared" si="7"/>
        <v>5194.166666666667</v>
      </c>
      <c r="BL25" s="597">
        <f t="shared" si="7"/>
        <v>5194.166666666667</v>
      </c>
      <c r="BM25" s="597">
        <f t="shared" si="7"/>
        <v>5194.166666666667</v>
      </c>
      <c r="BN25" s="597">
        <f t="shared" si="7"/>
        <v>5194.166666666667</v>
      </c>
      <c r="BO25" s="597">
        <f t="shared" si="7"/>
        <v>5194.166666666667</v>
      </c>
      <c r="BP25" s="597">
        <f t="shared" si="7"/>
        <v>5194.166666666667</v>
      </c>
      <c r="BQ25" s="597">
        <f t="shared" si="7"/>
        <v>5194.166666666667</v>
      </c>
      <c r="BR25" s="597">
        <f t="shared" si="7"/>
        <v>5194.166666666667</v>
      </c>
      <c r="BS25" s="597">
        <f t="shared" si="7"/>
        <v>5194.166666666667</v>
      </c>
      <c r="BT25" s="597">
        <f t="shared" ref="BT25:CM25" si="8">$D$25*BT14</f>
        <v>5194.166666666667</v>
      </c>
      <c r="BU25" s="597">
        <f t="shared" si="8"/>
        <v>5194.166666666667</v>
      </c>
      <c r="BV25" s="597">
        <f t="shared" si="8"/>
        <v>5194.166666666667</v>
      </c>
      <c r="BW25" s="597">
        <f t="shared" si="8"/>
        <v>5194.166666666667</v>
      </c>
      <c r="BX25" s="597">
        <f t="shared" si="8"/>
        <v>5194.166666666667</v>
      </c>
      <c r="BY25" s="597">
        <f t="shared" si="8"/>
        <v>5194.166666666667</v>
      </c>
      <c r="BZ25" s="597">
        <f t="shared" si="8"/>
        <v>5194.166666666667</v>
      </c>
      <c r="CA25" s="597">
        <f t="shared" si="8"/>
        <v>5194.166666666667</v>
      </c>
      <c r="CB25" s="597">
        <f t="shared" si="8"/>
        <v>5194.166666666667</v>
      </c>
      <c r="CC25" s="597">
        <f t="shared" si="8"/>
        <v>5194.166666666667</v>
      </c>
      <c r="CD25" s="597">
        <f t="shared" si="8"/>
        <v>5194.166666666667</v>
      </c>
      <c r="CE25" s="597">
        <f t="shared" si="8"/>
        <v>5194.166666666667</v>
      </c>
      <c r="CF25" s="597">
        <f t="shared" si="8"/>
        <v>5194.166666666667</v>
      </c>
      <c r="CG25" s="597">
        <f t="shared" si="8"/>
        <v>5194.166666666667</v>
      </c>
      <c r="CH25" s="597">
        <f t="shared" si="8"/>
        <v>5194.166666666667</v>
      </c>
      <c r="CI25" s="597">
        <f t="shared" si="8"/>
        <v>5194.166666666667</v>
      </c>
      <c r="CJ25" s="597">
        <f t="shared" si="8"/>
        <v>5194.166666666667</v>
      </c>
      <c r="CK25" s="597">
        <f t="shared" si="8"/>
        <v>5194.166666666667</v>
      </c>
      <c r="CL25" s="597">
        <f t="shared" si="8"/>
        <v>5194.166666666667</v>
      </c>
      <c r="CM25" s="597">
        <f t="shared" si="8"/>
        <v>5194.166666666667</v>
      </c>
      <c r="CN25" s="347"/>
      <c r="CO25" s="347"/>
      <c r="CP25" s="347"/>
      <c r="CQ25" s="347"/>
      <c r="CR25" s="347"/>
      <c r="CS25" s="347"/>
      <c r="CT25" s="347"/>
      <c r="CU25" s="347"/>
      <c r="CV25" s="347"/>
      <c r="CW25" s="347"/>
      <c r="CX25" s="347"/>
      <c r="CY25" s="347"/>
      <c r="CZ25" s="347"/>
      <c r="DA25" s="347"/>
      <c r="DB25" s="347"/>
      <c r="DC25" s="347"/>
      <c r="DD25" s="347"/>
      <c r="DE25" s="347"/>
      <c r="DF25" s="347"/>
      <c r="DG25" s="347"/>
      <c r="DH25" s="347"/>
      <c r="DI25" s="347"/>
      <c r="DJ25" s="347"/>
      <c r="DK25" s="347"/>
      <c r="DL25" s="347"/>
      <c r="DM25" s="347"/>
      <c r="DN25" s="347"/>
      <c r="DO25" s="347"/>
      <c r="DP25" s="347"/>
      <c r="DQ25" s="347"/>
      <c r="DR25" s="347"/>
      <c r="DS25" s="347"/>
      <c r="DT25" s="347"/>
      <c r="DU25" s="347"/>
      <c r="DV25" s="347"/>
      <c r="DW25" s="347"/>
      <c r="DX25" s="347"/>
      <c r="DY25" s="347"/>
      <c r="DZ25" s="347"/>
      <c r="EA25" s="347"/>
      <c r="EB25" s="347"/>
      <c r="EC25" s="347"/>
      <c r="ED25" s="347"/>
      <c r="EE25" s="347"/>
      <c r="EF25" s="347"/>
      <c r="EG25" s="347"/>
      <c r="EH25" s="347"/>
      <c r="EI25" s="347"/>
      <c r="EJ25" s="347"/>
      <c r="EK25" s="347"/>
      <c r="EL25" s="347"/>
      <c r="EM25" s="347"/>
      <c r="EN25" s="347"/>
      <c r="EO25" s="347"/>
      <c r="EP25" s="347"/>
      <c r="EQ25" s="347"/>
      <c r="ER25" s="347"/>
      <c r="ES25" s="347"/>
      <c r="ET25" s="347"/>
      <c r="EU25" s="347"/>
      <c r="EV25" s="347"/>
      <c r="EW25" s="347"/>
      <c r="EX25" s="347"/>
      <c r="EY25" s="347"/>
      <c r="EZ25" s="347"/>
      <c r="FA25" s="347"/>
      <c r="FB25" s="347"/>
      <c r="FC25" s="347"/>
      <c r="FD25" s="347"/>
      <c r="FE25" s="347"/>
      <c r="FF25" s="347"/>
      <c r="FG25" s="347"/>
      <c r="FH25" s="347"/>
      <c r="FI25" s="347"/>
      <c r="FJ25" s="347"/>
      <c r="FK25" s="347"/>
      <c r="FL25" s="347"/>
      <c r="FM25" s="347"/>
      <c r="FN25" s="347"/>
      <c r="FO25" s="347"/>
      <c r="FP25" s="347"/>
      <c r="FQ25" s="347"/>
      <c r="FR25" s="347"/>
      <c r="FS25" s="347"/>
      <c r="FT25" s="347"/>
      <c r="FU25" s="347"/>
      <c r="FV25" s="347"/>
    </row>
    <row r="26" spans="1:178">
      <c r="A26" s="1394"/>
      <c r="B26" s="811" t="s">
        <v>403</v>
      </c>
      <c r="C26" s="581" t="s">
        <v>402</v>
      </c>
      <c r="D26" s="581">
        <v>0.26500000000000001</v>
      </c>
      <c r="E26" s="347"/>
      <c r="F26" s="885" t="s">
        <v>205</v>
      </c>
      <c r="G26" s="597">
        <f>$D$26*G15</f>
        <v>3687.9166666666665</v>
      </c>
      <c r="H26" s="597">
        <f t="shared" ref="H26:BS26" si="9">$D$26*H15</f>
        <v>3687.9166666666665</v>
      </c>
      <c r="I26" s="597">
        <f t="shared" si="9"/>
        <v>3687.9166666666665</v>
      </c>
      <c r="J26" s="597">
        <f t="shared" si="9"/>
        <v>3687.9166666666665</v>
      </c>
      <c r="K26" s="597">
        <f t="shared" si="9"/>
        <v>3687.9166666666665</v>
      </c>
      <c r="L26" s="597">
        <f t="shared" si="9"/>
        <v>3687.9166666666665</v>
      </c>
      <c r="M26" s="597">
        <f t="shared" si="9"/>
        <v>3687.9166666666665</v>
      </c>
      <c r="N26" s="597">
        <f t="shared" si="9"/>
        <v>3687.9166666666665</v>
      </c>
      <c r="O26" s="597">
        <f t="shared" si="9"/>
        <v>3687.9166666666665</v>
      </c>
      <c r="P26" s="597">
        <f t="shared" si="9"/>
        <v>3687.9166666666665</v>
      </c>
      <c r="Q26" s="597">
        <f t="shared" si="9"/>
        <v>3687.9166666666665</v>
      </c>
      <c r="R26" s="597">
        <f t="shared" si="9"/>
        <v>3687.9166666666665</v>
      </c>
      <c r="S26" s="597">
        <f t="shared" si="9"/>
        <v>3687.9166666666665</v>
      </c>
      <c r="T26" s="597">
        <f t="shared" si="9"/>
        <v>3687.9166666666665</v>
      </c>
      <c r="U26" s="597">
        <f t="shared" si="9"/>
        <v>3687.9166666666665</v>
      </c>
      <c r="V26" s="597">
        <f t="shared" si="9"/>
        <v>3687.9166666666665</v>
      </c>
      <c r="W26" s="597">
        <f t="shared" si="9"/>
        <v>3687.9166666666665</v>
      </c>
      <c r="X26" s="597">
        <f t="shared" si="9"/>
        <v>3687.9166666666665</v>
      </c>
      <c r="Y26" s="597">
        <f t="shared" si="9"/>
        <v>3687.9166666666665</v>
      </c>
      <c r="Z26" s="597">
        <f t="shared" si="9"/>
        <v>3687.9166666666665</v>
      </c>
      <c r="AA26" s="597">
        <f t="shared" si="9"/>
        <v>3687.9166666666665</v>
      </c>
      <c r="AB26" s="597">
        <f t="shared" si="9"/>
        <v>3687.9166666666665</v>
      </c>
      <c r="AC26" s="597">
        <f t="shared" si="9"/>
        <v>3687.9166666666665</v>
      </c>
      <c r="AD26" s="597">
        <f t="shared" si="9"/>
        <v>3687.9166666666665</v>
      </c>
      <c r="AE26" s="597">
        <f t="shared" si="9"/>
        <v>3687.9166666666665</v>
      </c>
      <c r="AF26" s="597">
        <f t="shared" si="9"/>
        <v>3687.9166666666665</v>
      </c>
      <c r="AG26" s="597">
        <f t="shared" si="9"/>
        <v>3687.9166666666665</v>
      </c>
      <c r="AH26" s="597">
        <f t="shared" si="9"/>
        <v>3687.9166666666665</v>
      </c>
      <c r="AI26" s="597">
        <f t="shared" si="9"/>
        <v>3687.9166666666665</v>
      </c>
      <c r="AJ26" s="597">
        <f t="shared" si="9"/>
        <v>3687.9166666666665</v>
      </c>
      <c r="AK26" s="597">
        <f t="shared" si="9"/>
        <v>3687.9166666666665</v>
      </c>
      <c r="AL26" s="597">
        <f t="shared" si="9"/>
        <v>3687.9166666666665</v>
      </c>
      <c r="AM26" s="597">
        <f t="shared" si="9"/>
        <v>3687.9166666666665</v>
      </c>
      <c r="AN26" s="597">
        <f t="shared" si="9"/>
        <v>3687.9166666666665</v>
      </c>
      <c r="AO26" s="597">
        <f t="shared" si="9"/>
        <v>3687.9166666666665</v>
      </c>
      <c r="AP26" s="597">
        <f t="shared" si="9"/>
        <v>3687.9166666666665</v>
      </c>
      <c r="AQ26" s="597">
        <f t="shared" si="9"/>
        <v>3687.9166666666665</v>
      </c>
      <c r="AR26" s="597">
        <f t="shared" si="9"/>
        <v>3687.9166666666665</v>
      </c>
      <c r="AS26" s="597">
        <f t="shared" si="9"/>
        <v>3687.9166666666665</v>
      </c>
      <c r="AT26" s="597">
        <f t="shared" si="9"/>
        <v>3687.9166666666665</v>
      </c>
      <c r="AU26" s="597">
        <f t="shared" si="9"/>
        <v>3687.9166666666665</v>
      </c>
      <c r="AV26" s="597">
        <f t="shared" si="9"/>
        <v>3687.9166666666665</v>
      </c>
      <c r="AW26" s="597">
        <f t="shared" si="9"/>
        <v>3687.9166666666665</v>
      </c>
      <c r="AX26" s="597">
        <f t="shared" si="9"/>
        <v>3687.9166666666665</v>
      </c>
      <c r="AY26" s="597">
        <f t="shared" si="9"/>
        <v>3687.9166666666665</v>
      </c>
      <c r="AZ26" s="597">
        <f t="shared" si="9"/>
        <v>3687.9166666666665</v>
      </c>
      <c r="BA26" s="597">
        <f t="shared" si="9"/>
        <v>3687.9166666666665</v>
      </c>
      <c r="BB26" s="597">
        <f t="shared" si="9"/>
        <v>3687.9166666666665</v>
      </c>
      <c r="BC26" s="597">
        <f t="shared" si="9"/>
        <v>3687.9166666666665</v>
      </c>
      <c r="BD26" s="597">
        <f t="shared" si="9"/>
        <v>3687.9166666666665</v>
      </c>
      <c r="BE26" s="597">
        <f t="shared" si="9"/>
        <v>3687.9166666666665</v>
      </c>
      <c r="BF26" s="597">
        <f t="shared" si="9"/>
        <v>3687.9166666666665</v>
      </c>
      <c r="BG26" s="597">
        <f t="shared" si="9"/>
        <v>3687.9166666666665</v>
      </c>
      <c r="BH26" s="597">
        <f t="shared" si="9"/>
        <v>3687.9166666666665</v>
      </c>
      <c r="BI26" s="597">
        <f t="shared" si="9"/>
        <v>3687.9166666666665</v>
      </c>
      <c r="BJ26" s="597">
        <f t="shared" si="9"/>
        <v>3687.9166666666665</v>
      </c>
      <c r="BK26" s="597">
        <f t="shared" si="9"/>
        <v>3687.9166666666665</v>
      </c>
      <c r="BL26" s="597">
        <f t="shared" si="9"/>
        <v>3687.9166666666665</v>
      </c>
      <c r="BM26" s="597">
        <f t="shared" si="9"/>
        <v>3687.9166666666665</v>
      </c>
      <c r="BN26" s="597">
        <f t="shared" si="9"/>
        <v>3687.9166666666665</v>
      </c>
      <c r="BO26" s="597">
        <f t="shared" si="9"/>
        <v>3687.9166666666665</v>
      </c>
      <c r="BP26" s="597">
        <f t="shared" si="9"/>
        <v>3687.9166666666665</v>
      </c>
      <c r="BQ26" s="597">
        <f t="shared" si="9"/>
        <v>3687.9166666666665</v>
      </c>
      <c r="BR26" s="597">
        <f t="shared" si="9"/>
        <v>3687.9166666666665</v>
      </c>
      <c r="BS26" s="597">
        <f t="shared" si="9"/>
        <v>3687.9166666666665</v>
      </c>
      <c r="BT26" s="597">
        <f t="shared" ref="BT26:CM26" si="10">$D$26*BT15</f>
        <v>3687.9166666666665</v>
      </c>
      <c r="BU26" s="597">
        <f t="shared" si="10"/>
        <v>3687.9166666666665</v>
      </c>
      <c r="BV26" s="597">
        <f t="shared" si="10"/>
        <v>3687.9166666666665</v>
      </c>
      <c r="BW26" s="597">
        <f t="shared" si="10"/>
        <v>3687.9166666666665</v>
      </c>
      <c r="BX26" s="597">
        <f t="shared" si="10"/>
        <v>3687.9166666666665</v>
      </c>
      <c r="BY26" s="597">
        <f t="shared" si="10"/>
        <v>3687.9166666666665</v>
      </c>
      <c r="BZ26" s="597">
        <f t="shared" si="10"/>
        <v>3687.9166666666665</v>
      </c>
      <c r="CA26" s="597">
        <f t="shared" si="10"/>
        <v>3687.9166666666665</v>
      </c>
      <c r="CB26" s="597">
        <f t="shared" si="10"/>
        <v>3687.9166666666665</v>
      </c>
      <c r="CC26" s="597">
        <f t="shared" si="10"/>
        <v>3687.9166666666665</v>
      </c>
      <c r="CD26" s="597">
        <f t="shared" si="10"/>
        <v>3687.9166666666665</v>
      </c>
      <c r="CE26" s="597">
        <f t="shared" si="10"/>
        <v>3687.9166666666665</v>
      </c>
      <c r="CF26" s="597">
        <f t="shared" si="10"/>
        <v>3687.9166666666665</v>
      </c>
      <c r="CG26" s="597">
        <f t="shared" si="10"/>
        <v>3687.9166666666665</v>
      </c>
      <c r="CH26" s="597">
        <f t="shared" si="10"/>
        <v>3687.9166666666665</v>
      </c>
      <c r="CI26" s="597">
        <f t="shared" si="10"/>
        <v>3687.9166666666665</v>
      </c>
      <c r="CJ26" s="597">
        <f t="shared" si="10"/>
        <v>3687.9166666666665</v>
      </c>
      <c r="CK26" s="597">
        <f t="shared" si="10"/>
        <v>3687.9166666666665</v>
      </c>
      <c r="CL26" s="597">
        <f t="shared" si="10"/>
        <v>3687.9166666666665</v>
      </c>
      <c r="CM26" s="597">
        <f t="shared" si="10"/>
        <v>3687.9166666666665</v>
      </c>
      <c r="CN26" s="347"/>
      <c r="CO26" s="347"/>
      <c r="CP26" s="347"/>
      <c r="CQ26" s="347"/>
      <c r="CR26" s="347"/>
      <c r="CS26" s="347"/>
      <c r="CT26" s="347"/>
      <c r="CU26" s="347"/>
      <c r="CV26" s="347"/>
      <c r="CW26" s="347"/>
      <c r="CX26" s="347"/>
      <c r="CY26" s="347"/>
      <c r="CZ26" s="347"/>
      <c r="DA26" s="347"/>
      <c r="DB26" s="347"/>
      <c r="DC26" s="347"/>
      <c r="DD26" s="347"/>
      <c r="DE26" s="347"/>
      <c r="DF26" s="347"/>
      <c r="DG26" s="347"/>
      <c r="DH26" s="347"/>
      <c r="DI26" s="347"/>
      <c r="DJ26" s="347"/>
      <c r="DK26" s="347"/>
      <c r="DL26" s="347"/>
      <c r="DM26" s="347"/>
      <c r="DN26" s="347"/>
      <c r="DO26" s="347"/>
      <c r="DP26" s="347"/>
      <c r="DQ26" s="347"/>
      <c r="DR26" s="347"/>
      <c r="DS26" s="347"/>
      <c r="DT26" s="347"/>
      <c r="DU26" s="347"/>
      <c r="DV26" s="347"/>
      <c r="DW26" s="347"/>
      <c r="DX26" s="347"/>
      <c r="DY26" s="347"/>
      <c r="DZ26" s="347"/>
      <c r="EA26" s="347"/>
      <c r="EB26" s="347"/>
      <c r="EC26" s="347"/>
      <c r="ED26" s="347"/>
      <c r="EE26" s="347"/>
      <c r="EF26" s="347"/>
      <c r="EG26" s="347"/>
      <c r="EH26" s="347"/>
      <c r="EI26" s="347"/>
      <c r="EJ26" s="347"/>
      <c r="EK26" s="347"/>
      <c r="EL26" s="347"/>
      <c r="EM26" s="347"/>
      <c r="EN26" s="347"/>
      <c r="EO26" s="347"/>
      <c r="EP26" s="347"/>
      <c r="EQ26" s="347"/>
      <c r="ER26" s="347"/>
      <c r="ES26" s="347"/>
      <c r="ET26" s="347"/>
      <c r="EU26" s="347"/>
      <c r="EV26" s="347"/>
      <c r="EW26" s="347"/>
      <c r="EX26" s="347"/>
      <c r="EY26" s="347"/>
      <c r="EZ26" s="347"/>
      <c r="FA26" s="347"/>
      <c r="FB26" s="347"/>
      <c r="FC26" s="347"/>
      <c r="FD26" s="347"/>
      <c r="FE26" s="347"/>
      <c r="FF26" s="347"/>
      <c r="FG26" s="347"/>
      <c r="FH26" s="347"/>
      <c r="FI26" s="347"/>
      <c r="FJ26" s="347"/>
      <c r="FK26" s="347"/>
      <c r="FL26" s="347"/>
      <c r="FM26" s="347"/>
      <c r="FN26" s="347"/>
      <c r="FO26" s="347"/>
      <c r="FP26" s="347"/>
      <c r="FQ26" s="347"/>
      <c r="FR26" s="347"/>
      <c r="FS26" s="347"/>
      <c r="FT26" s="347"/>
      <c r="FU26" s="347"/>
      <c r="FV26" s="347"/>
    </row>
    <row r="27" spans="1:178">
      <c r="A27" s="1394"/>
      <c r="B27" s="811" t="s">
        <v>403</v>
      </c>
      <c r="C27" s="581" t="s">
        <v>402</v>
      </c>
      <c r="D27" s="581">
        <v>0.18049999999999999</v>
      </c>
      <c r="E27" s="347"/>
      <c r="F27" s="885" t="s">
        <v>206</v>
      </c>
      <c r="G27" s="597">
        <f>$D$27*G16</f>
        <v>22562.5</v>
      </c>
      <c r="H27" s="597">
        <f t="shared" ref="H27:BS27" si="11">$D$27*H16</f>
        <v>22562.5</v>
      </c>
      <c r="I27" s="597">
        <f t="shared" si="11"/>
        <v>22562.5</v>
      </c>
      <c r="J27" s="597">
        <f t="shared" si="11"/>
        <v>22562.5</v>
      </c>
      <c r="K27" s="597">
        <f t="shared" si="11"/>
        <v>22562.5</v>
      </c>
      <c r="L27" s="597">
        <f t="shared" si="11"/>
        <v>22562.5</v>
      </c>
      <c r="M27" s="597">
        <f t="shared" si="11"/>
        <v>22562.5</v>
      </c>
      <c r="N27" s="597">
        <f t="shared" si="11"/>
        <v>22562.5</v>
      </c>
      <c r="O27" s="597">
        <f t="shared" si="11"/>
        <v>22562.5</v>
      </c>
      <c r="P27" s="597">
        <f t="shared" si="11"/>
        <v>22562.5</v>
      </c>
      <c r="Q27" s="597">
        <f t="shared" si="11"/>
        <v>22562.5</v>
      </c>
      <c r="R27" s="597">
        <f t="shared" si="11"/>
        <v>22562.5</v>
      </c>
      <c r="S27" s="597">
        <f t="shared" si="11"/>
        <v>22562.5</v>
      </c>
      <c r="T27" s="597">
        <f t="shared" si="11"/>
        <v>22562.5</v>
      </c>
      <c r="U27" s="597">
        <f t="shared" si="11"/>
        <v>22562.5</v>
      </c>
      <c r="V27" s="597">
        <f t="shared" si="11"/>
        <v>22562.5</v>
      </c>
      <c r="W27" s="597">
        <f t="shared" si="11"/>
        <v>22562.5</v>
      </c>
      <c r="X27" s="597">
        <f t="shared" si="11"/>
        <v>22562.5</v>
      </c>
      <c r="Y27" s="597">
        <f t="shared" si="11"/>
        <v>22562.5</v>
      </c>
      <c r="Z27" s="597">
        <f t="shared" si="11"/>
        <v>22562.5</v>
      </c>
      <c r="AA27" s="597">
        <f t="shared" si="11"/>
        <v>22562.5</v>
      </c>
      <c r="AB27" s="597">
        <f t="shared" si="11"/>
        <v>22562.5</v>
      </c>
      <c r="AC27" s="597">
        <f t="shared" si="11"/>
        <v>22562.5</v>
      </c>
      <c r="AD27" s="597">
        <f t="shared" si="11"/>
        <v>22562.5</v>
      </c>
      <c r="AE27" s="597">
        <f t="shared" si="11"/>
        <v>22562.5</v>
      </c>
      <c r="AF27" s="597">
        <f t="shared" si="11"/>
        <v>22562.5</v>
      </c>
      <c r="AG27" s="597">
        <f t="shared" si="11"/>
        <v>22562.5</v>
      </c>
      <c r="AH27" s="597">
        <f t="shared" si="11"/>
        <v>22562.5</v>
      </c>
      <c r="AI27" s="597">
        <f t="shared" si="11"/>
        <v>22562.5</v>
      </c>
      <c r="AJ27" s="597">
        <f t="shared" si="11"/>
        <v>22562.5</v>
      </c>
      <c r="AK27" s="597">
        <f t="shared" si="11"/>
        <v>22562.5</v>
      </c>
      <c r="AL27" s="597">
        <f t="shared" si="11"/>
        <v>22562.5</v>
      </c>
      <c r="AM27" s="597">
        <f t="shared" si="11"/>
        <v>22562.5</v>
      </c>
      <c r="AN27" s="597">
        <f t="shared" si="11"/>
        <v>22562.5</v>
      </c>
      <c r="AO27" s="597">
        <f t="shared" si="11"/>
        <v>22562.5</v>
      </c>
      <c r="AP27" s="597">
        <f t="shared" si="11"/>
        <v>22562.5</v>
      </c>
      <c r="AQ27" s="597">
        <f t="shared" si="11"/>
        <v>22562.5</v>
      </c>
      <c r="AR27" s="597">
        <f t="shared" si="11"/>
        <v>22562.5</v>
      </c>
      <c r="AS27" s="597">
        <f t="shared" si="11"/>
        <v>22562.5</v>
      </c>
      <c r="AT27" s="597">
        <f t="shared" si="11"/>
        <v>22562.5</v>
      </c>
      <c r="AU27" s="597">
        <f t="shared" si="11"/>
        <v>22562.5</v>
      </c>
      <c r="AV27" s="597">
        <f t="shared" si="11"/>
        <v>22562.5</v>
      </c>
      <c r="AW27" s="597">
        <f t="shared" si="11"/>
        <v>22562.5</v>
      </c>
      <c r="AX27" s="597">
        <f t="shared" si="11"/>
        <v>22562.5</v>
      </c>
      <c r="AY27" s="597">
        <f t="shared" si="11"/>
        <v>22562.5</v>
      </c>
      <c r="AZ27" s="597">
        <f t="shared" si="11"/>
        <v>22562.5</v>
      </c>
      <c r="BA27" s="597">
        <f t="shared" si="11"/>
        <v>22562.5</v>
      </c>
      <c r="BB27" s="597">
        <f t="shared" si="11"/>
        <v>22562.5</v>
      </c>
      <c r="BC27" s="597">
        <f t="shared" si="11"/>
        <v>22562.5</v>
      </c>
      <c r="BD27" s="597">
        <f t="shared" si="11"/>
        <v>22562.5</v>
      </c>
      <c r="BE27" s="597">
        <f t="shared" si="11"/>
        <v>22562.5</v>
      </c>
      <c r="BF27" s="597">
        <f t="shared" si="11"/>
        <v>22562.5</v>
      </c>
      <c r="BG27" s="597">
        <f t="shared" si="11"/>
        <v>22562.5</v>
      </c>
      <c r="BH27" s="597">
        <f t="shared" si="11"/>
        <v>22562.5</v>
      </c>
      <c r="BI27" s="597">
        <f t="shared" si="11"/>
        <v>22562.5</v>
      </c>
      <c r="BJ27" s="597">
        <f t="shared" si="11"/>
        <v>22562.5</v>
      </c>
      <c r="BK27" s="597">
        <f t="shared" si="11"/>
        <v>22562.5</v>
      </c>
      <c r="BL27" s="597">
        <f t="shared" si="11"/>
        <v>22562.5</v>
      </c>
      <c r="BM27" s="597">
        <f t="shared" si="11"/>
        <v>22562.5</v>
      </c>
      <c r="BN27" s="597">
        <f t="shared" si="11"/>
        <v>22562.5</v>
      </c>
      <c r="BO27" s="597">
        <f t="shared" si="11"/>
        <v>22562.5</v>
      </c>
      <c r="BP27" s="597">
        <f t="shared" si="11"/>
        <v>22562.5</v>
      </c>
      <c r="BQ27" s="597">
        <f t="shared" si="11"/>
        <v>22562.5</v>
      </c>
      <c r="BR27" s="597">
        <f t="shared" si="11"/>
        <v>22562.5</v>
      </c>
      <c r="BS27" s="597">
        <f t="shared" si="11"/>
        <v>22562.5</v>
      </c>
      <c r="BT27" s="597">
        <f t="shared" ref="BT27:CM27" si="12">$D$27*BT16</f>
        <v>22562.5</v>
      </c>
      <c r="BU27" s="597">
        <f t="shared" si="12"/>
        <v>22562.5</v>
      </c>
      <c r="BV27" s="597">
        <f t="shared" si="12"/>
        <v>22562.5</v>
      </c>
      <c r="BW27" s="597">
        <f t="shared" si="12"/>
        <v>22562.5</v>
      </c>
      <c r="BX27" s="597">
        <f t="shared" si="12"/>
        <v>22562.5</v>
      </c>
      <c r="BY27" s="597">
        <f t="shared" si="12"/>
        <v>22562.5</v>
      </c>
      <c r="BZ27" s="597">
        <f t="shared" si="12"/>
        <v>22562.5</v>
      </c>
      <c r="CA27" s="597">
        <f t="shared" si="12"/>
        <v>22562.5</v>
      </c>
      <c r="CB27" s="597">
        <f t="shared" si="12"/>
        <v>22562.5</v>
      </c>
      <c r="CC27" s="597">
        <f t="shared" si="12"/>
        <v>22562.5</v>
      </c>
      <c r="CD27" s="597">
        <f t="shared" si="12"/>
        <v>22562.5</v>
      </c>
      <c r="CE27" s="597">
        <f t="shared" si="12"/>
        <v>22562.5</v>
      </c>
      <c r="CF27" s="597">
        <f t="shared" si="12"/>
        <v>22562.5</v>
      </c>
      <c r="CG27" s="597">
        <f t="shared" si="12"/>
        <v>22562.5</v>
      </c>
      <c r="CH27" s="597">
        <f t="shared" si="12"/>
        <v>22562.5</v>
      </c>
      <c r="CI27" s="597">
        <f t="shared" si="12"/>
        <v>22562.5</v>
      </c>
      <c r="CJ27" s="597">
        <f t="shared" si="12"/>
        <v>22562.5</v>
      </c>
      <c r="CK27" s="597">
        <f t="shared" si="12"/>
        <v>22562.5</v>
      </c>
      <c r="CL27" s="597">
        <f t="shared" si="12"/>
        <v>22562.5</v>
      </c>
      <c r="CM27" s="597">
        <f t="shared" si="12"/>
        <v>22562.5</v>
      </c>
      <c r="CN27" s="347"/>
      <c r="CO27" s="347"/>
      <c r="CP27" s="347"/>
      <c r="CQ27" s="347"/>
      <c r="CR27" s="347"/>
      <c r="CS27" s="347"/>
      <c r="CT27" s="347"/>
      <c r="CU27" s="347"/>
      <c r="CV27" s="347"/>
      <c r="CW27" s="347"/>
      <c r="CX27" s="347"/>
      <c r="CY27" s="347"/>
      <c r="CZ27" s="347"/>
      <c r="DA27" s="347"/>
      <c r="DB27" s="347"/>
      <c r="DC27" s="347"/>
      <c r="DD27" s="347"/>
      <c r="DE27" s="347"/>
      <c r="DF27" s="347"/>
      <c r="DG27" s="347"/>
      <c r="DH27" s="347"/>
      <c r="DI27" s="347"/>
      <c r="DJ27" s="347"/>
      <c r="DK27" s="347"/>
      <c r="DL27" s="347"/>
      <c r="DM27" s="347"/>
      <c r="DN27" s="347"/>
      <c r="DO27" s="347"/>
      <c r="DP27" s="347"/>
      <c r="DQ27" s="347"/>
      <c r="DR27" s="347"/>
      <c r="DS27" s="347"/>
      <c r="DT27" s="347"/>
      <c r="DU27" s="347"/>
      <c r="DV27" s="347"/>
      <c r="DW27" s="347"/>
      <c r="DX27" s="347"/>
      <c r="DY27" s="347"/>
      <c r="DZ27" s="347"/>
      <c r="EA27" s="347"/>
      <c r="EB27" s="347"/>
      <c r="EC27" s="347"/>
      <c r="ED27" s="347"/>
      <c r="EE27" s="347"/>
      <c r="EF27" s="347"/>
      <c r="EG27" s="347"/>
      <c r="EH27" s="347"/>
      <c r="EI27" s="347"/>
      <c r="EJ27" s="347"/>
      <c r="EK27" s="347"/>
      <c r="EL27" s="347"/>
      <c r="EM27" s="347"/>
      <c r="EN27" s="347"/>
      <c r="EO27" s="347"/>
      <c r="EP27" s="347"/>
      <c r="EQ27" s="347"/>
      <c r="ER27" s="347"/>
      <c r="ES27" s="347"/>
      <c r="ET27" s="347"/>
      <c r="EU27" s="347"/>
      <c r="EV27" s="347"/>
      <c r="EW27" s="347"/>
      <c r="EX27" s="347"/>
      <c r="EY27" s="347"/>
      <c r="EZ27" s="347"/>
      <c r="FA27" s="347"/>
      <c r="FB27" s="347"/>
      <c r="FC27" s="347"/>
      <c r="FD27" s="347"/>
      <c r="FE27" s="347"/>
      <c r="FF27" s="347"/>
      <c r="FG27" s="347"/>
      <c r="FH27" s="347"/>
      <c r="FI27" s="347"/>
      <c r="FJ27" s="347"/>
      <c r="FK27" s="347"/>
      <c r="FL27" s="347"/>
      <c r="FM27" s="347"/>
      <c r="FN27" s="347"/>
      <c r="FO27" s="347"/>
      <c r="FP27" s="347"/>
      <c r="FQ27" s="347"/>
      <c r="FR27" s="347"/>
      <c r="FS27" s="347"/>
      <c r="FT27" s="347"/>
      <c r="FU27" s="347"/>
      <c r="FV27" s="347"/>
    </row>
    <row r="28" spans="1:178">
      <c r="A28" s="1394"/>
      <c r="B28" s="811" t="s">
        <v>403</v>
      </c>
      <c r="C28" s="581" t="s">
        <v>402</v>
      </c>
      <c r="D28" s="581">
        <v>1.8104</v>
      </c>
      <c r="E28" s="347"/>
      <c r="F28" s="885" t="s">
        <v>207</v>
      </c>
      <c r="G28" s="597">
        <v>200391.36559999999</v>
      </c>
      <c r="H28" s="597">
        <v>200391.36559999999</v>
      </c>
      <c r="I28" s="597">
        <v>200391.36559999999</v>
      </c>
      <c r="J28" s="597">
        <v>200391.36559999999</v>
      </c>
      <c r="K28" s="597">
        <v>200391.36559999999</v>
      </c>
      <c r="L28" s="597">
        <v>200391.36559999999</v>
      </c>
      <c r="M28" s="597">
        <v>200391.36559999999</v>
      </c>
      <c r="N28" s="597">
        <v>200391.36559999999</v>
      </c>
      <c r="O28" s="597">
        <v>200391.36559999999</v>
      </c>
      <c r="P28" s="597">
        <v>200391.36559999999</v>
      </c>
      <c r="Q28" s="597">
        <v>200391.36559999999</v>
      </c>
      <c r="R28" s="597">
        <v>200391.36559999999</v>
      </c>
      <c r="S28" s="597">
        <v>200391.36559999999</v>
      </c>
      <c r="T28" s="889">
        <f t="shared" ref="T28:AS28" si="13">$D$28*T17</f>
        <v>165722.50733333334</v>
      </c>
      <c r="U28" s="597">
        <f t="shared" si="13"/>
        <v>165722.50733333334</v>
      </c>
      <c r="V28" s="889">
        <f t="shared" si="13"/>
        <v>165722.50733333334</v>
      </c>
      <c r="W28" s="597">
        <f t="shared" si="13"/>
        <v>165722.50733333334</v>
      </c>
      <c r="X28" s="889">
        <f t="shared" si="13"/>
        <v>165722.50733333334</v>
      </c>
      <c r="Y28" s="597">
        <f t="shared" si="13"/>
        <v>165722.50733333334</v>
      </c>
      <c r="Z28" s="889">
        <f t="shared" si="13"/>
        <v>165722.50733333334</v>
      </c>
      <c r="AA28" s="597">
        <f t="shared" si="13"/>
        <v>165722.50733333334</v>
      </c>
      <c r="AB28" s="889">
        <f t="shared" si="13"/>
        <v>165722.50733333334</v>
      </c>
      <c r="AC28" s="597">
        <f t="shared" si="13"/>
        <v>165722.50733333334</v>
      </c>
      <c r="AD28" s="889">
        <f t="shared" si="13"/>
        <v>165722.50733333334</v>
      </c>
      <c r="AE28" s="597">
        <f t="shared" si="13"/>
        <v>165722.50733333334</v>
      </c>
      <c r="AF28" s="889">
        <f t="shared" si="13"/>
        <v>165722.50733333334</v>
      </c>
      <c r="AG28" s="597">
        <f t="shared" si="13"/>
        <v>165722.50733333334</v>
      </c>
      <c r="AH28" s="889">
        <f t="shared" si="13"/>
        <v>165722.50733333334</v>
      </c>
      <c r="AI28" s="597">
        <f t="shared" si="13"/>
        <v>165722.50733333334</v>
      </c>
      <c r="AJ28" s="889">
        <f t="shared" si="13"/>
        <v>165722.50733333334</v>
      </c>
      <c r="AK28" s="597">
        <f t="shared" si="13"/>
        <v>165722.50733333334</v>
      </c>
      <c r="AL28" s="889">
        <f t="shared" si="13"/>
        <v>165722.50733333334</v>
      </c>
      <c r="AM28" s="597">
        <f t="shared" si="13"/>
        <v>165722.50733333334</v>
      </c>
      <c r="AN28" s="889">
        <f t="shared" si="13"/>
        <v>165722.50733333334</v>
      </c>
      <c r="AO28" s="597">
        <f t="shared" si="13"/>
        <v>165722.50733333334</v>
      </c>
      <c r="AP28" s="889">
        <f t="shared" si="13"/>
        <v>165722.50733333334</v>
      </c>
      <c r="AQ28" s="597">
        <f t="shared" si="13"/>
        <v>165722.50733333334</v>
      </c>
      <c r="AR28" s="889">
        <f t="shared" si="13"/>
        <v>165722.50733333334</v>
      </c>
      <c r="AS28" s="597">
        <f t="shared" si="13"/>
        <v>165722.50733333334</v>
      </c>
      <c r="AT28" s="889">
        <f>$D$28*AT17</f>
        <v>165722.50733333334</v>
      </c>
      <c r="AU28" s="597">
        <f t="shared" ref="AU28:CL28" si="14">$D$28*AU17</f>
        <v>165722.50733333334</v>
      </c>
      <c r="AV28" s="597">
        <f t="shared" si="14"/>
        <v>165722.50733333334</v>
      </c>
      <c r="AW28" s="597">
        <f t="shared" si="14"/>
        <v>165722.50733333334</v>
      </c>
      <c r="AX28" s="597">
        <f t="shared" si="14"/>
        <v>165722.50733333334</v>
      </c>
      <c r="AY28" s="597">
        <f t="shared" si="14"/>
        <v>165722.50733333334</v>
      </c>
      <c r="AZ28" s="597">
        <f t="shared" si="14"/>
        <v>165722.50733333334</v>
      </c>
      <c r="BA28" s="597">
        <f t="shared" si="14"/>
        <v>165722.50733333334</v>
      </c>
      <c r="BB28" s="597">
        <f t="shared" si="14"/>
        <v>165722.50733333334</v>
      </c>
      <c r="BC28" s="597">
        <f t="shared" si="14"/>
        <v>165722.50733333334</v>
      </c>
      <c r="BD28" s="597">
        <f t="shared" si="14"/>
        <v>165722.50733333334</v>
      </c>
      <c r="BE28" s="597">
        <f t="shared" si="14"/>
        <v>165722.50733333334</v>
      </c>
      <c r="BF28" s="597">
        <f t="shared" si="14"/>
        <v>165722.50733333334</v>
      </c>
      <c r="BG28" s="597">
        <f t="shared" si="14"/>
        <v>165722.50733333334</v>
      </c>
      <c r="BH28" s="597">
        <f t="shared" si="14"/>
        <v>165722.50733333334</v>
      </c>
      <c r="BI28" s="597">
        <f t="shared" si="14"/>
        <v>165722.50733333334</v>
      </c>
      <c r="BJ28" s="597">
        <f t="shared" si="14"/>
        <v>165722.50733333334</v>
      </c>
      <c r="BK28" s="597">
        <f t="shared" si="14"/>
        <v>165722.50733333334</v>
      </c>
      <c r="BL28" s="597">
        <f t="shared" si="14"/>
        <v>165722.50733333334</v>
      </c>
      <c r="BM28" s="597">
        <f t="shared" si="14"/>
        <v>165722.50733333334</v>
      </c>
      <c r="BN28" s="597">
        <f t="shared" si="14"/>
        <v>165722.50733333334</v>
      </c>
      <c r="BO28" s="597">
        <f t="shared" si="14"/>
        <v>165722.50733333334</v>
      </c>
      <c r="BP28" s="597">
        <f t="shared" si="14"/>
        <v>165722.50733333334</v>
      </c>
      <c r="BQ28" s="597">
        <f t="shared" si="14"/>
        <v>165722.50733333334</v>
      </c>
      <c r="BR28" s="597">
        <f t="shared" si="14"/>
        <v>165722.50733333334</v>
      </c>
      <c r="BS28" s="597">
        <f t="shared" si="14"/>
        <v>165722.50733333334</v>
      </c>
      <c r="BT28" s="597">
        <f t="shared" si="14"/>
        <v>165722.50733333334</v>
      </c>
      <c r="BU28" s="597">
        <f t="shared" si="14"/>
        <v>165722.50733333334</v>
      </c>
      <c r="BV28" s="597">
        <f t="shared" si="14"/>
        <v>165722.50733333334</v>
      </c>
      <c r="BW28" s="597">
        <f t="shared" si="14"/>
        <v>165722.50733333334</v>
      </c>
      <c r="BX28" s="597">
        <f t="shared" si="14"/>
        <v>165722.50733333334</v>
      </c>
      <c r="BY28" s="597">
        <f t="shared" si="14"/>
        <v>165722.50733333334</v>
      </c>
      <c r="BZ28" s="597">
        <f t="shared" si="14"/>
        <v>165722.50733333334</v>
      </c>
      <c r="CA28" s="597">
        <f t="shared" si="14"/>
        <v>165722.50733333334</v>
      </c>
      <c r="CB28" s="597">
        <f t="shared" si="14"/>
        <v>165722.50733333334</v>
      </c>
      <c r="CC28" s="597">
        <f t="shared" si="14"/>
        <v>165722.50733333334</v>
      </c>
      <c r="CD28" s="597">
        <f t="shared" si="14"/>
        <v>165722.50733333334</v>
      </c>
      <c r="CE28" s="597">
        <f t="shared" si="14"/>
        <v>165722.50733333334</v>
      </c>
      <c r="CF28" s="597">
        <f t="shared" si="14"/>
        <v>165722.50733333334</v>
      </c>
      <c r="CG28" s="597">
        <f t="shared" si="14"/>
        <v>165722.50733333334</v>
      </c>
      <c r="CH28" s="597">
        <f t="shared" si="14"/>
        <v>165722.50733333334</v>
      </c>
      <c r="CI28" s="597">
        <f t="shared" si="14"/>
        <v>165722.50733333334</v>
      </c>
      <c r="CJ28" s="597">
        <f t="shared" si="14"/>
        <v>165722.50733333334</v>
      </c>
      <c r="CK28" s="597">
        <f t="shared" si="14"/>
        <v>165722.50733333334</v>
      </c>
      <c r="CL28" s="976">
        <f t="shared" si="14"/>
        <v>165722.50733333334</v>
      </c>
      <c r="CM28" s="356">
        <f t="shared" ref="CM28:CM58" si="15">AVERAGE(G28:CL28)</f>
        <v>171087.92587460292</v>
      </c>
      <c r="CN28" s="347"/>
      <c r="CO28" s="347"/>
      <c r="CP28" s="347"/>
      <c r="CQ28" s="347"/>
      <c r="CR28" s="347"/>
      <c r="CS28" s="347"/>
      <c r="CT28" s="347"/>
      <c r="CU28" s="347"/>
      <c r="CV28" s="347"/>
      <c r="CW28" s="347"/>
      <c r="CX28" s="347"/>
      <c r="CY28" s="347"/>
      <c r="CZ28" s="347"/>
      <c r="DA28" s="347"/>
      <c r="DB28" s="347"/>
      <c r="DC28" s="347"/>
      <c r="DD28" s="347"/>
      <c r="DE28" s="347"/>
      <c r="DF28" s="347"/>
      <c r="DG28" s="347"/>
      <c r="DH28" s="347"/>
      <c r="DI28" s="347"/>
      <c r="DJ28" s="347"/>
      <c r="DK28" s="347"/>
      <c r="DL28" s="347"/>
      <c r="DM28" s="347"/>
      <c r="DN28" s="347"/>
      <c r="DO28" s="347"/>
      <c r="DP28" s="347"/>
      <c r="DQ28" s="347"/>
      <c r="DR28" s="347"/>
      <c r="DS28" s="347"/>
      <c r="DT28" s="347"/>
      <c r="DU28" s="347"/>
      <c r="DV28" s="347"/>
      <c r="DW28" s="347"/>
      <c r="DX28" s="347"/>
      <c r="DY28" s="347"/>
      <c r="DZ28" s="347"/>
      <c r="EA28" s="347"/>
      <c r="EB28" s="347"/>
      <c r="EC28" s="347"/>
      <c r="ED28" s="347"/>
      <c r="EE28" s="347"/>
      <c r="EF28" s="347"/>
      <c r="EG28" s="347"/>
      <c r="EH28" s="347"/>
      <c r="EI28" s="347"/>
      <c r="EJ28" s="347"/>
      <c r="EK28" s="347"/>
      <c r="EL28" s="347"/>
      <c r="EM28" s="347"/>
      <c r="EN28" s="347"/>
      <c r="EO28" s="347"/>
      <c r="EP28" s="347"/>
      <c r="EQ28" s="347"/>
      <c r="ER28" s="347"/>
      <c r="ES28" s="347"/>
      <c r="ET28" s="347"/>
      <c r="EU28" s="347"/>
      <c r="EV28" s="347"/>
      <c r="EW28" s="347"/>
      <c r="EX28" s="347"/>
      <c r="EY28" s="347"/>
      <c r="EZ28" s="347"/>
      <c r="FA28" s="347"/>
      <c r="FB28" s="347"/>
      <c r="FC28" s="347"/>
      <c r="FD28" s="347"/>
      <c r="FE28" s="347"/>
      <c r="FF28" s="347"/>
      <c r="FG28" s="347"/>
      <c r="FH28" s="347"/>
      <c r="FI28" s="347"/>
      <c r="FJ28" s="347"/>
      <c r="FK28" s="347"/>
      <c r="FL28" s="347"/>
      <c r="FM28" s="347"/>
      <c r="FN28" s="347"/>
      <c r="FO28" s="347"/>
      <c r="FP28" s="347"/>
      <c r="FQ28" s="347"/>
      <c r="FR28" s="347"/>
      <c r="FS28" s="347"/>
      <c r="FT28" s="347"/>
      <c r="FU28" s="347"/>
      <c r="FV28" s="347"/>
    </row>
    <row r="29" spans="1:178">
      <c r="A29" s="1394"/>
      <c r="B29" s="811" t="s">
        <v>403</v>
      </c>
      <c r="C29" s="581" t="s">
        <v>151</v>
      </c>
      <c r="D29" s="581"/>
      <c r="E29" s="347"/>
      <c r="F29" s="886" t="s">
        <v>406</v>
      </c>
      <c r="G29" s="887">
        <f>(G30*G3+G31*G4+G32*G5+G33*G6)/SUM(G30:G33)</f>
        <v>26248.898092056206</v>
      </c>
      <c r="H29" s="887">
        <f t="shared" ref="H29:BS29" si="16">(H30*H3+H31*H4+H32*H5+H33*H6)/SUM(H30:H33)</f>
        <v>28415.311408828744</v>
      </c>
      <c r="I29" s="887">
        <f t="shared" si="16"/>
        <v>28218.118225854312</v>
      </c>
      <c r="J29" s="887">
        <f t="shared" si="16"/>
        <v>27578.07227309102</v>
      </c>
      <c r="K29" s="887">
        <f t="shared" si="16"/>
        <v>27908.147654749388</v>
      </c>
      <c r="L29" s="887">
        <f t="shared" si="16"/>
        <v>28038.635676503261</v>
      </c>
      <c r="M29" s="887">
        <f t="shared" si="16"/>
        <v>28158.906606393994</v>
      </c>
      <c r="N29" s="887">
        <f t="shared" si="16"/>
        <v>28535.990101657877</v>
      </c>
      <c r="O29" s="887">
        <f t="shared" si="16"/>
        <v>27245.201875916089</v>
      </c>
      <c r="P29" s="887">
        <f t="shared" si="16"/>
        <v>26951.79923924345</v>
      </c>
      <c r="Q29" s="887">
        <f t="shared" si="16"/>
        <v>27085.425593093998</v>
      </c>
      <c r="R29" s="887">
        <f t="shared" si="16"/>
        <v>27352.641791162998</v>
      </c>
      <c r="S29" s="887">
        <f t="shared" si="16"/>
        <v>27187.141793427338</v>
      </c>
      <c r="T29" s="887">
        <f t="shared" si="16"/>
        <v>27521.690436394816</v>
      </c>
      <c r="U29" s="887">
        <f t="shared" si="16"/>
        <v>24905.557105267253</v>
      </c>
      <c r="V29" s="887">
        <f t="shared" si="16"/>
        <v>24706.779327293934</v>
      </c>
      <c r="W29" s="887">
        <f t="shared" si="16"/>
        <v>24659.644843325634</v>
      </c>
      <c r="X29" s="887">
        <f t="shared" si="16"/>
        <v>24525.252008694199</v>
      </c>
      <c r="Y29" s="887">
        <f t="shared" si="16"/>
        <v>22239.171770581863</v>
      </c>
      <c r="Z29" s="887">
        <f t="shared" si="16"/>
        <v>22391.555653205422</v>
      </c>
      <c r="AA29" s="887">
        <f t="shared" si="16"/>
        <v>22479.837514921517</v>
      </c>
      <c r="AB29" s="887">
        <f t="shared" si="16"/>
        <v>22252.604090853736</v>
      </c>
      <c r="AC29" s="887">
        <f t="shared" si="16"/>
        <v>22184.140752862189</v>
      </c>
      <c r="AD29" s="887">
        <f t="shared" si="16"/>
        <v>22261.015698162497</v>
      </c>
      <c r="AE29" s="887">
        <f t="shared" si="16"/>
        <v>20688.657426125133</v>
      </c>
      <c r="AF29" s="887">
        <f t="shared" si="16"/>
        <v>20925.034043806747</v>
      </c>
      <c r="AG29" s="887">
        <f t="shared" si="16"/>
        <v>21015.981579993964</v>
      </c>
      <c r="AH29" s="887">
        <f t="shared" si="16"/>
        <v>21246.21575951765</v>
      </c>
      <c r="AI29" s="887">
        <f t="shared" si="16"/>
        <v>21220.582192034159</v>
      </c>
      <c r="AJ29" s="887">
        <f t="shared" si="16"/>
        <v>20841.900048866755</v>
      </c>
      <c r="AK29" s="887">
        <f t="shared" si="16"/>
        <v>20532.971355948204</v>
      </c>
      <c r="AL29" s="887">
        <f t="shared" si="16"/>
        <v>20339.735336673042</v>
      </c>
      <c r="AM29" s="887">
        <f t="shared" si="16"/>
        <v>20238.446785895507</v>
      </c>
      <c r="AN29" s="887">
        <f t="shared" si="16"/>
        <v>20200.850690890857</v>
      </c>
      <c r="AO29" s="887">
        <f t="shared" si="16"/>
        <v>20407.827997004053</v>
      </c>
      <c r="AP29" s="887">
        <f t="shared" si="16"/>
        <v>20679.956881281174</v>
      </c>
      <c r="AQ29" s="887">
        <f t="shared" si="16"/>
        <v>22212.392072681403</v>
      </c>
      <c r="AR29" s="887">
        <f t="shared" si="16"/>
        <v>22381.087057850262</v>
      </c>
      <c r="AS29" s="887">
        <f t="shared" si="16"/>
        <v>22245.455933802881</v>
      </c>
      <c r="AT29" s="887">
        <f t="shared" si="16"/>
        <v>22250.644190885218</v>
      </c>
      <c r="AU29" s="887">
        <f t="shared" si="16"/>
        <v>22175.763170450413</v>
      </c>
      <c r="AV29" s="887">
        <f t="shared" si="16"/>
        <v>22230.700962761617</v>
      </c>
      <c r="AW29" s="887">
        <f t="shared" si="16"/>
        <v>23023.713962743215</v>
      </c>
      <c r="AX29" s="887">
        <f t="shared" si="16"/>
        <v>23579.452953668289</v>
      </c>
      <c r="AY29" s="887">
        <f t="shared" si="16"/>
        <v>23643.50503937032</v>
      </c>
      <c r="AZ29" s="887">
        <f t="shared" si="16"/>
        <v>23822.014482330771</v>
      </c>
      <c r="BA29" s="887">
        <f t="shared" si="16"/>
        <v>24112.69358581242</v>
      </c>
      <c r="BB29" s="887">
        <f t="shared" si="16"/>
        <v>24735.173413513126</v>
      </c>
      <c r="BC29" s="887">
        <f t="shared" si="16"/>
        <v>25997.627141982128</v>
      </c>
      <c r="BD29" s="887">
        <f t="shared" si="16"/>
        <v>24820.451933181284</v>
      </c>
      <c r="BE29" s="887">
        <f t="shared" si="16"/>
        <v>24341.963289386156</v>
      </c>
      <c r="BF29" s="887">
        <f t="shared" si="16"/>
        <v>24417.138312063173</v>
      </c>
      <c r="BG29" s="887">
        <f t="shared" si="16"/>
        <v>24653.105945049803</v>
      </c>
      <c r="BH29" s="887">
        <f t="shared" si="16"/>
        <v>24487.83308028122</v>
      </c>
      <c r="BI29" s="887">
        <f t="shared" si="16"/>
        <v>25740.992098834162</v>
      </c>
      <c r="BJ29" s="887">
        <f t="shared" si="16"/>
        <v>25727.615789520321</v>
      </c>
      <c r="BK29" s="887">
        <f t="shared" si="16"/>
        <v>25201.169748586628</v>
      </c>
      <c r="BL29" s="887">
        <f t="shared" si="16"/>
        <v>25182.720262921794</v>
      </c>
      <c r="BM29" s="887">
        <f t="shared" si="16"/>
        <v>25481.779072072542</v>
      </c>
      <c r="BN29" s="887">
        <f t="shared" si="16"/>
        <v>25524.478934328476</v>
      </c>
      <c r="BO29" s="887">
        <f t="shared" si="16"/>
        <v>24055.954746841206</v>
      </c>
      <c r="BP29" s="887">
        <f t="shared" si="16"/>
        <v>24315.228427429003</v>
      </c>
      <c r="BQ29" s="887">
        <f t="shared" si="16"/>
        <v>24347.24382348972</v>
      </c>
      <c r="BR29" s="887">
        <f t="shared" si="16"/>
        <v>24495.37471220073</v>
      </c>
      <c r="BS29" s="887">
        <f t="shared" si="16"/>
        <v>24300.784391342841</v>
      </c>
      <c r="BT29" s="887">
        <f t="shared" ref="BT29:CM29" si="17">(BT30*BT3+BT31*BT4+BT32*BT5+BT33*BT6)/SUM(BT30:BT33)</f>
        <v>24002.671817438149</v>
      </c>
      <c r="BU29" s="887">
        <f t="shared" si="17"/>
        <v>20279.680338910264</v>
      </c>
      <c r="BV29" s="887">
        <f t="shared" si="17"/>
        <v>20722.903574492422</v>
      </c>
      <c r="BW29" s="887">
        <f t="shared" si="17"/>
        <v>21261.820599576222</v>
      </c>
      <c r="BX29" s="887">
        <f t="shared" si="17"/>
        <v>21321.742981971151</v>
      </c>
      <c r="BY29" s="887">
        <f t="shared" si="17"/>
        <v>21238.951399641432</v>
      </c>
      <c r="BZ29" s="887">
        <f t="shared" si="17"/>
        <v>21134.079393481665</v>
      </c>
      <c r="CA29" s="887">
        <f t="shared" si="17"/>
        <v>19064.460019352853</v>
      </c>
      <c r="CB29" s="887">
        <f t="shared" si="17"/>
        <v>19164.98436860547</v>
      </c>
      <c r="CC29" s="887">
        <f t="shared" si="17"/>
        <v>19342.399148219341</v>
      </c>
      <c r="CD29" s="887">
        <f t="shared" si="17"/>
        <v>19691.198925273893</v>
      </c>
      <c r="CE29" s="887">
        <f t="shared" si="17"/>
        <v>19963.25129445699</v>
      </c>
      <c r="CF29" s="887">
        <f t="shared" si="17"/>
        <v>20032.313082320838</v>
      </c>
      <c r="CG29" s="887">
        <f t="shared" si="17"/>
        <v>20063.343055439098</v>
      </c>
      <c r="CH29" s="887">
        <f t="shared" si="17"/>
        <v>19906.933904569611</v>
      </c>
      <c r="CI29" s="887">
        <f t="shared" si="17"/>
        <v>20257.900454567956</v>
      </c>
      <c r="CJ29" s="887">
        <f t="shared" si="17"/>
        <v>20623.931366239183</v>
      </c>
      <c r="CK29" s="887">
        <f t="shared" si="17"/>
        <v>20457.87147590558</v>
      </c>
      <c r="CL29" s="887">
        <f t="shared" si="17"/>
        <v>20591.716478999555</v>
      </c>
      <c r="CM29" s="887">
        <f t="shared" si="17"/>
        <v>23285.903712457399</v>
      </c>
      <c r="CN29" s="347"/>
      <c r="CO29" s="347"/>
      <c r="CP29" s="347"/>
      <c r="CQ29" s="347"/>
      <c r="CR29" s="347"/>
      <c r="CS29" s="347"/>
      <c r="CT29" s="347"/>
      <c r="CU29" s="347"/>
      <c r="CV29" s="347"/>
      <c r="CW29" s="347"/>
      <c r="CX29" s="347"/>
      <c r="CY29" s="347"/>
      <c r="CZ29" s="347"/>
      <c r="DA29" s="347"/>
      <c r="DB29" s="347"/>
      <c r="DC29" s="347"/>
      <c r="DD29" s="347"/>
      <c r="DE29" s="347"/>
      <c r="DF29" s="347"/>
      <c r="DG29" s="347"/>
      <c r="DH29" s="347"/>
      <c r="DI29" s="347"/>
      <c r="DJ29" s="347"/>
      <c r="DK29" s="347"/>
      <c r="DL29" s="347"/>
      <c r="DM29" s="347"/>
      <c r="DN29" s="347"/>
      <c r="DO29" s="347"/>
      <c r="DP29" s="347"/>
      <c r="DQ29" s="347"/>
      <c r="DR29" s="347"/>
      <c r="DS29" s="347"/>
      <c r="DT29" s="347"/>
      <c r="DU29" s="347"/>
      <c r="DV29" s="347"/>
      <c r="DW29" s="347"/>
      <c r="DX29" s="347"/>
      <c r="DY29" s="347"/>
      <c r="DZ29" s="347"/>
      <c r="EA29" s="347"/>
      <c r="EB29" s="347"/>
      <c r="EC29" s="347"/>
      <c r="ED29" s="347"/>
      <c r="EE29" s="347"/>
      <c r="EF29" s="347"/>
      <c r="EG29" s="347"/>
      <c r="EH29" s="347"/>
      <c r="EI29" s="347"/>
      <c r="EJ29" s="347"/>
      <c r="EK29" s="347"/>
      <c r="EL29" s="347"/>
      <c r="EM29" s="347"/>
      <c r="EN29" s="347"/>
      <c r="EO29" s="347"/>
      <c r="EP29" s="347"/>
      <c r="EQ29" s="347"/>
      <c r="ER29" s="347"/>
      <c r="ES29" s="347"/>
      <c r="ET29" s="347"/>
      <c r="EU29" s="347"/>
      <c r="EV29" s="347"/>
      <c r="EW29" s="347"/>
      <c r="EX29" s="347"/>
      <c r="EY29" s="347"/>
      <c r="EZ29" s="347"/>
      <c r="FA29" s="347"/>
      <c r="FB29" s="347"/>
      <c r="FC29" s="347"/>
      <c r="FD29" s="347"/>
      <c r="FE29" s="347"/>
      <c r="FF29" s="347"/>
      <c r="FG29" s="347"/>
      <c r="FH29" s="347"/>
      <c r="FI29" s="347"/>
      <c r="FJ29" s="347"/>
      <c r="FK29" s="347"/>
      <c r="FL29" s="347"/>
      <c r="FM29" s="347"/>
      <c r="FN29" s="347"/>
      <c r="FO29" s="347"/>
      <c r="FP29" s="347"/>
      <c r="FQ29" s="347"/>
      <c r="FR29" s="347"/>
      <c r="FS29" s="347"/>
      <c r="FT29" s="347"/>
      <c r="FU29" s="347"/>
      <c r="FV29" s="347"/>
    </row>
    <row r="30" spans="1:178">
      <c r="A30" s="1394"/>
      <c r="B30" s="811" t="s">
        <v>403</v>
      </c>
      <c r="C30" s="581" t="s">
        <v>402</v>
      </c>
      <c r="D30" s="581">
        <v>0.622</v>
      </c>
      <c r="E30" s="347"/>
      <c r="F30" s="888" t="s">
        <v>450</v>
      </c>
      <c r="G30" s="889">
        <f>$D$30*G13</f>
        <v>27730.833333333336</v>
      </c>
      <c r="H30" s="889">
        <f t="shared" ref="H30:BS30" si="18">$D$30*H13</f>
        <v>27730.833333333336</v>
      </c>
      <c r="I30" s="889">
        <f t="shared" si="18"/>
        <v>27730.833333333336</v>
      </c>
      <c r="J30" s="889">
        <f t="shared" si="18"/>
        <v>27730.833333333336</v>
      </c>
      <c r="K30" s="889">
        <f t="shared" si="18"/>
        <v>27730.833333333336</v>
      </c>
      <c r="L30" s="889">
        <f t="shared" si="18"/>
        <v>27730.833333333336</v>
      </c>
      <c r="M30" s="889">
        <f t="shared" si="18"/>
        <v>27730.833333333336</v>
      </c>
      <c r="N30" s="889">
        <f t="shared" si="18"/>
        <v>27730.833333333336</v>
      </c>
      <c r="O30" s="889">
        <f t="shared" si="18"/>
        <v>27730.833333333336</v>
      </c>
      <c r="P30" s="889">
        <f t="shared" si="18"/>
        <v>27730.833333333336</v>
      </c>
      <c r="Q30" s="889">
        <f t="shared" si="18"/>
        <v>27730.833333333336</v>
      </c>
      <c r="R30" s="889">
        <f t="shared" si="18"/>
        <v>27730.833333333336</v>
      </c>
      <c r="S30" s="889">
        <f t="shared" si="18"/>
        <v>27730.833333333336</v>
      </c>
      <c r="T30" s="889">
        <f t="shared" si="18"/>
        <v>27730.833333333336</v>
      </c>
      <c r="U30" s="889">
        <f t="shared" si="18"/>
        <v>27730.833333333336</v>
      </c>
      <c r="V30" s="889">
        <f t="shared" si="18"/>
        <v>27730.833333333336</v>
      </c>
      <c r="W30" s="889">
        <f t="shared" si="18"/>
        <v>27730.833333333336</v>
      </c>
      <c r="X30" s="889">
        <f t="shared" si="18"/>
        <v>27730.833333333336</v>
      </c>
      <c r="Y30" s="889">
        <f t="shared" si="18"/>
        <v>27730.833333333336</v>
      </c>
      <c r="Z30" s="889">
        <f t="shared" si="18"/>
        <v>27730.833333333336</v>
      </c>
      <c r="AA30" s="889">
        <f t="shared" si="18"/>
        <v>27730.833333333336</v>
      </c>
      <c r="AB30" s="889">
        <f t="shared" si="18"/>
        <v>27730.833333333336</v>
      </c>
      <c r="AC30" s="889">
        <f t="shared" si="18"/>
        <v>27730.833333333336</v>
      </c>
      <c r="AD30" s="889">
        <f t="shared" si="18"/>
        <v>27730.833333333336</v>
      </c>
      <c r="AE30" s="889">
        <f t="shared" si="18"/>
        <v>27730.833333333336</v>
      </c>
      <c r="AF30" s="889">
        <f t="shared" si="18"/>
        <v>27730.833333333336</v>
      </c>
      <c r="AG30" s="889">
        <f t="shared" si="18"/>
        <v>27730.833333333336</v>
      </c>
      <c r="AH30" s="889">
        <f t="shared" si="18"/>
        <v>27730.833333333336</v>
      </c>
      <c r="AI30" s="889">
        <f t="shared" si="18"/>
        <v>27730.833333333336</v>
      </c>
      <c r="AJ30" s="889">
        <f t="shared" si="18"/>
        <v>27730.833333333336</v>
      </c>
      <c r="AK30" s="889">
        <f t="shared" si="18"/>
        <v>27730.833333333336</v>
      </c>
      <c r="AL30" s="889">
        <f t="shared" si="18"/>
        <v>27730.833333333336</v>
      </c>
      <c r="AM30" s="889">
        <f t="shared" si="18"/>
        <v>27730.833333333336</v>
      </c>
      <c r="AN30" s="889">
        <f t="shared" si="18"/>
        <v>27730.833333333336</v>
      </c>
      <c r="AO30" s="889">
        <f t="shared" si="18"/>
        <v>27730.833333333336</v>
      </c>
      <c r="AP30" s="889">
        <f t="shared" si="18"/>
        <v>27730.833333333336</v>
      </c>
      <c r="AQ30" s="889">
        <f t="shared" si="18"/>
        <v>27730.833333333336</v>
      </c>
      <c r="AR30" s="889">
        <f t="shared" si="18"/>
        <v>27730.833333333336</v>
      </c>
      <c r="AS30" s="889">
        <f t="shared" si="18"/>
        <v>27730.833333333336</v>
      </c>
      <c r="AT30" s="889">
        <f t="shared" si="18"/>
        <v>27730.833333333336</v>
      </c>
      <c r="AU30" s="889">
        <f t="shared" si="18"/>
        <v>27730.833333333336</v>
      </c>
      <c r="AV30" s="889">
        <f t="shared" si="18"/>
        <v>27730.833333333336</v>
      </c>
      <c r="AW30" s="889">
        <f t="shared" si="18"/>
        <v>27730.833333333336</v>
      </c>
      <c r="AX30" s="889">
        <f t="shared" si="18"/>
        <v>27730.833333333336</v>
      </c>
      <c r="AY30" s="889">
        <f t="shared" si="18"/>
        <v>27730.833333333336</v>
      </c>
      <c r="AZ30" s="889">
        <f t="shared" si="18"/>
        <v>27730.833333333336</v>
      </c>
      <c r="BA30" s="889">
        <f t="shared" si="18"/>
        <v>27730.833333333336</v>
      </c>
      <c r="BB30" s="889">
        <f t="shared" si="18"/>
        <v>27730.833333333336</v>
      </c>
      <c r="BC30" s="889">
        <f t="shared" si="18"/>
        <v>27730.833333333336</v>
      </c>
      <c r="BD30" s="889">
        <f t="shared" si="18"/>
        <v>27730.833333333336</v>
      </c>
      <c r="BE30" s="889">
        <f t="shared" si="18"/>
        <v>27730.833333333336</v>
      </c>
      <c r="BF30" s="889">
        <f t="shared" si="18"/>
        <v>27730.833333333336</v>
      </c>
      <c r="BG30" s="889">
        <f t="shared" si="18"/>
        <v>27730.833333333336</v>
      </c>
      <c r="BH30" s="889">
        <f t="shared" si="18"/>
        <v>27730.833333333336</v>
      </c>
      <c r="BI30" s="889">
        <f t="shared" si="18"/>
        <v>27730.833333333336</v>
      </c>
      <c r="BJ30" s="889">
        <f t="shared" si="18"/>
        <v>27730.833333333336</v>
      </c>
      <c r="BK30" s="889">
        <f t="shared" si="18"/>
        <v>27730.833333333336</v>
      </c>
      <c r="BL30" s="889">
        <f t="shared" si="18"/>
        <v>27730.833333333336</v>
      </c>
      <c r="BM30" s="889">
        <f t="shared" si="18"/>
        <v>27730.833333333336</v>
      </c>
      <c r="BN30" s="889">
        <f t="shared" si="18"/>
        <v>27730.833333333336</v>
      </c>
      <c r="BO30" s="889">
        <f t="shared" si="18"/>
        <v>27730.833333333336</v>
      </c>
      <c r="BP30" s="889">
        <f t="shared" si="18"/>
        <v>27730.833333333336</v>
      </c>
      <c r="BQ30" s="889">
        <f t="shared" si="18"/>
        <v>27730.833333333336</v>
      </c>
      <c r="BR30" s="889">
        <f t="shared" si="18"/>
        <v>27730.833333333336</v>
      </c>
      <c r="BS30" s="889">
        <f t="shared" si="18"/>
        <v>27730.833333333336</v>
      </c>
      <c r="BT30" s="889">
        <f t="shared" ref="BT30:CM30" si="19">$D$30*BT13</f>
        <v>27730.833333333336</v>
      </c>
      <c r="BU30" s="889">
        <f t="shared" si="19"/>
        <v>27730.833333333336</v>
      </c>
      <c r="BV30" s="889">
        <f t="shared" si="19"/>
        <v>27730.833333333336</v>
      </c>
      <c r="BW30" s="889">
        <f t="shared" si="19"/>
        <v>27730.833333333336</v>
      </c>
      <c r="BX30" s="889">
        <f t="shared" si="19"/>
        <v>27730.833333333336</v>
      </c>
      <c r="BY30" s="889">
        <f t="shared" si="19"/>
        <v>27730.833333333336</v>
      </c>
      <c r="BZ30" s="889">
        <f t="shared" si="19"/>
        <v>27730.833333333336</v>
      </c>
      <c r="CA30" s="889">
        <f t="shared" si="19"/>
        <v>27730.833333333336</v>
      </c>
      <c r="CB30" s="889">
        <f t="shared" si="19"/>
        <v>27730.833333333336</v>
      </c>
      <c r="CC30" s="889">
        <f t="shared" si="19"/>
        <v>27730.833333333336</v>
      </c>
      <c r="CD30" s="889">
        <f t="shared" si="19"/>
        <v>27730.833333333336</v>
      </c>
      <c r="CE30" s="889">
        <f t="shared" si="19"/>
        <v>27730.833333333336</v>
      </c>
      <c r="CF30" s="889">
        <f t="shared" si="19"/>
        <v>27730.833333333336</v>
      </c>
      <c r="CG30" s="889">
        <f t="shared" si="19"/>
        <v>27730.833333333336</v>
      </c>
      <c r="CH30" s="889">
        <f t="shared" si="19"/>
        <v>27730.833333333336</v>
      </c>
      <c r="CI30" s="889">
        <f t="shared" si="19"/>
        <v>27730.833333333336</v>
      </c>
      <c r="CJ30" s="889">
        <f t="shared" si="19"/>
        <v>27730.833333333336</v>
      </c>
      <c r="CK30" s="889">
        <f t="shared" si="19"/>
        <v>27730.833333333336</v>
      </c>
      <c r="CL30" s="889">
        <f t="shared" si="19"/>
        <v>27730.833333333336</v>
      </c>
      <c r="CM30" s="889">
        <f t="shared" si="19"/>
        <v>27730.833333333336</v>
      </c>
      <c r="CN30" s="347"/>
      <c r="CO30" s="347"/>
      <c r="CP30" s="347"/>
      <c r="CQ30" s="347"/>
      <c r="CR30" s="347"/>
      <c r="CS30" s="347"/>
      <c r="CT30" s="347"/>
      <c r="CU30" s="347"/>
      <c r="CV30" s="347"/>
      <c r="CW30" s="347"/>
      <c r="CX30" s="347"/>
      <c r="CY30" s="347"/>
      <c r="CZ30" s="347"/>
      <c r="DA30" s="347"/>
      <c r="DB30" s="347"/>
      <c r="DC30" s="347"/>
      <c r="DD30" s="347"/>
      <c r="DE30" s="347"/>
      <c r="DF30" s="347"/>
      <c r="DG30" s="347"/>
      <c r="DH30" s="347"/>
      <c r="DI30" s="347"/>
      <c r="DJ30" s="347"/>
      <c r="DK30" s="347"/>
      <c r="DL30" s="347"/>
      <c r="DM30" s="347"/>
      <c r="DN30" s="347"/>
      <c r="DO30" s="347"/>
      <c r="DP30" s="347"/>
      <c r="DQ30" s="347"/>
      <c r="DR30" s="347"/>
      <c r="DS30" s="347"/>
      <c r="DT30" s="347"/>
      <c r="DU30" s="347"/>
      <c r="DV30" s="347"/>
      <c r="DW30" s="347"/>
      <c r="DX30" s="347"/>
      <c r="DY30" s="347"/>
      <c r="DZ30" s="347"/>
      <c r="EA30" s="347"/>
      <c r="EB30" s="347"/>
      <c r="EC30" s="347"/>
      <c r="ED30" s="347"/>
      <c r="EE30" s="347"/>
      <c r="EF30" s="347"/>
      <c r="EG30" s="347"/>
      <c r="EH30" s="347"/>
      <c r="EI30" s="347"/>
      <c r="EJ30" s="347"/>
      <c r="EK30" s="347"/>
      <c r="EL30" s="347"/>
      <c r="EM30" s="347"/>
      <c r="EN30" s="347"/>
      <c r="EO30" s="347"/>
      <c r="EP30" s="347"/>
      <c r="EQ30" s="347"/>
      <c r="ER30" s="347"/>
      <c r="ES30" s="347"/>
      <c r="ET30" s="347"/>
      <c r="EU30" s="347"/>
      <c r="EV30" s="347"/>
      <c r="EW30" s="347"/>
      <c r="EX30" s="347"/>
      <c r="EY30" s="347"/>
      <c r="EZ30" s="347"/>
      <c r="FA30" s="347"/>
      <c r="FB30" s="347"/>
      <c r="FC30" s="347"/>
      <c r="FD30" s="347"/>
      <c r="FE30" s="347"/>
      <c r="FF30" s="347"/>
      <c r="FG30" s="347"/>
      <c r="FH30" s="347"/>
      <c r="FI30" s="347"/>
      <c r="FJ30" s="347"/>
      <c r="FK30" s="347"/>
      <c r="FL30" s="347"/>
      <c r="FM30" s="347"/>
      <c r="FN30" s="347"/>
      <c r="FO30" s="347"/>
      <c r="FP30" s="347"/>
      <c r="FQ30" s="347"/>
      <c r="FR30" s="347"/>
      <c r="FS30" s="347"/>
      <c r="FT30" s="347"/>
      <c r="FU30" s="347"/>
      <c r="FV30" s="347"/>
    </row>
    <row r="31" spans="1:178">
      <c r="A31" s="1394"/>
      <c r="B31" s="811" t="s">
        <v>403</v>
      </c>
      <c r="C31" s="581" t="s">
        <v>402</v>
      </c>
      <c r="D31" s="581">
        <v>1.4999999999999999E-2</v>
      </c>
      <c r="E31" s="347"/>
      <c r="F31" s="888" t="s">
        <v>451</v>
      </c>
      <c r="G31" s="889">
        <f>$D$31*G14</f>
        <v>338.74999999999994</v>
      </c>
      <c r="H31" s="889">
        <f t="shared" ref="H31:BS31" si="20">$D$31*H14</f>
        <v>338.74999999999994</v>
      </c>
      <c r="I31" s="889">
        <f t="shared" si="20"/>
        <v>338.74999999999994</v>
      </c>
      <c r="J31" s="889">
        <f t="shared" si="20"/>
        <v>338.74999999999994</v>
      </c>
      <c r="K31" s="889">
        <f t="shared" si="20"/>
        <v>338.74999999999994</v>
      </c>
      <c r="L31" s="889">
        <f t="shared" si="20"/>
        <v>338.74999999999994</v>
      </c>
      <c r="M31" s="889">
        <f t="shared" si="20"/>
        <v>338.74999999999994</v>
      </c>
      <c r="N31" s="889">
        <f t="shared" si="20"/>
        <v>338.74999999999994</v>
      </c>
      <c r="O31" s="889">
        <f t="shared" si="20"/>
        <v>338.74999999999994</v>
      </c>
      <c r="P31" s="889">
        <f t="shared" si="20"/>
        <v>338.74999999999994</v>
      </c>
      <c r="Q31" s="889">
        <f t="shared" si="20"/>
        <v>338.74999999999994</v>
      </c>
      <c r="R31" s="889">
        <f t="shared" si="20"/>
        <v>338.74999999999994</v>
      </c>
      <c r="S31" s="889">
        <f t="shared" si="20"/>
        <v>338.74999999999994</v>
      </c>
      <c r="T31" s="889">
        <f t="shared" si="20"/>
        <v>338.74999999999994</v>
      </c>
      <c r="U31" s="889">
        <f t="shared" si="20"/>
        <v>338.74999999999994</v>
      </c>
      <c r="V31" s="889">
        <f t="shared" si="20"/>
        <v>338.74999999999994</v>
      </c>
      <c r="W31" s="889">
        <f t="shared" si="20"/>
        <v>338.74999999999994</v>
      </c>
      <c r="X31" s="889">
        <f t="shared" si="20"/>
        <v>338.74999999999994</v>
      </c>
      <c r="Y31" s="889">
        <f t="shared" si="20"/>
        <v>338.74999999999994</v>
      </c>
      <c r="Z31" s="889">
        <f t="shared" si="20"/>
        <v>338.74999999999994</v>
      </c>
      <c r="AA31" s="889">
        <f t="shared" si="20"/>
        <v>338.74999999999994</v>
      </c>
      <c r="AB31" s="889">
        <f t="shared" si="20"/>
        <v>338.74999999999994</v>
      </c>
      <c r="AC31" s="889">
        <f t="shared" si="20"/>
        <v>338.74999999999994</v>
      </c>
      <c r="AD31" s="889">
        <f t="shared" si="20"/>
        <v>338.74999999999994</v>
      </c>
      <c r="AE31" s="889">
        <f t="shared" si="20"/>
        <v>338.74999999999994</v>
      </c>
      <c r="AF31" s="889">
        <f t="shared" si="20"/>
        <v>338.74999999999994</v>
      </c>
      <c r="AG31" s="889">
        <f t="shared" si="20"/>
        <v>338.74999999999994</v>
      </c>
      <c r="AH31" s="889">
        <f t="shared" si="20"/>
        <v>338.74999999999994</v>
      </c>
      <c r="AI31" s="889">
        <f t="shared" si="20"/>
        <v>338.74999999999994</v>
      </c>
      <c r="AJ31" s="889">
        <f t="shared" si="20"/>
        <v>338.74999999999994</v>
      </c>
      <c r="AK31" s="889">
        <f t="shared" si="20"/>
        <v>338.74999999999994</v>
      </c>
      <c r="AL31" s="889">
        <f t="shared" si="20"/>
        <v>338.74999999999994</v>
      </c>
      <c r="AM31" s="889">
        <f t="shared" si="20"/>
        <v>338.74999999999994</v>
      </c>
      <c r="AN31" s="889">
        <f t="shared" si="20"/>
        <v>338.74999999999994</v>
      </c>
      <c r="AO31" s="889">
        <f t="shared" si="20"/>
        <v>338.74999999999994</v>
      </c>
      <c r="AP31" s="889">
        <f t="shared" si="20"/>
        <v>338.74999999999994</v>
      </c>
      <c r="AQ31" s="889">
        <f t="shared" si="20"/>
        <v>338.74999999999994</v>
      </c>
      <c r="AR31" s="889">
        <f t="shared" si="20"/>
        <v>338.74999999999994</v>
      </c>
      <c r="AS31" s="889">
        <f t="shared" si="20"/>
        <v>338.74999999999994</v>
      </c>
      <c r="AT31" s="889">
        <f t="shared" si="20"/>
        <v>338.74999999999994</v>
      </c>
      <c r="AU31" s="889">
        <f t="shared" si="20"/>
        <v>338.74999999999994</v>
      </c>
      <c r="AV31" s="889">
        <f t="shared" si="20"/>
        <v>338.74999999999994</v>
      </c>
      <c r="AW31" s="889">
        <f t="shared" si="20"/>
        <v>338.74999999999994</v>
      </c>
      <c r="AX31" s="889">
        <f t="shared" si="20"/>
        <v>338.74999999999994</v>
      </c>
      <c r="AY31" s="889">
        <f t="shared" si="20"/>
        <v>338.74999999999994</v>
      </c>
      <c r="AZ31" s="889">
        <f t="shared" si="20"/>
        <v>338.74999999999994</v>
      </c>
      <c r="BA31" s="889">
        <f t="shared" si="20"/>
        <v>338.74999999999994</v>
      </c>
      <c r="BB31" s="889">
        <f t="shared" si="20"/>
        <v>338.74999999999994</v>
      </c>
      <c r="BC31" s="889">
        <f t="shared" si="20"/>
        <v>338.74999999999994</v>
      </c>
      <c r="BD31" s="889">
        <f t="shared" si="20"/>
        <v>338.74999999999994</v>
      </c>
      <c r="BE31" s="889">
        <f t="shared" si="20"/>
        <v>338.74999999999994</v>
      </c>
      <c r="BF31" s="889">
        <f t="shared" si="20"/>
        <v>338.74999999999994</v>
      </c>
      <c r="BG31" s="889">
        <f t="shared" si="20"/>
        <v>338.74999999999994</v>
      </c>
      <c r="BH31" s="889">
        <f t="shared" si="20"/>
        <v>338.74999999999994</v>
      </c>
      <c r="BI31" s="889">
        <f t="shared" si="20"/>
        <v>338.74999999999994</v>
      </c>
      <c r="BJ31" s="889">
        <f t="shared" si="20"/>
        <v>338.74999999999994</v>
      </c>
      <c r="BK31" s="889">
        <f t="shared" si="20"/>
        <v>338.74999999999994</v>
      </c>
      <c r="BL31" s="889">
        <f t="shared" si="20"/>
        <v>338.74999999999994</v>
      </c>
      <c r="BM31" s="889">
        <f t="shared" si="20"/>
        <v>338.74999999999994</v>
      </c>
      <c r="BN31" s="889">
        <f t="shared" si="20"/>
        <v>338.74999999999994</v>
      </c>
      <c r="BO31" s="889">
        <f t="shared" si="20"/>
        <v>338.74999999999994</v>
      </c>
      <c r="BP31" s="889">
        <f t="shared" si="20"/>
        <v>338.74999999999994</v>
      </c>
      <c r="BQ31" s="889">
        <f t="shared" si="20"/>
        <v>338.74999999999994</v>
      </c>
      <c r="BR31" s="889">
        <f t="shared" si="20"/>
        <v>338.74999999999994</v>
      </c>
      <c r="BS31" s="889">
        <f t="shared" si="20"/>
        <v>338.74999999999994</v>
      </c>
      <c r="BT31" s="889">
        <f t="shared" ref="BT31:CM31" si="21">$D$31*BT14</f>
        <v>338.74999999999994</v>
      </c>
      <c r="BU31" s="889">
        <f t="shared" si="21"/>
        <v>338.74999999999994</v>
      </c>
      <c r="BV31" s="889">
        <f t="shared" si="21"/>
        <v>338.74999999999994</v>
      </c>
      <c r="BW31" s="889">
        <f t="shared" si="21"/>
        <v>338.74999999999994</v>
      </c>
      <c r="BX31" s="889">
        <f t="shared" si="21"/>
        <v>338.74999999999994</v>
      </c>
      <c r="BY31" s="889">
        <f t="shared" si="21"/>
        <v>338.74999999999994</v>
      </c>
      <c r="BZ31" s="889">
        <f t="shared" si="21"/>
        <v>338.74999999999994</v>
      </c>
      <c r="CA31" s="889">
        <f t="shared" si="21"/>
        <v>338.74999999999994</v>
      </c>
      <c r="CB31" s="889">
        <f t="shared" si="21"/>
        <v>338.74999999999994</v>
      </c>
      <c r="CC31" s="889">
        <f t="shared" si="21"/>
        <v>338.74999999999994</v>
      </c>
      <c r="CD31" s="889">
        <f t="shared" si="21"/>
        <v>338.74999999999994</v>
      </c>
      <c r="CE31" s="889">
        <f t="shared" si="21"/>
        <v>338.74999999999994</v>
      </c>
      <c r="CF31" s="889">
        <f t="shared" si="21"/>
        <v>338.74999999999994</v>
      </c>
      <c r="CG31" s="889">
        <f t="shared" si="21"/>
        <v>338.74999999999994</v>
      </c>
      <c r="CH31" s="889">
        <f t="shared" si="21"/>
        <v>338.74999999999994</v>
      </c>
      <c r="CI31" s="889">
        <f t="shared" si="21"/>
        <v>338.74999999999994</v>
      </c>
      <c r="CJ31" s="889">
        <f t="shared" si="21"/>
        <v>338.74999999999994</v>
      </c>
      <c r="CK31" s="889">
        <f t="shared" si="21"/>
        <v>338.74999999999994</v>
      </c>
      <c r="CL31" s="889">
        <f t="shared" si="21"/>
        <v>338.74999999999994</v>
      </c>
      <c r="CM31" s="889">
        <f t="shared" si="21"/>
        <v>338.74999999999994</v>
      </c>
      <c r="CN31" s="347"/>
      <c r="CO31" s="347"/>
      <c r="CP31" s="347"/>
      <c r="CQ31" s="347"/>
      <c r="CR31" s="347"/>
      <c r="CS31" s="347"/>
      <c r="CT31" s="347"/>
      <c r="CU31" s="347"/>
      <c r="CV31" s="347"/>
      <c r="CW31" s="347"/>
      <c r="CX31" s="347"/>
      <c r="CY31" s="347"/>
      <c r="CZ31" s="347"/>
      <c r="DA31" s="347"/>
      <c r="DB31" s="347"/>
      <c r="DC31" s="347"/>
      <c r="DD31" s="347"/>
      <c r="DE31" s="347"/>
      <c r="DF31" s="347"/>
      <c r="DG31" s="347"/>
      <c r="DH31" s="347"/>
      <c r="DI31" s="347"/>
      <c r="DJ31" s="347"/>
      <c r="DK31" s="347"/>
      <c r="DL31" s="347"/>
      <c r="DM31" s="347"/>
      <c r="DN31" s="347"/>
      <c r="DO31" s="347"/>
      <c r="DP31" s="347"/>
      <c r="DQ31" s="347"/>
      <c r="DR31" s="347"/>
      <c r="DS31" s="347"/>
      <c r="DT31" s="347"/>
      <c r="DU31" s="347"/>
      <c r="DV31" s="347"/>
      <c r="DW31" s="347"/>
      <c r="DX31" s="347"/>
      <c r="DY31" s="347"/>
      <c r="DZ31" s="347"/>
      <c r="EA31" s="347"/>
      <c r="EB31" s="347"/>
      <c r="EC31" s="347"/>
      <c r="ED31" s="347"/>
      <c r="EE31" s="347"/>
      <c r="EF31" s="347"/>
      <c r="EG31" s="347"/>
      <c r="EH31" s="347"/>
      <c r="EI31" s="347"/>
      <c r="EJ31" s="347"/>
      <c r="EK31" s="347"/>
      <c r="EL31" s="347"/>
      <c r="EM31" s="347"/>
      <c r="EN31" s="347"/>
      <c r="EO31" s="347"/>
      <c r="EP31" s="347"/>
      <c r="EQ31" s="347"/>
      <c r="ER31" s="347"/>
      <c r="ES31" s="347"/>
      <c r="ET31" s="347"/>
      <c r="EU31" s="347"/>
      <c r="EV31" s="347"/>
      <c r="EW31" s="347"/>
      <c r="EX31" s="347"/>
      <c r="EY31" s="347"/>
      <c r="EZ31" s="347"/>
      <c r="FA31" s="347"/>
      <c r="FB31" s="347"/>
      <c r="FC31" s="347"/>
      <c r="FD31" s="347"/>
      <c r="FE31" s="347"/>
      <c r="FF31" s="347"/>
      <c r="FG31" s="347"/>
      <c r="FH31" s="347"/>
      <c r="FI31" s="347"/>
      <c r="FJ31" s="347"/>
      <c r="FK31" s="347"/>
      <c r="FL31" s="347"/>
      <c r="FM31" s="347"/>
      <c r="FN31" s="347"/>
      <c r="FO31" s="347"/>
      <c r="FP31" s="347"/>
      <c r="FQ31" s="347"/>
      <c r="FR31" s="347"/>
      <c r="FS31" s="347"/>
      <c r="FT31" s="347"/>
      <c r="FU31" s="347"/>
      <c r="FV31" s="347"/>
    </row>
    <row r="32" spans="1:178">
      <c r="A32" s="1394"/>
      <c r="B32" s="811" t="s">
        <v>403</v>
      </c>
      <c r="C32" s="581" t="s">
        <v>402</v>
      </c>
      <c r="D32" s="581">
        <v>1.9E-2</v>
      </c>
      <c r="E32" s="347"/>
      <c r="F32" s="888" t="s">
        <v>452</v>
      </c>
      <c r="G32" s="889">
        <f>$D$32*G15</f>
        <v>264.41666666666663</v>
      </c>
      <c r="H32" s="889">
        <f t="shared" ref="H32:BS32" si="22">$D$32*H15</f>
        <v>264.41666666666663</v>
      </c>
      <c r="I32" s="889">
        <f t="shared" si="22"/>
        <v>264.41666666666663</v>
      </c>
      <c r="J32" s="889">
        <f t="shared" si="22"/>
        <v>264.41666666666663</v>
      </c>
      <c r="K32" s="889">
        <f t="shared" si="22"/>
        <v>264.41666666666663</v>
      </c>
      <c r="L32" s="889">
        <f t="shared" si="22"/>
        <v>264.41666666666663</v>
      </c>
      <c r="M32" s="889">
        <f t="shared" si="22"/>
        <v>264.41666666666663</v>
      </c>
      <c r="N32" s="889">
        <f t="shared" si="22"/>
        <v>264.41666666666663</v>
      </c>
      <c r="O32" s="889">
        <f t="shared" si="22"/>
        <v>264.41666666666663</v>
      </c>
      <c r="P32" s="889">
        <f t="shared" si="22"/>
        <v>264.41666666666663</v>
      </c>
      <c r="Q32" s="889">
        <f t="shared" si="22"/>
        <v>264.41666666666663</v>
      </c>
      <c r="R32" s="889">
        <f t="shared" si="22"/>
        <v>264.41666666666663</v>
      </c>
      <c r="S32" s="889">
        <f t="shared" si="22"/>
        <v>264.41666666666663</v>
      </c>
      <c r="T32" s="889">
        <f t="shared" si="22"/>
        <v>264.41666666666663</v>
      </c>
      <c r="U32" s="889">
        <f t="shared" si="22"/>
        <v>264.41666666666663</v>
      </c>
      <c r="V32" s="889">
        <f t="shared" si="22"/>
        <v>264.41666666666663</v>
      </c>
      <c r="W32" s="889">
        <f t="shared" si="22"/>
        <v>264.41666666666663</v>
      </c>
      <c r="X32" s="889">
        <f t="shared" si="22"/>
        <v>264.41666666666663</v>
      </c>
      <c r="Y32" s="889">
        <f t="shared" si="22"/>
        <v>264.41666666666663</v>
      </c>
      <c r="Z32" s="889">
        <f t="shared" si="22"/>
        <v>264.41666666666663</v>
      </c>
      <c r="AA32" s="889">
        <f t="shared" si="22"/>
        <v>264.41666666666663</v>
      </c>
      <c r="AB32" s="889">
        <f t="shared" si="22"/>
        <v>264.41666666666663</v>
      </c>
      <c r="AC32" s="889">
        <f t="shared" si="22"/>
        <v>264.41666666666663</v>
      </c>
      <c r="AD32" s="889">
        <f t="shared" si="22"/>
        <v>264.41666666666663</v>
      </c>
      <c r="AE32" s="889">
        <f t="shared" si="22"/>
        <v>264.41666666666663</v>
      </c>
      <c r="AF32" s="889">
        <f t="shared" si="22"/>
        <v>264.41666666666663</v>
      </c>
      <c r="AG32" s="889">
        <f t="shared" si="22"/>
        <v>264.41666666666663</v>
      </c>
      <c r="AH32" s="889">
        <f t="shared" si="22"/>
        <v>264.41666666666663</v>
      </c>
      <c r="AI32" s="889">
        <f t="shared" si="22"/>
        <v>264.41666666666663</v>
      </c>
      <c r="AJ32" s="889">
        <f t="shared" si="22"/>
        <v>264.41666666666663</v>
      </c>
      <c r="AK32" s="889">
        <f t="shared" si="22"/>
        <v>264.41666666666663</v>
      </c>
      <c r="AL32" s="889">
        <f t="shared" si="22"/>
        <v>264.41666666666663</v>
      </c>
      <c r="AM32" s="889">
        <f t="shared" si="22"/>
        <v>264.41666666666663</v>
      </c>
      <c r="AN32" s="889">
        <f t="shared" si="22"/>
        <v>264.41666666666663</v>
      </c>
      <c r="AO32" s="889">
        <f t="shared" si="22"/>
        <v>264.41666666666663</v>
      </c>
      <c r="AP32" s="889">
        <f t="shared" si="22"/>
        <v>264.41666666666663</v>
      </c>
      <c r="AQ32" s="889">
        <f t="shared" si="22"/>
        <v>264.41666666666663</v>
      </c>
      <c r="AR32" s="889">
        <f t="shared" si="22"/>
        <v>264.41666666666663</v>
      </c>
      <c r="AS32" s="889">
        <f t="shared" si="22"/>
        <v>264.41666666666663</v>
      </c>
      <c r="AT32" s="889">
        <f t="shared" si="22"/>
        <v>264.41666666666663</v>
      </c>
      <c r="AU32" s="889">
        <f t="shared" si="22"/>
        <v>264.41666666666663</v>
      </c>
      <c r="AV32" s="889">
        <f t="shared" si="22"/>
        <v>264.41666666666663</v>
      </c>
      <c r="AW32" s="889">
        <f t="shared" si="22"/>
        <v>264.41666666666663</v>
      </c>
      <c r="AX32" s="889">
        <f t="shared" si="22"/>
        <v>264.41666666666663</v>
      </c>
      <c r="AY32" s="889">
        <f t="shared" si="22"/>
        <v>264.41666666666663</v>
      </c>
      <c r="AZ32" s="889">
        <f t="shared" si="22"/>
        <v>264.41666666666663</v>
      </c>
      <c r="BA32" s="889">
        <f t="shared" si="22"/>
        <v>264.41666666666663</v>
      </c>
      <c r="BB32" s="889">
        <f t="shared" si="22"/>
        <v>264.41666666666663</v>
      </c>
      <c r="BC32" s="889">
        <f t="shared" si="22"/>
        <v>264.41666666666663</v>
      </c>
      <c r="BD32" s="889">
        <f t="shared" si="22"/>
        <v>264.41666666666663</v>
      </c>
      <c r="BE32" s="889">
        <f t="shared" si="22"/>
        <v>264.41666666666663</v>
      </c>
      <c r="BF32" s="889">
        <f t="shared" si="22"/>
        <v>264.41666666666663</v>
      </c>
      <c r="BG32" s="889">
        <f t="shared" si="22"/>
        <v>264.41666666666663</v>
      </c>
      <c r="BH32" s="889">
        <f t="shared" si="22"/>
        <v>264.41666666666663</v>
      </c>
      <c r="BI32" s="889">
        <f t="shared" si="22"/>
        <v>264.41666666666663</v>
      </c>
      <c r="BJ32" s="889">
        <f t="shared" si="22"/>
        <v>264.41666666666663</v>
      </c>
      <c r="BK32" s="889">
        <f t="shared" si="22"/>
        <v>264.41666666666663</v>
      </c>
      <c r="BL32" s="889">
        <f t="shared" si="22"/>
        <v>264.41666666666663</v>
      </c>
      <c r="BM32" s="889">
        <f t="shared" si="22"/>
        <v>264.41666666666663</v>
      </c>
      <c r="BN32" s="889">
        <f t="shared" si="22"/>
        <v>264.41666666666663</v>
      </c>
      <c r="BO32" s="889">
        <f t="shared" si="22"/>
        <v>264.41666666666663</v>
      </c>
      <c r="BP32" s="889">
        <f t="shared" si="22"/>
        <v>264.41666666666663</v>
      </c>
      <c r="BQ32" s="889">
        <f t="shared" si="22"/>
        <v>264.41666666666663</v>
      </c>
      <c r="BR32" s="889">
        <f t="shared" si="22"/>
        <v>264.41666666666663</v>
      </c>
      <c r="BS32" s="889">
        <f t="shared" si="22"/>
        <v>264.41666666666663</v>
      </c>
      <c r="BT32" s="889">
        <f t="shared" ref="BT32:CM32" si="23">$D$32*BT15</f>
        <v>264.41666666666663</v>
      </c>
      <c r="BU32" s="889">
        <f t="shared" si="23"/>
        <v>264.41666666666663</v>
      </c>
      <c r="BV32" s="889">
        <f t="shared" si="23"/>
        <v>264.41666666666663</v>
      </c>
      <c r="BW32" s="889">
        <f t="shared" si="23"/>
        <v>264.41666666666663</v>
      </c>
      <c r="BX32" s="889">
        <f t="shared" si="23"/>
        <v>264.41666666666663</v>
      </c>
      <c r="BY32" s="889">
        <f t="shared" si="23"/>
        <v>264.41666666666663</v>
      </c>
      <c r="BZ32" s="889">
        <f t="shared" si="23"/>
        <v>264.41666666666663</v>
      </c>
      <c r="CA32" s="889">
        <f t="shared" si="23"/>
        <v>264.41666666666663</v>
      </c>
      <c r="CB32" s="889">
        <f t="shared" si="23"/>
        <v>264.41666666666663</v>
      </c>
      <c r="CC32" s="889">
        <f t="shared" si="23"/>
        <v>264.41666666666663</v>
      </c>
      <c r="CD32" s="889">
        <f t="shared" si="23"/>
        <v>264.41666666666663</v>
      </c>
      <c r="CE32" s="889">
        <f t="shared" si="23"/>
        <v>264.41666666666663</v>
      </c>
      <c r="CF32" s="889">
        <f t="shared" si="23"/>
        <v>264.41666666666663</v>
      </c>
      <c r="CG32" s="889">
        <f t="shared" si="23"/>
        <v>264.41666666666663</v>
      </c>
      <c r="CH32" s="889">
        <f t="shared" si="23"/>
        <v>264.41666666666663</v>
      </c>
      <c r="CI32" s="889">
        <f t="shared" si="23"/>
        <v>264.41666666666663</v>
      </c>
      <c r="CJ32" s="889">
        <f t="shared" si="23"/>
        <v>264.41666666666663</v>
      </c>
      <c r="CK32" s="889">
        <f t="shared" si="23"/>
        <v>264.41666666666663</v>
      </c>
      <c r="CL32" s="889">
        <f t="shared" si="23"/>
        <v>264.41666666666663</v>
      </c>
      <c r="CM32" s="889">
        <f t="shared" si="23"/>
        <v>264.41666666666663</v>
      </c>
      <c r="CN32" s="347"/>
      <c r="CO32" s="347"/>
      <c r="CP32" s="347"/>
      <c r="CQ32" s="347"/>
      <c r="CR32" s="347"/>
      <c r="CS32" s="347"/>
      <c r="CT32" s="347"/>
      <c r="CU32" s="347"/>
      <c r="CV32" s="347"/>
      <c r="CW32" s="347"/>
      <c r="CX32" s="347"/>
      <c r="CY32" s="347"/>
      <c r="CZ32" s="347"/>
      <c r="DA32" s="347"/>
      <c r="DB32" s="347"/>
      <c r="DC32" s="347"/>
      <c r="DD32" s="347"/>
      <c r="DE32" s="347"/>
      <c r="DF32" s="347"/>
      <c r="DG32" s="347"/>
      <c r="DH32" s="347"/>
      <c r="DI32" s="347"/>
      <c r="DJ32" s="347"/>
      <c r="DK32" s="347"/>
      <c r="DL32" s="347"/>
      <c r="DM32" s="347"/>
      <c r="DN32" s="347"/>
      <c r="DO32" s="347"/>
      <c r="DP32" s="347"/>
      <c r="DQ32" s="347"/>
      <c r="DR32" s="347"/>
      <c r="DS32" s="347"/>
      <c r="DT32" s="347"/>
      <c r="DU32" s="347"/>
      <c r="DV32" s="347"/>
      <c r="DW32" s="347"/>
      <c r="DX32" s="347"/>
      <c r="DY32" s="347"/>
      <c r="DZ32" s="347"/>
      <c r="EA32" s="347"/>
      <c r="EB32" s="347"/>
      <c r="EC32" s="347"/>
      <c r="ED32" s="347"/>
      <c r="EE32" s="347"/>
      <c r="EF32" s="347"/>
      <c r="EG32" s="347"/>
      <c r="EH32" s="347"/>
      <c r="EI32" s="347"/>
      <c r="EJ32" s="347"/>
      <c r="EK32" s="347"/>
      <c r="EL32" s="347"/>
      <c r="EM32" s="347"/>
      <c r="EN32" s="347"/>
      <c r="EO32" s="347"/>
      <c r="EP32" s="347"/>
      <c r="EQ32" s="347"/>
      <c r="ER32" s="347"/>
      <c r="ES32" s="347"/>
      <c r="ET32" s="347"/>
      <c r="EU32" s="347"/>
      <c r="EV32" s="347"/>
      <c r="EW32" s="347"/>
      <c r="EX32" s="347"/>
      <c r="EY32" s="347"/>
      <c r="EZ32" s="347"/>
      <c r="FA32" s="347"/>
      <c r="FB32" s="347"/>
      <c r="FC32" s="347"/>
      <c r="FD32" s="347"/>
      <c r="FE32" s="347"/>
      <c r="FF32" s="347"/>
      <c r="FG32" s="347"/>
      <c r="FH32" s="347"/>
      <c r="FI32" s="347"/>
      <c r="FJ32" s="347"/>
      <c r="FK32" s="347"/>
      <c r="FL32" s="347"/>
      <c r="FM32" s="347"/>
      <c r="FN32" s="347"/>
      <c r="FO32" s="347"/>
      <c r="FP32" s="347"/>
      <c r="FQ32" s="347"/>
      <c r="FR32" s="347"/>
      <c r="FS32" s="347"/>
      <c r="FT32" s="347"/>
      <c r="FU32" s="347"/>
      <c r="FV32" s="347"/>
    </row>
    <row r="33" spans="1:179">
      <c r="A33" s="1394"/>
      <c r="B33" s="811" t="s">
        <v>403</v>
      </c>
      <c r="C33" s="581" t="s">
        <v>402</v>
      </c>
      <c r="D33" s="581">
        <v>1.1900000000000001E-2</v>
      </c>
      <c r="E33" s="347"/>
      <c r="F33" s="888" t="s">
        <v>453</v>
      </c>
      <c r="G33" s="889">
        <f>$D$33*G16</f>
        <v>1487.5</v>
      </c>
      <c r="H33" s="889">
        <f t="shared" ref="H33:BS33" si="24">$D$33*H16</f>
        <v>1487.5</v>
      </c>
      <c r="I33" s="889">
        <f t="shared" si="24"/>
        <v>1487.5</v>
      </c>
      <c r="J33" s="889">
        <f t="shared" si="24"/>
        <v>1487.5</v>
      </c>
      <c r="K33" s="889">
        <f t="shared" si="24"/>
        <v>1487.5</v>
      </c>
      <c r="L33" s="889">
        <f t="shared" si="24"/>
        <v>1487.5</v>
      </c>
      <c r="M33" s="889">
        <f t="shared" si="24"/>
        <v>1487.5</v>
      </c>
      <c r="N33" s="889">
        <f t="shared" si="24"/>
        <v>1487.5</v>
      </c>
      <c r="O33" s="889">
        <f t="shared" si="24"/>
        <v>1487.5</v>
      </c>
      <c r="P33" s="889">
        <f t="shared" si="24"/>
        <v>1487.5</v>
      </c>
      <c r="Q33" s="889">
        <f t="shared" si="24"/>
        <v>1487.5</v>
      </c>
      <c r="R33" s="889">
        <f t="shared" si="24"/>
        <v>1487.5</v>
      </c>
      <c r="S33" s="889">
        <f t="shared" si="24"/>
        <v>1487.5</v>
      </c>
      <c r="T33" s="889">
        <f t="shared" si="24"/>
        <v>1487.5</v>
      </c>
      <c r="U33" s="889">
        <f t="shared" si="24"/>
        <v>1487.5</v>
      </c>
      <c r="V33" s="889">
        <f t="shared" si="24"/>
        <v>1487.5</v>
      </c>
      <c r="W33" s="889">
        <f t="shared" si="24"/>
        <v>1487.5</v>
      </c>
      <c r="X33" s="889">
        <f t="shared" si="24"/>
        <v>1487.5</v>
      </c>
      <c r="Y33" s="889">
        <f t="shared" si="24"/>
        <v>1487.5</v>
      </c>
      <c r="Z33" s="889">
        <f t="shared" si="24"/>
        <v>1487.5</v>
      </c>
      <c r="AA33" s="889">
        <f t="shared" si="24"/>
        <v>1487.5</v>
      </c>
      <c r="AB33" s="889">
        <f t="shared" si="24"/>
        <v>1487.5</v>
      </c>
      <c r="AC33" s="889">
        <f t="shared" si="24"/>
        <v>1487.5</v>
      </c>
      <c r="AD33" s="889">
        <f t="shared" si="24"/>
        <v>1487.5</v>
      </c>
      <c r="AE33" s="889">
        <f t="shared" si="24"/>
        <v>1487.5</v>
      </c>
      <c r="AF33" s="889">
        <f t="shared" si="24"/>
        <v>1487.5</v>
      </c>
      <c r="AG33" s="889">
        <f t="shared" si="24"/>
        <v>1487.5</v>
      </c>
      <c r="AH33" s="889">
        <f t="shared" si="24"/>
        <v>1487.5</v>
      </c>
      <c r="AI33" s="889">
        <f t="shared" si="24"/>
        <v>1487.5</v>
      </c>
      <c r="AJ33" s="889">
        <f t="shared" si="24"/>
        <v>1487.5</v>
      </c>
      <c r="AK33" s="889">
        <f t="shared" si="24"/>
        <v>1487.5</v>
      </c>
      <c r="AL33" s="889">
        <f t="shared" si="24"/>
        <v>1487.5</v>
      </c>
      <c r="AM33" s="889">
        <f t="shared" si="24"/>
        <v>1487.5</v>
      </c>
      <c r="AN33" s="889">
        <f t="shared" si="24"/>
        <v>1487.5</v>
      </c>
      <c r="AO33" s="889">
        <f t="shared" si="24"/>
        <v>1487.5</v>
      </c>
      <c r="AP33" s="889">
        <f t="shared" si="24"/>
        <v>1487.5</v>
      </c>
      <c r="AQ33" s="889">
        <f t="shared" si="24"/>
        <v>1487.5</v>
      </c>
      <c r="AR33" s="889">
        <f t="shared" si="24"/>
        <v>1487.5</v>
      </c>
      <c r="AS33" s="889">
        <f t="shared" si="24"/>
        <v>1487.5</v>
      </c>
      <c r="AT33" s="889">
        <f t="shared" si="24"/>
        <v>1487.5</v>
      </c>
      <c r="AU33" s="889">
        <f t="shared" si="24"/>
        <v>1487.5</v>
      </c>
      <c r="AV33" s="889">
        <f t="shared" si="24"/>
        <v>1487.5</v>
      </c>
      <c r="AW33" s="889">
        <f t="shared" si="24"/>
        <v>1487.5</v>
      </c>
      <c r="AX33" s="889">
        <f t="shared" si="24"/>
        <v>1487.5</v>
      </c>
      <c r="AY33" s="889">
        <f t="shared" si="24"/>
        <v>1487.5</v>
      </c>
      <c r="AZ33" s="889">
        <f t="shared" si="24"/>
        <v>1487.5</v>
      </c>
      <c r="BA33" s="889">
        <f t="shared" si="24"/>
        <v>1487.5</v>
      </c>
      <c r="BB33" s="889">
        <f t="shared" si="24"/>
        <v>1487.5</v>
      </c>
      <c r="BC33" s="889">
        <f t="shared" si="24"/>
        <v>1487.5</v>
      </c>
      <c r="BD33" s="889">
        <f t="shared" si="24"/>
        <v>1487.5</v>
      </c>
      <c r="BE33" s="889">
        <f t="shared" si="24"/>
        <v>1487.5</v>
      </c>
      <c r="BF33" s="889">
        <f t="shared" si="24"/>
        <v>1487.5</v>
      </c>
      <c r="BG33" s="889">
        <f t="shared" si="24"/>
        <v>1487.5</v>
      </c>
      <c r="BH33" s="889">
        <f t="shared" si="24"/>
        <v>1487.5</v>
      </c>
      <c r="BI33" s="889">
        <f t="shared" si="24"/>
        <v>1487.5</v>
      </c>
      <c r="BJ33" s="889">
        <f t="shared" si="24"/>
        <v>1487.5</v>
      </c>
      <c r="BK33" s="889">
        <f t="shared" si="24"/>
        <v>1487.5</v>
      </c>
      <c r="BL33" s="889">
        <f t="shared" si="24"/>
        <v>1487.5</v>
      </c>
      <c r="BM33" s="889">
        <f t="shared" si="24"/>
        <v>1487.5</v>
      </c>
      <c r="BN33" s="889">
        <f t="shared" si="24"/>
        <v>1487.5</v>
      </c>
      <c r="BO33" s="889">
        <f t="shared" si="24"/>
        <v>1487.5</v>
      </c>
      <c r="BP33" s="889">
        <f t="shared" si="24"/>
        <v>1487.5</v>
      </c>
      <c r="BQ33" s="889">
        <f t="shared" si="24"/>
        <v>1487.5</v>
      </c>
      <c r="BR33" s="889">
        <f t="shared" si="24"/>
        <v>1487.5</v>
      </c>
      <c r="BS33" s="889">
        <f t="shared" si="24"/>
        <v>1487.5</v>
      </c>
      <c r="BT33" s="889">
        <f t="shared" ref="BT33:CM33" si="25">$D$33*BT16</f>
        <v>1487.5</v>
      </c>
      <c r="BU33" s="889">
        <f t="shared" si="25"/>
        <v>1487.5</v>
      </c>
      <c r="BV33" s="889">
        <f t="shared" si="25"/>
        <v>1487.5</v>
      </c>
      <c r="BW33" s="889">
        <f t="shared" si="25"/>
        <v>1487.5</v>
      </c>
      <c r="BX33" s="889">
        <f t="shared" si="25"/>
        <v>1487.5</v>
      </c>
      <c r="BY33" s="889">
        <f t="shared" si="25"/>
        <v>1487.5</v>
      </c>
      <c r="BZ33" s="889">
        <f t="shared" si="25"/>
        <v>1487.5</v>
      </c>
      <c r="CA33" s="889">
        <f t="shared" si="25"/>
        <v>1487.5</v>
      </c>
      <c r="CB33" s="889">
        <f t="shared" si="25"/>
        <v>1487.5</v>
      </c>
      <c r="CC33" s="889">
        <f t="shared" si="25"/>
        <v>1487.5</v>
      </c>
      <c r="CD33" s="889">
        <f t="shared" si="25"/>
        <v>1487.5</v>
      </c>
      <c r="CE33" s="889">
        <f t="shared" si="25"/>
        <v>1487.5</v>
      </c>
      <c r="CF33" s="889">
        <f t="shared" si="25"/>
        <v>1487.5</v>
      </c>
      <c r="CG33" s="889">
        <f t="shared" si="25"/>
        <v>1487.5</v>
      </c>
      <c r="CH33" s="889">
        <f t="shared" si="25"/>
        <v>1487.5</v>
      </c>
      <c r="CI33" s="889">
        <f t="shared" si="25"/>
        <v>1487.5</v>
      </c>
      <c r="CJ33" s="889">
        <f t="shared" si="25"/>
        <v>1487.5</v>
      </c>
      <c r="CK33" s="889">
        <f t="shared" si="25"/>
        <v>1487.5</v>
      </c>
      <c r="CL33" s="889">
        <f t="shared" si="25"/>
        <v>1487.5</v>
      </c>
      <c r="CM33" s="889">
        <f t="shared" si="25"/>
        <v>1487.5</v>
      </c>
      <c r="CN33" s="347"/>
      <c r="CO33" s="347"/>
      <c r="CP33" s="347"/>
      <c r="CQ33" s="347"/>
      <c r="CR33" s="347"/>
      <c r="CS33" s="347"/>
      <c r="CT33" s="347"/>
      <c r="CU33" s="347"/>
      <c r="CV33" s="347"/>
      <c r="CW33" s="347"/>
      <c r="CX33" s="347"/>
      <c r="CY33" s="347"/>
      <c r="CZ33" s="347"/>
      <c r="DA33" s="347"/>
      <c r="DB33" s="347"/>
      <c r="DC33" s="347"/>
      <c r="DD33" s="347"/>
      <c r="DE33" s="347"/>
      <c r="DF33" s="347"/>
      <c r="DG33" s="347"/>
      <c r="DH33" s="347"/>
      <c r="DI33" s="347"/>
      <c r="DJ33" s="347"/>
      <c r="DK33" s="347"/>
      <c r="DL33" s="347"/>
      <c r="DM33" s="347"/>
      <c r="DN33" s="347"/>
      <c r="DO33" s="347"/>
      <c r="DP33" s="347"/>
      <c r="DQ33" s="347"/>
      <c r="DR33" s="347"/>
      <c r="DS33" s="347"/>
      <c r="DT33" s="347"/>
      <c r="DU33" s="347"/>
      <c r="DV33" s="347"/>
      <c r="DW33" s="347"/>
      <c r="DX33" s="347"/>
      <c r="DY33" s="347"/>
      <c r="DZ33" s="347"/>
      <c r="EA33" s="347"/>
      <c r="EB33" s="347"/>
      <c r="EC33" s="347"/>
      <c r="ED33" s="347"/>
      <c r="EE33" s="347"/>
      <c r="EF33" s="347"/>
      <c r="EG33" s="347"/>
      <c r="EH33" s="347"/>
      <c r="EI33" s="347"/>
      <c r="EJ33" s="347"/>
      <c r="EK33" s="347"/>
      <c r="EL33" s="347"/>
      <c r="EM33" s="347"/>
      <c r="EN33" s="347"/>
      <c r="EO33" s="347"/>
      <c r="EP33" s="347"/>
      <c r="EQ33" s="347"/>
      <c r="ER33" s="347"/>
      <c r="ES33" s="347"/>
      <c r="ET33" s="347"/>
      <c r="EU33" s="347"/>
      <c r="EV33" s="347"/>
      <c r="EW33" s="347"/>
      <c r="EX33" s="347"/>
      <c r="EY33" s="347"/>
      <c r="EZ33" s="347"/>
      <c r="FA33" s="347"/>
      <c r="FB33" s="347"/>
      <c r="FC33" s="347"/>
      <c r="FD33" s="347"/>
      <c r="FE33" s="347"/>
      <c r="FF33" s="347"/>
      <c r="FG33" s="347"/>
      <c r="FH33" s="347"/>
      <c r="FI33" s="347"/>
      <c r="FJ33" s="347"/>
      <c r="FK33" s="347"/>
      <c r="FL33" s="347"/>
      <c r="FM33" s="347"/>
      <c r="FN33" s="347"/>
      <c r="FO33" s="347"/>
      <c r="FP33" s="347"/>
      <c r="FQ33" s="347"/>
      <c r="FR33" s="347"/>
      <c r="FS33" s="347"/>
      <c r="FT33" s="347"/>
      <c r="FU33" s="347"/>
      <c r="FV33" s="347"/>
    </row>
    <row r="34" spans="1:179">
      <c r="A34" s="1395"/>
      <c r="B34" s="859" t="s">
        <v>403</v>
      </c>
      <c r="C34" s="860" t="s">
        <v>402</v>
      </c>
      <c r="D34" s="890">
        <f>1.50375/1000</f>
        <v>1.5037499999999999E-3</v>
      </c>
      <c r="E34" s="861"/>
      <c r="F34" s="891" t="s">
        <v>454</v>
      </c>
      <c r="G34" s="892">
        <v>166.44858374999998</v>
      </c>
      <c r="H34" s="892">
        <v>166.44858374999998</v>
      </c>
      <c r="I34" s="892">
        <v>166.44858374999998</v>
      </c>
      <c r="J34" s="892">
        <v>166.44858374999998</v>
      </c>
      <c r="K34" s="892">
        <v>166.44858374999998</v>
      </c>
      <c r="L34" s="892">
        <v>166.44858374999998</v>
      </c>
      <c r="M34" s="892">
        <v>166.44858374999998</v>
      </c>
      <c r="N34" s="892">
        <v>166.44858374999998</v>
      </c>
      <c r="O34" s="892">
        <v>166.44858374999998</v>
      </c>
      <c r="P34" s="892">
        <v>166.44858374999998</v>
      </c>
      <c r="Q34" s="892">
        <v>166.44858374999998</v>
      </c>
      <c r="R34" s="892">
        <v>166.44858374999998</v>
      </c>
      <c r="S34" s="892">
        <v>166.44858374999998</v>
      </c>
      <c r="T34" s="892">
        <f t="shared" ref="T34:AS34" si="26">T17*$D$34</f>
        <v>137.652021875</v>
      </c>
      <c r="U34" s="892">
        <f t="shared" si="26"/>
        <v>137.652021875</v>
      </c>
      <c r="V34" s="892">
        <f t="shared" si="26"/>
        <v>137.652021875</v>
      </c>
      <c r="W34" s="892">
        <f t="shared" si="26"/>
        <v>137.652021875</v>
      </c>
      <c r="X34" s="892">
        <f t="shared" si="26"/>
        <v>137.652021875</v>
      </c>
      <c r="Y34" s="892">
        <f t="shared" si="26"/>
        <v>137.652021875</v>
      </c>
      <c r="Z34" s="892">
        <f t="shared" si="26"/>
        <v>137.652021875</v>
      </c>
      <c r="AA34" s="892">
        <f t="shared" si="26"/>
        <v>137.652021875</v>
      </c>
      <c r="AB34" s="892">
        <f t="shared" si="26"/>
        <v>137.652021875</v>
      </c>
      <c r="AC34" s="892">
        <f t="shared" si="26"/>
        <v>137.652021875</v>
      </c>
      <c r="AD34" s="892">
        <f t="shared" si="26"/>
        <v>137.652021875</v>
      </c>
      <c r="AE34" s="892">
        <f t="shared" si="26"/>
        <v>137.652021875</v>
      </c>
      <c r="AF34" s="892">
        <f t="shared" si="26"/>
        <v>137.652021875</v>
      </c>
      <c r="AG34" s="892">
        <f t="shared" si="26"/>
        <v>137.652021875</v>
      </c>
      <c r="AH34" s="892">
        <f t="shared" si="26"/>
        <v>137.652021875</v>
      </c>
      <c r="AI34" s="892">
        <f t="shared" si="26"/>
        <v>137.652021875</v>
      </c>
      <c r="AJ34" s="892">
        <f t="shared" si="26"/>
        <v>137.652021875</v>
      </c>
      <c r="AK34" s="892">
        <f t="shared" si="26"/>
        <v>137.652021875</v>
      </c>
      <c r="AL34" s="892">
        <f t="shared" si="26"/>
        <v>137.652021875</v>
      </c>
      <c r="AM34" s="892">
        <f t="shared" si="26"/>
        <v>137.652021875</v>
      </c>
      <c r="AN34" s="892">
        <f t="shared" si="26"/>
        <v>137.652021875</v>
      </c>
      <c r="AO34" s="892">
        <f t="shared" si="26"/>
        <v>137.652021875</v>
      </c>
      <c r="AP34" s="892">
        <f t="shared" si="26"/>
        <v>137.652021875</v>
      </c>
      <c r="AQ34" s="892">
        <f t="shared" si="26"/>
        <v>137.652021875</v>
      </c>
      <c r="AR34" s="892">
        <f t="shared" si="26"/>
        <v>137.652021875</v>
      </c>
      <c r="AS34" s="892">
        <f t="shared" si="26"/>
        <v>137.652021875</v>
      </c>
      <c r="AT34" s="892">
        <f>AT17*$D$34</f>
        <v>137.652021875</v>
      </c>
      <c r="AU34" s="893">
        <f t="shared" ref="AU34:CL34" si="27">AU17*$D$34</f>
        <v>137.652021875</v>
      </c>
      <c r="AV34" s="893">
        <f t="shared" si="27"/>
        <v>137.652021875</v>
      </c>
      <c r="AW34" s="893">
        <f t="shared" si="27"/>
        <v>137.652021875</v>
      </c>
      <c r="AX34" s="893">
        <f t="shared" si="27"/>
        <v>137.652021875</v>
      </c>
      <c r="AY34" s="893">
        <f t="shared" si="27"/>
        <v>137.652021875</v>
      </c>
      <c r="AZ34" s="893">
        <f t="shared" si="27"/>
        <v>137.652021875</v>
      </c>
      <c r="BA34" s="893">
        <f t="shared" si="27"/>
        <v>137.652021875</v>
      </c>
      <c r="BB34" s="893">
        <f t="shared" si="27"/>
        <v>137.652021875</v>
      </c>
      <c r="BC34" s="893">
        <f t="shared" si="27"/>
        <v>137.652021875</v>
      </c>
      <c r="BD34" s="893">
        <f t="shared" si="27"/>
        <v>137.652021875</v>
      </c>
      <c r="BE34" s="893">
        <f t="shared" si="27"/>
        <v>137.652021875</v>
      </c>
      <c r="BF34" s="893">
        <f t="shared" si="27"/>
        <v>137.652021875</v>
      </c>
      <c r="BG34" s="893">
        <f t="shared" si="27"/>
        <v>137.652021875</v>
      </c>
      <c r="BH34" s="893">
        <f t="shared" si="27"/>
        <v>137.652021875</v>
      </c>
      <c r="BI34" s="893">
        <f t="shared" si="27"/>
        <v>137.652021875</v>
      </c>
      <c r="BJ34" s="893">
        <f t="shared" si="27"/>
        <v>137.652021875</v>
      </c>
      <c r="BK34" s="893">
        <f t="shared" si="27"/>
        <v>137.652021875</v>
      </c>
      <c r="BL34" s="893">
        <f t="shared" si="27"/>
        <v>137.652021875</v>
      </c>
      <c r="BM34" s="893">
        <f t="shared" si="27"/>
        <v>137.652021875</v>
      </c>
      <c r="BN34" s="893">
        <f t="shared" si="27"/>
        <v>137.652021875</v>
      </c>
      <c r="BO34" s="893">
        <f t="shared" si="27"/>
        <v>137.652021875</v>
      </c>
      <c r="BP34" s="893">
        <f t="shared" si="27"/>
        <v>137.652021875</v>
      </c>
      <c r="BQ34" s="893">
        <f t="shared" si="27"/>
        <v>137.652021875</v>
      </c>
      <c r="BR34" s="893">
        <f t="shared" si="27"/>
        <v>137.652021875</v>
      </c>
      <c r="BS34" s="893">
        <f t="shared" si="27"/>
        <v>137.652021875</v>
      </c>
      <c r="BT34" s="893">
        <f t="shared" si="27"/>
        <v>137.652021875</v>
      </c>
      <c r="BU34" s="893">
        <f t="shared" si="27"/>
        <v>137.652021875</v>
      </c>
      <c r="BV34" s="893">
        <f t="shared" si="27"/>
        <v>137.652021875</v>
      </c>
      <c r="BW34" s="893">
        <f t="shared" si="27"/>
        <v>137.652021875</v>
      </c>
      <c r="BX34" s="893">
        <f t="shared" si="27"/>
        <v>137.652021875</v>
      </c>
      <c r="BY34" s="893">
        <f t="shared" si="27"/>
        <v>137.652021875</v>
      </c>
      <c r="BZ34" s="893">
        <f t="shared" si="27"/>
        <v>137.652021875</v>
      </c>
      <c r="CA34" s="893">
        <f t="shared" si="27"/>
        <v>137.652021875</v>
      </c>
      <c r="CB34" s="893">
        <f t="shared" si="27"/>
        <v>137.652021875</v>
      </c>
      <c r="CC34" s="893">
        <f t="shared" si="27"/>
        <v>137.652021875</v>
      </c>
      <c r="CD34" s="893">
        <f t="shared" si="27"/>
        <v>137.652021875</v>
      </c>
      <c r="CE34" s="893">
        <f t="shared" si="27"/>
        <v>137.652021875</v>
      </c>
      <c r="CF34" s="893">
        <f t="shared" si="27"/>
        <v>137.652021875</v>
      </c>
      <c r="CG34" s="893">
        <f t="shared" si="27"/>
        <v>137.652021875</v>
      </c>
      <c r="CH34" s="893">
        <f t="shared" si="27"/>
        <v>137.652021875</v>
      </c>
      <c r="CI34" s="893">
        <f t="shared" si="27"/>
        <v>137.652021875</v>
      </c>
      <c r="CJ34" s="893">
        <f t="shared" si="27"/>
        <v>137.652021875</v>
      </c>
      <c r="CK34" s="893">
        <f t="shared" si="27"/>
        <v>137.652021875</v>
      </c>
      <c r="CL34" s="894">
        <f t="shared" si="27"/>
        <v>137.652021875</v>
      </c>
      <c r="CM34" s="854">
        <f t="shared" si="15"/>
        <v>142.1086326413689</v>
      </c>
      <c r="CN34" s="347"/>
      <c r="CO34" s="895">
        <v>41883</v>
      </c>
      <c r="CP34" s="895">
        <v>41913</v>
      </c>
      <c r="CQ34" s="895">
        <v>41944</v>
      </c>
      <c r="CR34" s="895">
        <v>41974</v>
      </c>
      <c r="CS34" s="895">
        <v>42005</v>
      </c>
      <c r="CT34" s="895">
        <v>42036</v>
      </c>
      <c r="CU34" s="895">
        <v>42064</v>
      </c>
      <c r="CV34" s="895">
        <v>42095</v>
      </c>
      <c r="CW34" s="895">
        <v>42125</v>
      </c>
      <c r="CX34" s="895">
        <v>42156</v>
      </c>
      <c r="CY34" s="895">
        <v>42186</v>
      </c>
      <c r="CZ34" s="895">
        <v>42217</v>
      </c>
      <c r="DA34" s="895">
        <v>42248</v>
      </c>
      <c r="DB34" s="895">
        <v>42278</v>
      </c>
      <c r="DC34" s="895">
        <v>42309</v>
      </c>
      <c r="DD34" s="895">
        <v>42339</v>
      </c>
      <c r="DE34" s="895">
        <v>42370</v>
      </c>
      <c r="DF34" s="895">
        <v>42401</v>
      </c>
      <c r="DG34" s="895">
        <v>42430</v>
      </c>
      <c r="DH34" s="895">
        <v>42461</v>
      </c>
      <c r="DI34" s="895">
        <v>42491</v>
      </c>
      <c r="DJ34" s="895">
        <v>42522</v>
      </c>
      <c r="DK34" s="895">
        <v>42552</v>
      </c>
      <c r="DL34" s="895">
        <v>42583</v>
      </c>
      <c r="DM34" s="895">
        <v>42614</v>
      </c>
      <c r="DN34" s="895">
        <v>42644</v>
      </c>
      <c r="DO34" s="895">
        <v>42675</v>
      </c>
      <c r="DP34" s="895">
        <v>42705</v>
      </c>
      <c r="DQ34" s="895">
        <v>42736</v>
      </c>
      <c r="DR34" s="895">
        <v>42767</v>
      </c>
      <c r="DS34" s="895">
        <v>42795</v>
      </c>
      <c r="DT34" s="895">
        <v>42826</v>
      </c>
      <c r="DU34" s="895">
        <v>42856</v>
      </c>
      <c r="DV34" s="895">
        <v>42887</v>
      </c>
      <c r="DW34" s="895">
        <v>42917</v>
      </c>
      <c r="DX34" s="895">
        <v>42948</v>
      </c>
      <c r="DY34" s="895">
        <v>42979</v>
      </c>
      <c r="DZ34" s="895">
        <v>43009</v>
      </c>
      <c r="EA34" s="895">
        <v>43040</v>
      </c>
      <c r="EB34" s="895">
        <v>43070</v>
      </c>
      <c r="EC34" s="895">
        <v>43101</v>
      </c>
      <c r="ED34" s="895">
        <v>43132</v>
      </c>
      <c r="EE34" s="895">
        <v>43160</v>
      </c>
      <c r="EF34" s="895">
        <v>43191</v>
      </c>
      <c r="EG34" s="895">
        <v>43221</v>
      </c>
      <c r="EH34" s="895">
        <v>43252</v>
      </c>
      <c r="EI34" s="895">
        <v>43282</v>
      </c>
      <c r="EJ34" s="895">
        <v>43313</v>
      </c>
      <c r="EK34" s="895">
        <v>43344</v>
      </c>
      <c r="EL34" s="895">
        <v>43374</v>
      </c>
      <c r="EM34" s="895">
        <v>43405</v>
      </c>
      <c r="EN34" s="895">
        <v>43435</v>
      </c>
      <c r="EO34" s="895">
        <v>43466</v>
      </c>
      <c r="EP34" s="895">
        <v>43497</v>
      </c>
      <c r="EQ34" s="895">
        <v>43525</v>
      </c>
      <c r="ER34" s="895">
        <v>43556</v>
      </c>
      <c r="ES34" s="895">
        <v>43586</v>
      </c>
      <c r="ET34" s="895">
        <v>43617</v>
      </c>
      <c r="EU34" s="895">
        <v>43647</v>
      </c>
      <c r="EV34" s="895">
        <v>43678</v>
      </c>
      <c r="EW34" s="895">
        <v>43709</v>
      </c>
      <c r="EX34" s="895">
        <v>43739</v>
      </c>
      <c r="EY34" s="895">
        <v>43770</v>
      </c>
      <c r="EZ34" s="895">
        <v>43800</v>
      </c>
      <c r="FA34" s="895">
        <v>43831</v>
      </c>
      <c r="FB34" s="895">
        <v>43862</v>
      </c>
      <c r="FC34" s="895">
        <v>43891</v>
      </c>
      <c r="FD34" s="895">
        <v>43922</v>
      </c>
      <c r="FE34" s="895">
        <v>43952</v>
      </c>
      <c r="FF34" s="895">
        <v>43983</v>
      </c>
      <c r="FG34" s="895">
        <v>44013</v>
      </c>
      <c r="FH34" s="895">
        <v>44044</v>
      </c>
      <c r="FI34" s="895">
        <v>44075</v>
      </c>
      <c r="FJ34" s="895">
        <v>44105</v>
      </c>
      <c r="FK34" s="895">
        <v>44136</v>
      </c>
      <c r="FL34" s="895">
        <v>44166</v>
      </c>
      <c r="FM34" s="895">
        <v>44197</v>
      </c>
      <c r="FN34" s="895">
        <v>44228</v>
      </c>
      <c r="FO34" s="895">
        <v>44256</v>
      </c>
      <c r="FP34" s="895">
        <v>44287</v>
      </c>
      <c r="FQ34" s="895">
        <v>44317</v>
      </c>
      <c r="FR34" s="895">
        <v>44348</v>
      </c>
      <c r="FS34" s="895">
        <v>44378</v>
      </c>
      <c r="FT34" s="895">
        <v>44409</v>
      </c>
      <c r="FU34" s="895">
        <v>44440</v>
      </c>
      <c r="FV34" s="601"/>
    </row>
    <row r="35" spans="1:179" ht="15" customHeight="1">
      <c r="A35" s="1396" t="s">
        <v>111</v>
      </c>
      <c r="B35" s="876" t="s">
        <v>399</v>
      </c>
      <c r="C35" s="877" t="s">
        <v>402</v>
      </c>
      <c r="D35" s="877">
        <v>1.61</v>
      </c>
      <c r="E35" s="1398" t="s">
        <v>449</v>
      </c>
      <c r="F35" s="896" t="s">
        <v>148</v>
      </c>
      <c r="G35" s="897">
        <f t="shared" ref="G35:R35" si="28">$D$35*G17</f>
        <v>147378.05833333335</v>
      </c>
      <c r="H35" s="897">
        <f t="shared" si="28"/>
        <v>147378.05833333335</v>
      </c>
      <c r="I35" s="897">
        <f t="shared" si="28"/>
        <v>147378.05833333335</v>
      </c>
      <c r="J35" s="897">
        <f t="shared" si="28"/>
        <v>147378.05833333335</v>
      </c>
      <c r="K35" s="897">
        <f t="shared" si="28"/>
        <v>147378.05833333335</v>
      </c>
      <c r="L35" s="897">
        <f t="shared" si="28"/>
        <v>147378.05833333335</v>
      </c>
      <c r="M35" s="897">
        <f t="shared" si="28"/>
        <v>147378.05833333335</v>
      </c>
      <c r="N35" s="897">
        <f t="shared" si="28"/>
        <v>147378.05833333335</v>
      </c>
      <c r="O35" s="897">
        <f t="shared" si="28"/>
        <v>147378.05833333335</v>
      </c>
      <c r="P35" s="897">
        <f t="shared" si="28"/>
        <v>147378.05833333335</v>
      </c>
      <c r="Q35" s="897">
        <f t="shared" si="28"/>
        <v>147378.05833333335</v>
      </c>
      <c r="R35" s="897">
        <f t="shared" si="28"/>
        <v>147378.05833333335</v>
      </c>
      <c r="S35" s="897">
        <f>$D$35*S17</f>
        <v>147378.05833333335</v>
      </c>
      <c r="T35" s="897">
        <f t="shared" ref="T35:CE35" si="29">$D$35*T17</f>
        <v>147378.05833333335</v>
      </c>
      <c r="U35" s="897">
        <f t="shared" si="29"/>
        <v>147378.05833333335</v>
      </c>
      <c r="V35" s="897">
        <f t="shared" si="29"/>
        <v>147378.05833333335</v>
      </c>
      <c r="W35" s="897">
        <f t="shared" si="29"/>
        <v>147378.05833333335</v>
      </c>
      <c r="X35" s="897">
        <f t="shared" si="29"/>
        <v>147378.05833333335</v>
      </c>
      <c r="Y35" s="897">
        <f t="shared" si="29"/>
        <v>147378.05833333335</v>
      </c>
      <c r="Z35" s="897">
        <f t="shared" si="29"/>
        <v>147378.05833333335</v>
      </c>
      <c r="AA35" s="897">
        <f t="shared" si="29"/>
        <v>147378.05833333335</v>
      </c>
      <c r="AB35" s="897">
        <f t="shared" si="29"/>
        <v>147378.05833333335</v>
      </c>
      <c r="AC35" s="897">
        <f t="shared" si="29"/>
        <v>147378.05833333335</v>
      </c>
      <c r="AD35" s="897">
        <f t="shared" si="29"/>
        <v>147378.05833333335</v>
      </c>
      <c r="AE35" s="897">
        <f t="shared" si="29"/>
        <v>147378.05833333335</v>
      </c>
      <c r="AF35" s="897">
        <f t="shared" si="29"/>
        <v>147378.05833333335</v>
      </c>
      <c r="AG35" s="897">
        <f t="shared" si="29"/>
        <v>147378.05833333335</v>
      </c>
      <c r="AH35" s="897">
        <f t="shared" si="29"/>
        <v>147378.05833333335</v>
      </c>
      <c r="AI35" s="897">
        <f t="shared" si="29"/>
        <v>147378.05833333335</v>
      </c>
      <c r="AJ35" s="897">
        <f t="shared" si="29"/>
        <v>147378.05833333335</v>
      </c>
      <c r="AK35" s="897">
        <f t="shared" si="29"/>
        <v>147378.05833333335</v>
      </c>
      <c r="AL35" s="897">
        <f t="shared" si="29"/>
        <v>147378.05833333335</v>
      </c>
      <c r="AM35" s="897">
        <f t="shared" si="29"/>
        <v>147378.05833333335</v>
      </c>
      <c r="AN35" s="897">
        <f t="shared" si="29"/>
        <v>147378.05833333335</v>
      </c>
      <c r="AO35" s="897">
        <f t="shared" si="29"/>
        <v>147378.05833333335</v>
      </c>
      <c r="AP35" s="897">
        <f t="shared" si="29"/>
        <v>147378.05833333335</v>
      </c>
      <c r="AQ35" s="897">
        <f t="shared" si="29"/>
        <v>147378.05833333335</v>
      </c>
      <c r="AR35" s="897">
        <f t="shared" si="29"/>
        <v>147378.05833333335</v>
      </c>
      <c r="AS35" s="897">
        <f t="shared" si="29"/>
        <v>147378.05833333335</v>
      </c>
      <c r="AT35" s="897">
        <f t="shared" si="29"/>
        <v>147378.05833333335</v>
      </c>
      <c r="AU35" s="898">
        <f t="shared" si="29"/>
        <v>147378.05833333335</v>
      </c>
      <c r="AV35" s="898">
        <f t="shared" si="29"/>
        <v>147378.05833333335</v>
      </c>
      <c r="AW35" s="898">
        <f t="shared" si="29"/>
        <v>147378.05833333335</v>
      </c>
      <c r="AX35" s="898">
        <f t="shared" si="29"/>
        <v>147378.05833333335</v>
      </c>
      <c r="AY35" s="898">
        <f t="shared" si="29"/>
        <v>147378.05833333335</v>
      </c>
      <c r="AZ35" s="898">
        <f t="shared" si="29"/>
        <v>147378.05833333335</v>
      </c>
      <c r="BA35" s="898">
        <f t="shared" si="29"/>
        <v>147378.05833333335</v>
      </c>
      <c r="BB35" s="898">
        <f t="shared" si="29"/>
        <v>147378.05833333335</v>
      </c>
      <c r="BC35" s="898">
        <f t="shared" si="29"/>
        <v>147378.05833333335</v>
      </c>
      <c r="BD35" s="898">
        <f t="shared" si="29"/>
        <v>147378.05833333335</v>
      </c>
      <c r="BE35" s="898">
        <f t="shared" si="29"/>
        <v>147378.05833333335</v>
      </c>
      <c r="BF35" s="898">
        <f t="shared" si="29"/>
        <v>147378.05833333335</v>
      </c>
      <c r="BG35" s="898">
        <f t="shared" si="29"/>
        <v>147378.05833333335</v>
      </c>
      <c r="BH35" s="898">
        <f t="shared" si="29"/>
        <v>147378.05833333335</v>
      </c>
      <c r="BI35" s="898">
        <f t="shared" si="29"/>
        <v>147378.05833333335</v>
      </c>
      <c r="BJ35" s="898">
        <f t="shared" si="29"/>
        <v>147378.05833333335</v>
      </c>
      <c r="BK35" s="898">
        <f t="shared" si="29"/>
        <v>147378.05833333335</v>
      </c>
      <c r="BL35" s="898">
        <f t="shared" si="29"/>
        <v>147378.05833333335</v>
      </c>
      <c r="BM35" s="898">
        <f t="shared" si="29"/>
        <v>147378.05833333335</v>
      </c>
      <c r="BN35" s="898">
        <f t="shared" si="29"/>
        <v>147378.05833333335</v>
      </c>
      <c r="BO35" s="898">
        <f t="shared" si="29"/>
        <v>147378.05833333335</v>
      </c>
      <c r="BP35" s="898">
        <f t="shared" si="29"/>
        <v>147378.05833333335</v>
      </c>
      <c r="BQ35" s="898">
        <f t="shared" si="29"/>
        <v>147378.05833333335</v>
      </c>
      <c r="BR35" s="898">
        <f t="shared" si="29"/>
        <v>147378.05833333335</v>
      </c>
      <c r="BS35" s="898">
        <f t="shared" si="29"/>
        <v>147378.05833333335</v>
      </c>
      <c r="BT35" s="898">
        <f t="shared" si="29"/>
        <v>147378.05833333335</v>
      </c>
      <c r="BU35" s="898">
        <f t="shared" si="29"/>
        <v>147378.05833333335</v>
      </c>
      <c r="BV35" s="898">
        <f t="shared" si="29"/>
        <v>147378.05833333335</v>
      </c>
      <c r="BW35" s="898">
        <f t="shared" si="29"/>
        <v>147378.05833333335</v>
      </c>
      <c r="BX35" s="898">
        <f t="shared" si="29"/>
        <v>147378.05833333335</v>
      </c>
      <c r="BY35" s="898">
        <f t="shared" si="29"/>
        <v>147378.05833333335</v>
      </c>
      <c r="BZ35" s="898">
        <f t="shared" si="29"/>
        <v>147378.05833333335</v>
      </c>
      <c r="CA35" s="898">
        <f t="shared" si="29"/>
        <v>147378.05833333335</v>
      </c>
      <c r="CB35" s="898">
        <f t="shared" si="29"/>
        <v>147378.05833333335</v>
      </c>
      <c r="CC35" s="898">
        <f t="shared" si="29"/>
        <v>147378.05833333335</v>
      </c>
      <c r="CD35" s="898">
        <f t="shared" si="29"/>
        <v>147378.05833333335</v>
      </c>
      <c r="CE35" s="898">
        <f t="shared" si="29"/>
        <v>147378.05833333335</v>
      </c>
      <c r="CF35" s="898">
        <f t="shared" ref="CF35:CL35" si="30">$D$35*CF17</f>
        <v>147378.05833333335</v>
      </c>
      <c r="CG35" s="898">
        <f t="shared" si="30"/>
        <v>147378.05833333335</v>
      </c>
      <c r="CH35" s="898">
        <f t="shared" si="30"/>
        <v>147378.05833333335</v>
      </c>
      <c r="CI35" s="898">
        <f t="shared" si="30"/>
        <v>147378.05833333335</v>
      </c>
      <c r="CJ35" s="898">
        <f t="shared" si="30"/>
        <v>147378.05833333335</v>
      </c>
      <c r="CK35" s="898">
        <f t="shared" si="30"/>
        <v>147378.05833333335</v>
      </c>
      <c r="CL35" s="896">
        <f t="shared" si="30"/>
        <v>147378.05833333335</v>
      </c>
      <c r="CM35" s="899">
        <f t="shared" si="15"/>
        <v>147378.05833333352</v>
      </c>
      <c r="CN35" s="900" t="s">
        <v>437</v>
      </c>
      <c r="CO35" s="901">
        <v>6.12</v>
      </c>
      <c r="CP35" s="901">
        <v>6.12</v>
      </c>
      <c r="CQ35" s="901">
        <v>6.12</v>
      </c>
      <c r="CR35" s="901">
        <v>6.12</v>
      </c>
      <c r="CS35" s="901">
        <v>6.24</v>
      </c>
      <c r="CT35" s="901">
        <v>6.24</v>
      </c>
      <c r="CU35" s="901">
        <v>6.28</v>
      </c>
      <c r="CV35" s="901">
        <v>6.28</v>
      </c>
      <c r="CW35" s="901">
        <v>6.32</v>
      </c>
      <c r="CX35" s="901">
        <v>6.32</v>
      </c>
      <c r="CY35" s="901">
        <v>6.47</v>
      </c>
      <c r="CZ35" s="901">
        <v>6.47</v>
      </c>
      <c r="DA35" s="901">
        <v>6.47</v>
      </c>
      <c r="DB35" s="901">
        <v>6.51</v>
      </c>
      <c r="DC35" s="901">
        <v>6.6447253073219397</v>
      </c>
      <c r="DD35" s="901">
        <v>6.6592391374311397</v>
      </c>
      <c r="DE35" s="901">
        <v>6.6737529675403398</v>
      </c>
      <c r="DF35" s="901">
        <v>6.6882667976495496</v>
      </c>
      <c r="DG35" s="901">
        <v>6.7027806277587496</v>
      </c>
      <c r="DH35" s="901">
        <v>6.7172944578679497</v>
      </c>
      <c r="DI35" s="901">
        <v>6.7318082879771604</v>
      </c>
      <c r="DJ35" s="901">
        <v>6.7463221180863604</v>
      </c>
      <c r="DK35" s="901">
        <v>6.7608359481955604</v>
      </c>
      <c r="DL35" s="901">
        <v>6.7753497783047703</v>
      </c>
      <c r="DM35" s="901">
        <v>6.7898636084139703</v>
      </c>
      <c r="DN35" s="901">
        <v>6.91</v>
      </c>
      <c r="DO35" s="901">
        <v>6.8188912686323802</v>
      </c>
      <c r="DP35" s="901">
        <v>6.86</v>
      </c>
      <c r="DQ35" s="901">
        <v>6.8479189288507802</v>
      </c>
      <c r="DR35" s="901">
        <v>6.8624327589599803</v>
      </c>
      <c r="DS35" s="901">
        <v>6.8769465890691901</v>
      </c>
      <c r="DT35" s="901">
        <v>6.8914604191783901</v>
      </c>
      <c r="DU35" s="901">
        <v>6.9059742492875902</v>
      </c>
      <c r="DV35" s="901">
        <v>6.9204880793968</v>
      </c>
      <c r="DW35" s="901">
        <v>6.935001909506</v>
      </c>
      <c r="DX35" s="901">
        <v>6.9495157396152001</v>
      </c>
      <c r="DY35" s="901">
        <v>6.9640295697244099</v>
      </c>
      <c r="DZ35" s="901">
        <v>6.9785433998336099</v>
      </c>
      <c r="EA35" s="901">
        <v>6.99305722994281</v>
      </c>
      <c r="EB35" s="901">
        <v>7.0075710600520198</v>
      </c>
      <c r="EC35" s="901">
        <v>5.2450000000000001</v>
      </c>
      <c r="ED35" s="901">
        <v>7.48</v>
      </c>
      <c r="EE35" s="901">
        <v>7.6002255138846202</v>
      </c>
      <c r="EF35" s="901">
        <v>6.65</v>
      </c>
      <c r="EG35" s="901">
        <v>6.77</v>
      </c>
      <c r="EH35" s="901">
        <v>6.83</v>
      </c>
      <c r="EI35" s="901">
        <v>8.23</v>
      </c>
      <c r="EJ35" s="901">
        <v>8.2200000000000006</v>
      </c>
      <c r="EK35" s="901">
        <v>7.32</v>
      </c>
      <c r="EL35" s="901">
        <v>8.18</v>
      </c>
      <c r="EM35" s="901">
        <v>7.53</v>
      </c>
      <c r="EN35" s="901">
        <v>7.13</v>
      </c>
      <c r="EO35" s="901">
        <v>6.42</v>
      </c>
      <c r="EP35" s="901">
        <v>7.18</v>
      </c>
      <c r="EQ35" s="901">
        <v>6.07</v>
      </c>
      <c r="ER35" s="901">
        <v>4.8415999999999997</v>
      </c>
      <c r="ES35" s="901">
        <v>4.8899999999999997</v>
      </c>
      <c r="ET35" s="901">
        <v>5.4</v>
      </c>
      <c r="EU35" s="901">
        <v>5.84</v>
      </c>
      <c r="EV35" s="901">
        <v>5.76</v>
      </c>
      <c r="EW35" s="901">
        <v>5.46</v>
      </c>
      <c r="EX35" s="901">
        <v>6.36</v>
      </c>
      <c r="EY35" s="901">
        <v>6.17</v>
      </c>
      <c r="EZ35" s="901">
        <v>6.84</v>
      </c>
      <c r="FA35" s="901">
        <v>5.67</v>
      </c>
      <c r="FB35" s="901">
        <v>5.33</v>
      </c>
      <c r="FC35" s="901">
        <v>3.69</v>
      </c>
      <c r="FD35" s="901">
        <v>4.9800000000000004</v>
      </c>
      <c r="FE35" s="901">
        <v>4.4800000000000004</v>
      </c>
      <c r="FF35" s="901">
        <v>3</v>
      </c>
      <c r="FG35" s="901">
        <v>2.6</v>
      </c>
      <c r="FH35" s="901">
        <v>3.43</v>
      </c>
      <c r="FI35" s="901">
        <v>4.3499999999999996</v>
      </c>
      <c r="FJ35" s="901">
        <v>4.68</v>
      </c>
      <c r="FK35" s="901">
        <v>5.0999999999999996</v>
      </c>
      <c r="FL35" s="901">
        <v>6.03</v>
      </c>
      <c r="FM35" s="901">
        <v>6.67</v>
      </c>
      <c r="FN35" s="901">
        <v>8.02</v>
      </c>
      <c r="FO35" s="901">
        <v>7.23</v>
      </c>
      <c r="FP35" s="901">
        <v>5.36</v>
      </c>
      <c r="FQ35" s="901">
        <v>5.15</v>
      </c>
      <c r="FR35" s="901">
        <v>5.64</v>
      </c>
      <c r="FS35" s="901">
        <v>6.42</v>
      </c>
      <c r="FT35" s="901">
        <v>7.17</v>
      </c>
      <c r="FU35" s="901">
        <v>7.47</v>
      </c>
      <c r="FV35" s="902">
        <f t="shared" ref="FV35:FV42" si="31">AVERAGE(EC35:FU35)</f>
        <v>6.0197072336418813</v>
      </c>
      <c r="FW35" s="903"/>
    </row>
    <row r="36" spans="1:179">
      <c r="A36" s="1397"/>
      <c r="B36" s="876" t="s">
        <v>399</v>
      </c>
      <c r="C36" s="877" t="s">
        <v>402</v>
      </c>
      <c r="D36" s="877">
        <v>514.32000000000005</v>
      </c>
      <c r="E36" s="1398"/>
      <c r="F36" s="896" t="s">
        <v>134</v>
      </c>
      <c r="G36" s="897">
        <f t="shared" ref="G36:BR36" si="32">$D$36*G17</f>
        <v>47080424.20000001</v>
      </c>
      <c r="H36" s="897">
        <f t="shared" si="32"/>
        <v>47080424.20000001</v>
      </c>
      <c r="I36" s="897">
        <f t="shared" si="32"/>
        <v>47080424.20000001</v>
      </c>
      <c r="J36" s="897">
        <f t="shared" si="32"/>
        <v>47080424.20000001</v>
      </c>
      <c r="K36" s="897">
        <f t="shared" si="32"/>
        <v>47080424.20000001</v>
      </c>
      <c r="L36" s="897">
        <f t="shared" si="32"/>
        <v>47080424.20000001</v>
      </c>
      <c r="M36" s="897">
        <f t="shared" si="32"/>
        <v>47080424.20000001</v>
      </c>
      <c r="N36" s="897">
        <f t="shared" si="32"/>
        <v>47080424.20000001</v>
      </c>
      <c r="O36" s="897">
        <f t="shared" si="32"/>
        <v>47080424.20000001</v>
      </c>
      <c r="P36" s="897">
        <f t="shared" si="32"/>
        <v>47080424.20000001</v>
      </c>
      <c r="Q36" s="897">
        <f t="shared" si="32"/>
        <v>47080424.20000001</v>
      </c>
      <c r="R36" s="897">
        <f t="shared" si="32"/>
        <v>47080424.20000001</v>
      </c>
      <c r="S36" s="897">
        <f t="shared" si="32"/>
        <v>47080424.20000001</v>
      </c>
      <c r="T36" s="897">
        <f t="shared" si="32"/>
        <v>47080424.20000001</v>
      </c>
      <c r="U36" s="897">
        <f t="shared" si="32"/>
        <v>47080424.20000001</v>
      </c>
      <c r="V36" s="897">
        <f t="shared" si="32"/>
        <v>47080424.20000001</v>
      </c>
      <c r="W36" s="897">
        <f t="shared" si="32"/>
        <v>47080424.20000001</v>
      </c>
      <c r="X36" s="897">
        <f t="shared" si="32"/>
        <v>47080424.20000001</v>
      </c>
      <c r="Y36" s="897">
        <f t="shared" si="32"/>
        <v>47080424.20000001</v>
      </c>
      <c r="Z36" s="897">
        <f t="shared" si="32"/>
        <v>47080424.20000001</v>
      </c>
      <c r="AA36" s="897">
        <f t="shared" si="32"/>
        <v>47080424.20000001</v>
      </c>
      <c r="AB36" s="897">
        <f t="shared" si="32"/>
        <v>47080424.20000001</v>
      </c>
      <c r="AC36" s="897">
        <f t="shared" si="32"/>
        <v>47080424.20000001</v>
      </c>
      <c r="AD36" s="897">
        <f t="shared" si="32"/>
        <v>47080424.20000001</v>
      </c>
      <c r="AE36" s="897">
        <f t="shared" si="32"/>
        <v>47080424.20000001</v>
      </c>
      <c r="AF36" s="897">
        <f t="shared" si="32"/>
        <v>47080424.20000001</v>
      </c>
      <c r="AG36" s="897">
        <f t="shared" si="32"/>
        <v>47080424.20000001</v>
      </c>
      <c r="AH36" s="897">
        <f t="shared" si="32"/>
        <v>47080424.20000001</v>
      </c>
      <c r="AI36" s="897">
        <f t="shared" si="32"/>
        <v>47080424.20000001</v>
      </c>
      <c r="AJ36" s="897">
        <f t="shared" si="32"/>
        <v>47080424.20000001</v>
      </c>
      <c r="AK36" s="897">
        <f t="shared" si="32"/>
        <v>47080424.20000001</v>
      </c>
      <c r="AL36" s="897">
        <f t="shared" si="32"/>
        <v>47080424.20000001</v>
      </c>
      <c r="AM36" s="897">
        <f t="shared" si="32"/>
        <v>47080424.20000001</v>
      </c>
      <c r="AN36" s="897">
        <f t="shared" si="32"/>
        <v>47080424.20000001</v>
      </c>
      <c r="AO36" s="897">
        <f t="shared" si="32"/>
        <v>47080424.20000001</v>
      </c>
      <c r="AP36" s="897">
        <f t="shared" si="32"/>
        <v>47080424.20000001</v>
      </c>
      <c r="AQ36" s="897">
        <f t="shared" si="32"/>
        <v>47080424.20000001</v>
      </c>
      <c r="AR36" s="897">
        <f t="shared" si="32"/>
        <v>47080424.20000001</v>
      </c>
      <c r="AS36" s="897">
        <f t="shared" si="32"/>
        <v>47080424.20000001</v>
      </c>
      <c r="AT36" s="897">
        <f t="shared" si="32"/>
        <v>47080424.20000001</v>
      </c>
      <c r="AU36" s="898">
        <f t="shared" si="32"/>
        <v>47080424.20000001</v>
      </c>
      <c r="AV36" s="898">
        <f t="shared" si="32"/>
        <v>47080424.20000001</v>
      </c>
      <c r="AW36" s="898">
        <f t="shared" si="32"/>
        <v>47080424.20000001</v>
      </c>
      <c r="AX36" s="898">
        <f t="shared" si="32"/>
        <v>47080424.20000001</v>
      </c>
      <c r="AY36" s="898">
        <f t="shared" si="32"/>
        <v>47080424.20000001</v>
      </c>
      <c r="AZ36" s="898">
        <f t="shared" si="32"/>
        <v>47080424.20000001</v>
      </c>
      <c r="BA36" s="898">
        <f t="shared" si="32"/>
        <v>47080424.20000001</v>
      </c>
      <c r="BB36" s="898">
        <f t="shared" si="32"/>
        <v>47080424.20000001</v>
      </c>
      <c r="BC36" s="898">
        <f t="shared" si="32"/>
        <v>47080424.20000001</v>
      </c>
      <c r="BD36" s="898">
        <f t="shared" si="32"/>
        <v>47080424.20000001</v>
      </c>
      <c r="BE36" s="898">
        <f t="shared" si="32"/>
        <v>47080424.20000001</v>
      </c>
      <c r="BF36" s="898">
        <f t="shared" si="32"/>
        <v>47080424.20000001</v>
      </c>
      <c r="BG36" s="898">
        <f t="shared" si="32"/>
        <v>47080424.20000001</v>
      </c>
      <c r="BH36" s="898">
        <f t="shared" si="32"/>
        <v>47080424.20000001</v>
      </c>
      <c r="BI36" s="898">
        <f t="shared" si="32"/>
        <v>47080424.20000001</v>
      </c>
      <c r="BJ36" s="898">
        <f t="shared" si="32"/>
        <v>47080424.20000001</v>
      </c>
      <c r="BK36" s="898">
        <f t="shared" si="32"/>
        <v>47080424.20000001</v>
      </c>
      <c r="BL36" s="898">
        <f t="shared" si="32"/>
        <v>47080424.20000001</v>
      </c>
      <c r="BM36" s="898">
        <f t="shared" si="32"/>
        <v>47080424.20000001</v>
      </c>
      <c r="BN36" s="898">
        <f t="shared" si="32"/>
        <v>47080424.20000001</v>
      </c>
      <c r="BO36" s="898">
        <f t="shared" si="32"/>
        <v>47080424.20000001</v>
      </c>
      <c r="BP36" s="898">
        <f t="shared" si="32"/>
        <v>47080424.20000001</v>
      </c>
      <c r="BQ36" s="898">
        <f t="shared" si="32"/>
        <v>47080424.20000001</v>
      </c>
      <c r="BR36" s="898">
        <f t="shared" si="32"/>
        <v>47080424.20000001</v>
      </c>
      <c r="BS36" s="898">
        <f t="shared" ref="BS36:CL36" si="33">$D$36*BS17</f>
        <v>47080424.20000001</v>
      </c>
      <c r="BT36" s="898">
        <f t="shared" si="33"/>
        <v>47080424.20000001</v>
      </c>
      <c r="BU36" s="898">
        <f t="shared" si="33"/>
        <v>47080424.20000001</v>
      </c>
      <c r="BV36" s="898">
        <f t="shared" si="33"/>
        <v>47080424.20000001</v>
      </c>
      <c r="BW36" s="898">
        <f t="shared" si="33"/>
        <v>47080424.20000001</v>
      </c>
      <c r="BX36" s="898">
        <f t="shared" si="33"/>
        <v>47080424.20000001</v>
      </c>
      <c r="BY36" s="898">
        <f t="shared" si="33"/>
        <v>47080424.20000001</v>
      </c>
      <c r="BZ36" s="898">
        <f t="shared" si="33"/>
        <v>47080424.20000001</v>
      </c>
      <c r="CA36" s="898">
        <f t="shared" si="33"/>
        <v>47080424.20000001</v>
      </c>
      <c r="CB36" s="898">
        <f t="shared" si="33"/>
        <v>47080424.20000001</v>
      </c>
      <c r="CC36" s="898">
        <f t="shared" si="33"/>
        <v>47080424.20000001</v>
      </c>
      <c r="CD36" s="898">
        <f t="shared" si="33"/>
        <v>47080424.20000001</v>
      </c>
      <c r="CE36" s="898">
        <f t="shared" si="33"/>
        <v>47080424.20000001</v>
      </c>
      <c r="CF36" s="898">
        <f t="shared" si="33"/>
        <v>47080424.20000001</v>
      </c>
      <c r="CG36" s="898">
        <f t="shared" si="33"/>
        <v>47080424.20000001</v>
      </c>
      <c r="CH36" s="898">
        <f t="shared" si="33"/>
        <v>47080424.20000001</v>
      </c>
      <c r="CI36" s="898">
        <f t="shared" si="33"/>
        <v>47080424.20000001</v>
      </c>
      <c r="CJ36" s="898">
        <f t="shared" si="33"/>
        <v>47080424.20000001</v>
      </c>
      <c r="CK36" s="898">
        <f t="shared" si="33"/>
        <v>47080424.20000001</v>
      </c>
      <c r="CL36" s="896">
        <f t="shared" si="33"/>
        <v>47080424.20000001</v>
      </c>
      <c r="CM36" s="875">
        <f t="shared" si="15"/>
        <v>47080424.199999928</v>
      </c>
      <c r="CN36" s="904" t="s">
        <v>438</v>
      </c>
      <c r="CO36" s="905">
        <v>2198.1265252613698</v>
      </c>
      <c r="CP36" s="905">
        <v>2198.1265252613698</v>
      </c>
      <c r="CQ36" s="905">
        <v>2198.1265252613698</v>
      </c>
      <c r="CR36" s="905">
        <v>2198.1265252613698</v>
      </c>
      <c r="CS36" s="905">
        <v>2198.1265252613698</v>
      </c>
      <c r="CT36" s="905">
        <v>2198.1265252613698</v>
      </c>
      <c r="CU36" s="905">
        <v>2198.1265252613698</v>
      </c>
      <c r="CV36" s="905">
        <v>2198.1265252613698</v>
      </c>
      <c r="CW36" s="905">
        <v>2204.6719970040999</v>
      </c>
      <c r="CX36" s="905">
        <v>2198.1265252613698</v>
      </c>
      <c r="CY36" s="905">
        <v>2204.6719970040999</v>
      </c>
      <c r="CZ36" s="905">
        <v>2211.21746874684</v>
      </c>
      <c r="DA36" s="905">
        <v>2217.7629404895802</v>
      </c>
      <c r="DB36" s="905">
        <v>2224.3084122323098</v>
      </c>
      <c r="DC36" s="905">
        <v>2230.8538839750499</v>
      </c>
      <c r="DD36" s="905">
        <v>2237.3993557177901</v>
      </c>
      <c r="DE36" s="905">
        <v>2243.9448274605202</v>
      </c>
      <c r="DF36" s="905">
        <v>2250.4902992032598</v>
      </c>
      <c r="DG36" s="905">
        <v>2257.03577094599</v>
      </c>
      <c r="DH36" s="905">
        <v>2263.5812426887301</v>
      </c>
      <c r="DI36" s="905">
        <v>2270.1267144314702</v>
      </c>
      <c r="DJ36" s="905">
        <v>2276.6721861741999</v>
      </c>
      <c r="DK36" s="905">
        <v>2283.21765791694</v>
      </c>
      <c r="DL36" s="905">
        <v>2289.7631296596801</v>
      </c>
      <c r="DM36" s="905">
        <v>2296.3086014024102</v>
      </c>
      <c r="DN36" s="905">
        <v>2302.8540731451499</v>
      </c>
      <c r="DO36" s="905">
        <v>2309.39954488788</v>
      </c>
      <c r="DP36" s="905">
        <v>2315.9450166306201</v>
      </c>
      <c r="DQ36" s="905">
        <v>2322.4904883733602</v>
      </c>
      <c r="DR36" s="905">
        <v>2329.0359601160899</v>
      </c>
      <c r="DS36" s="905">
        <v>2335.58143185883</v>
      </c>
      <c r="DT36" s="905">
        <v>2342.1269036015701</v>
      </c>
      <c r="DU36" s="905">
        <v>2348.6723753442998</v>
      </c>
      <c r="DV36" s="905">
        <v>2355.2178470870399</v>
      </c>
      <c r="DW36" s="905">
        <v>2361.76331882977</v>
      </c>
      <c r="DX36" s="905">
        <v>2368.3087905725101</v>
      </c>
      <c r="DY36" s="905">
        <v>2374.8542623152498</v>
      </c>
      <c r="DZ36" s="905">
        <v>2381.3997340579799</v>
      </c>
      <c r="EA36" s="905">
        <v>2387.94520580072</v>
      </c>
      <c r="EB36" s="905">
        <v>2394.4906775434602</v>
      </c>
      <c r="EC36" s="905">
        <v>1659</v>
      </c>
      <c r="ED36" s="905">
        <v>2237</v>
      </c>
      <c r="EE36" s="905">
        <v>2255.1410444563789</v>
      </c>
      <c r="EF36" s="905">
        <v>2146.2487431145209</v>
      </c>
      <c r="EG36" s="905">
        <v>2418.3910474276554</v>
      </c>
      <c r="EH36" s="905">
        <v>2701.6199743644243</v>
      </c>
      <c r="EI36" s="905">
        <v>2777.0407045596344</v>
      </c>
      <c r="EJ36" s="905">
        <v>2836.6205896021006</v>
      </c>
      <c r="EK36" s="905">
        <v>2780.2581602607625</v>
      </c>
      <c r="EL36" s="905">
        <v>3053.926570501239</v>
      </c>
      <c r="EM36" s="905">
        <v>2836.1664048306907</v>
      </c>
      <c r="EN36" s="905">
        <v>2611.932049598453</v>
      </c>
      <c r="EO36" s="905">
        <v>2577.919484614094</v>
      </c>
      <c r="EP36" s="905">
        <v>2856.2006891112787</v>
      </c>
      <c r="EQ36" s="905">
        <v>2469.3423214225581</v>
      </c>
      <c r="ER36" s="905">
        <v>2091.94</v>
      </c>
      <c r="ES36" s="905">
        <v>2025.12</v>
      </c>
      <c r="ET36" s="905">
        <v>2197.69</v>
      </c>
      <c r="EU36" s="905">
        <v>2450.21</v>
      </c>
      <c r="EV36" s="905">
        <v>2188.85</v>
      </c>
      <c r="EW36" s="905">
        <v>2098.58</v>
      </c>
      <c r="EX36" s="905">
        <v>2650.93</v>
      </c>
      <c r="EY36" s="905">
        <v>2588.92</v>
      </c>
      <c r="EZ36" s="905">
        <v>2922.37</v>
      </c>
      <c r="FA36" s="905">
        <v>2398.6999999999998</v>
      </c>
      <c r="FB36" s="905">
        <v>2269.4</v>
      </c>
      <c r="FC36" s="905">
        <v>1425.69</v>
      </c>
      <c r="FD36" s="905">
        <v>1908.42</v>
      </c>
      <c r="FE36" s="905">
        <v>1785.56</v>
      </c>
      <c r="FF36" s="905">
        <v>1111.8399999999999</v>
      </c>
      <c r="FG36" s="905">
        <v>1033.04</v>
      </c>
      <c r="FH36" s="905">
        <v>1321.01</v>
      </c>
      <c r="FI36" s="905">
        <v>1668.98</v>
      </c>
      <c r="FJ36" s="905">
        <v>1783.8</v>
      </c>
      <c r="FK36" s="905">
        <v>2035.2</v>
      </c>
      <c r="FL36" s="905">
        <v>2259.19</v>
      </c>
      <c r="FM36" s="905">
        <v>2699.1</v>
      </c>
      <c r="FN36" s="905">
        <v>3294.54</v>
      </c>
      <c r="FO36" s="905">
        <v>2840.46</v>
      </c>
      <c r="FP36" s="905">
        <v>2266.15</v>
      </c>
      <c r="FQ36" s="905">
        <v>2243.14</v>
      </c>
      <c r="FR36" s="905">
        <v>2506.4699999999998</v>
      </c>
      <c r="FS36" s="905">
        <v>2911.57</v>
      </c>
      <c r="FT36" s="905">
        <v>3467.2</v>
      </c>
      <c r="FU36" s="905">
        <v>3800.16</v>
      </c>
      <c r="FV36" s="906">
        <f t="shared" si="31"/>
        <v>2365.8008396414175</v>
      </c>
      <c r="FW36" s="903"/>
    </row>
    <row r="37" spans="1:179">
      <c r="A37" s="1397"/>
      <c r="B37" s="876" t="s">
        <v>399</v>
      </c>
      <c r="C37" s="877" t="s">
        <v>402</v>
      </c>
      <c r="D37" s="877">
        <v>0.51</v>
      </c>
      <c r="E37" s="1398"/>
      <c r="F37" s="896" t="s">
        <v>133</v>
      </c>
      <c r="G37" s="897">
        <f t="shared" ref="G37:BR37" si="34">$D$37*G17</f>
        <v>46684.975000000006</v>
      </c>
      <c r="H37" s="897">
        <f t="shared" si="34"/>
        <v>46684.975000000006</v>
      </c>
      <c r="I37" s="897">
        <f t="shared" si="34"/>
        <v>46684.975000000006</v>
      </c>
      <c r="J37" s="897">
        <f t="shared" si="34"/>
        <v>46684.975000000006</v>
      </c>
      <c r="K37" s="897">
        <f t="shared" si="34"/>
        <v>46684.975000000006</v>
      </c>
      <c r="L37" s="897">
        <f t="shared" si="34"/>
        <v>46684.975000000006</v>
      </c>
      <c r="M37" s="897">
        <f t="shared" si="34"/>
        <v>46684.975000000006</v>
      </c>
      <c r="N37" s="897">
        <f t="shared" si="34"/>
        <v>46684.975000000006</v>
      </c>
      <c r="O37" s="897">
        <f t="shared" si="34"/>
        <v>46684.975000000006</v>
      </c>
      <c r="P37" s="897">
        <f t="shared" si="34"/>
        <v>46684.975000000006</v>
      </c>
      <c r="Q37" s="897">
        <f t="shared" si="34"/>
        <v>46684.975000000006</v>
      </c>
      <c r="R37" s="897">
        <f t="shared" si="34"/>
        <v>46684.975000000006</v>
      </c>
      <c r="S37" s="897">
        <f t="shared" si="34"/>
        <v>46684.975000000006</v>
      </c>
      <c r="T37" s="897">
        <f t="shared" si="34"/>
        <v>46684.975000000006</v>
      </c>
      <c r="U37" s="897">
        <f t="shared" si="34"/>
        <v>46684.975000000006</v>
      </c>
      <c r="V37" s="897">
        <f t="shared" si="34"/>
        <v>46684.975000000006</v>
      </c>
      <c r="W37" s="897">
        <f t="shared" si="34"/>
        <v>46684.975000000006</v>
      </c>
      <c r="X37" s="897">
        <f t="shared" si="34"/>
        <v>46684.975000000006</v>
      </c>
      <c r="Y37" s="897">
        <f t="shared" si="34"/>
        <v>46684.975000000006</v>
      </c>
      <c r="Z37" s="897">
        <f t="shared" si="34"/>
        <v>46684.975000000006</v>
      </c>
      <c r="AA37" s="897">
        <f t="shared" si="34"/>
        <v>46684.975000000006</v>
      </c>
      <c r="AB37" s="897">
        <f t="shared" si="34"/>
        <v>46684.975000000006</v>
      </c>
      <c r="AC37" s="897">
        <f t="shared" si="34"/>
        <v>46684.975000000006</v>
      </c>
      <c r="AD37" s="897">
        <f t="shared" si="34"/>
        <v>46684.975000000006</v>
      </c>
      <c r="AE37" s="897">
        <f t="shared" si="34"/>
        <v>46684.975000000006</v>
      </c>
      <c r="AF37" s="897">
        <f t="shared" si="34"/>
        <v>46684.975000000006</v>
      </c>
      <c r="AG37" s="897">
        <f t="shared" si="34"/>
        <v>46684.975000000006</v>
      </c>
      <c r="AH37" s="897">
        <f t="shared" si="34"/>
        <v>46684.975000000006</v>
      </c>
      <c r="AI37" s="897">
        <f t="shared" si="34"/>
        <v>46684.975000000006</v>
      </c>
      <c r="AJ37" s="897">
        <f t="shared" si="34"/>
        <v>46684.975000000006</v>
      </c>
      <c r="AK37" s="897">
        <f t="shared" si="34"/>
        <v>46684.975000000006</v>
      </c>
      <c r="AL37" s="897">
        <f t="shared" si="34"/>
        <v>46684.975000000006</v>
      </c>
      <c r="AM37" s="897">
        <f t="shared" si="34"/>
        <v>46684.975000000006</v>
      </c>
      <c r="AN37" s="897">
        <f t="shared" si="34"/>
        <v>46684.975000000006</v>
      </c>
      <c r="AO37" s="897">
        <f t="shared" si="34"/>
        <v>46684.975000000006</v>
      </c>
      <c r="AP37" s="897">
        <f t="shared" si="34"/>
        <v>46684.975000000006</v>
      </c>
      <c r="AQ37" s="897">
        <f t="shared" si="34"/>
        <v>46684.975000000006</v>
      </c>
      <c r="AR37" s="897">
        <f t="shared" si="34"/>
        <v>46684.975000000006</v>
      </c>
      <c r="AS37" s="897">
        <f t="shared" si="34"/>
        <v>46684.975000000006</v>
      </c>
      <c r="AT37" s="897">
        <f t="shared" si="34"/>
        <v>46684.975000000006</v>
      </c>
      <c r="AU37" s="898">
        <f t="shared" si="34"/>
        <v>46684.975000000006</v>
      </c>
      <c r="AV37" s="898">
        <f t="shared" si="34"/>
        <v>46684.975000000006</v>
      </c>
      <c r="AW37" s="898">
        <f t="shared" si="34"/>
        <v>46684.975000000006</v>
      </c>
      <c r="AX37" s="898">
        <f t="shared" si="34"/>
        <v>46684.975000000006</v>
      </c>
      <c r="AY37" s="898">
        <f t="shared" si="34"/>
        <v>46684.975000000006</v>
      </c>
      <c r="AZ37" s="898">
        <f t="shared" si="34"/>
        <v>46684.975000000006</v>
      </c>
      <c r="BA37" s="898">
        <f t="shared" si="34"/>
        <v>46684.975000000006</v>
      </c>
      <c r="BB37" s="898">
        <f t="shared" si="34"/>
        <v>46684.975000000006</v>
      </c>
      <c r="BC37" s="898">
        <f t="shared" si="34"/>
        <v>46684.975000000006</v>
      </c>
      <c r="BD37" s="898">
        <f t="shared" si="34"/>
        <v>46684.975000000006</v>
      </c>
      <c r="BE37" s="898">
        <f t="shared" si="34"/>
        <v>46684.975000000006</v>
      </c>
      <c r="BF37" s="898">
        <f t="shared" si="34"/>
        <v>46684.975000000006</v>
      </c>
      <c r="BG37" s="898">
        <f t="shared" si="34"/>
        <v>46684.975000000006</v>
      </c>
      <c r="BH37" s="898">
        <f t="shared" si="34"/>
        <v>46684.975000000006</v>
      </c>
      <c r="BI37" s="898">
        <f t="shared" si="34"/>
        <v>46684.975000000006</v>
      </c>
      <c r="BJ37" s="898">
        <f t="shared" si="34"/>
        <v>46684.975000000006</v>
      </c>
      <c r="BK37" s="898">
        <f t="shared" si="34"/>
        <v>46684.975000000006</v>
      </c>
      <c r="BL37" s="898">
        <f t="shared" si="34"/>
        <v>46684.975000000006</v>
      </c>
      <c r="BM37" s="898">
        <f t="shared" si="34"/>
        <v>46684.975000000006</v>
      </c>
      <c r="BN37" s="898">
        <f t="shared" si="34"/>
        <v>46684.975000000006</v>
      </c>
      <c r="BO37" s="898">
        <f t="shared" si="34"/>
        <v>46684.975000000006</v>
      </c>
      <c r="BP37" s="898">
        <f t="shared" si="34"/>
        <v>46684.975000000006</v>
      </c>
      <c r="BQ37" s="898">
        <f t="shared" si="34"/>
        <v>46684.975000000006</v>
      </c>
      <c r="BR37" s="898">
        <f t="shared" si="34"/>
        <v>46684.975000000006</v>
      </c>
      <c r="BS37" s="898">
        <f t="shared" ref="BS37:CL37" si="35">$D$37*BS17</f>
        <v>46684.975000000006</v>
      </c>
      <c r="BT37" s="898">
        <f t="shared" si="35"/>
        <v>46684.975000000006</v>
      </c>
      <c r="BU37" s="898">
        <f t="shared" si="35"/>
        <v>46684.975000000006</v>
      </c>
      <c r="BV37" s="898">
        <f t="shared" si="35"/>
        <v>46684.975000000006</v>
      </c>
      <c r="BW37" s="898">
        <f t="shared" si="35"/>
        <v>46684.975000000006</v>
      </c>
      <c r="BX37" s="898">
        <f t="shared" si="35"/>
        <v>46684.975000000006</v>
      </c>
      <c r="BY37" s="898">
        <f t="shared" si="35"/>
        <v>46684.975000000006</v>
      </c>
      <c r="BZ37" s="898">
        <f t="shared" si="35"/>
        <v>46684.975000000006</v>
      </c>
      <c r="CA37" s="898">
        <f t="shared" si="35"/>
        <v>46684.975000000006</v>
      </c>
      <c r="CB37" s="898">
        <f t="shared" si="35"/>
        <v>46684.975000000006</v>
      </c>
      <c r="CC37" s="898">
        <f t="shared" si="35"/>
        <v>46684.975000000006</v>
      </c>
      <c r="CD37" s="898">
        <f t="shared" si="35"/>
        <v>46684.975000000006</v>
      </c>
      <c r="CE37" s="898">
        <f t="shared" si="35"/>
        <v>46684.975000000006</v>
      </c>
      <c r="CF37" s="898">
        <f t="shared" si="35"/>
        <v>46684.975000000006</v>
      </c>
      <c r="CG37" s="898">
        <f t="shared" si="35"/>
        <v>46684.975000000006</v>
      </c>
      <c r="CH37" s="898">
        <f t="shared" si="35"/>
        <v>46684.975000000006</v>
      </c>
      <c r="CI37" s="898">
        <f t="shared" si="35"/>
        <v>46684.975000000006</v>
      </c>
      <c r="CJ37" s="898">
        <f t="shared" si="35"/>
        <v>46684.975000000006</v>
      </c>
      <c r="CK37" s="898">
        <f t="shared" si="35"/>
        <v>46684.975000000006</v>
      </c>
      <c r="CL37" s="896">
        <f t="shared" si="35"/>
        <v>46684.975000000006</v>
      </c>
      <c r="CM37" s="875">
        <f t="shared" si="15"/>
        <v>46684.975000000064</v>
      </c>
      <c r="CN37" s="904" t="s">
        <v>439</v>
      </c>
      <c r="CO37" s="905">
        <v>36.979805128205101</v>
      </c>
      <c r="CP37" s="905">
        <v>36.979805128205101</v>
      </c>
      <c r="CQ37" s="905">
        <v>36.979805128205101</v>
      </c>
      <c r="CR37" s="905">
        <v>36.979805128205101</v>
      </c>
      <c r="CS37" s="905">
        <v>36.979805128205101</v>
      </c>
      <c r="CT37" s="905">
        <v>36.979805128205101</v>
      </c>
      <c r="CU37" s="905">
        <v>36.979805128205101</v>
      </c>
      <c r="CV37" s="905">
        <v>36.979805128205101</v>
      </c>
      <c r="CW37" s="905">
        <v>37.756290598290597</v>
      </c>
      <c r="CX37" s="905">
        <v>36.979805128205101</v>
      </c>
      <c r="CY37" s="905">
        <v>37.756290598290597</v>
      </c>
      <c r="CZ37" s="905">
        <v>38.532776068376101</v>
      </c>
      <c r="DA37" s="905">
        <v>39.309261538461499</v>
      </c>
      <c r="DB37" s="905">
        <v>40.085747008547003</v>
      </c>
      <c r="DC37" s="905">
        <v>40.8622324786325</v>
      </c>
      <c r="DD37" s="905">
        <v>41.638717948718003</v>
      </c>
      <c r="DE37" s="905">
        <v>42.415203418803401</v>
      </c>
      <c r="DF37" s="905">
        <v>43.191688888888898</v>
      </c>
      <c r="DG37" s="905">
        <v>43.968174358974402</v>
      </c>
      <c r="DH37" s="905">
        <v>44.744659829059799</v>
      </c>
      <c r="DI37" s="905">
        <v>45.521145299145303</v>
      </c>
      <c r="DJ37" s="905">
        <v>46.2976307692308</v>
      </c>
      <c r="DK37" s="905">
        <v>47.074116239316197</v>
      </c>
      <c r="DL37" s="905">
        <v>47.850601709401701</v>
      </c>
      <c r="DM37" s="905">
        <v>48.627087179487198</v>
      </c>
      <c r="DN37" s="905">
        <v>49.403572649572702</v>
      </c>
      <c r="DO37" s="905">
        <v>50.180058119658099</v>
      </c>
      <c r="DP37" s="905">
        <v>50.956543589743603</v>
      </c>
      <c r="DQ37" s="905">
        <v>51.7330290598291</v>
      </c>
      <c r="DR37" s="905">
        <v>52.509514529914497</v>
      </c>
      <c r="DS37" s="905">
        <v>53.286000000000001</v>
      </c>
      <c r="DT37" s="905">
        <v>54.062485470085498</v>
      </c>
      <c r="DU37" s="905">
        <v>54.838970940170903</v>
      </c>
      <c r="DV37" s="905">
        <v>55.6154564102564</v>
      </c>
      <c r="DW37" s="905">
        <v>56.391941880341903</v>
      </c>
      <c r="DX37" s="905">
        <v>57.1684273504274</v>
      </c>
      <c r="DY37" s="905">
        <v>57.944912820512798</v>
      </c>
      <c r="DZ37" s="905">
        <v>58.721398290598302</v>
      </c>
      <c r="EA37" s="905">
        <v>59.497883760683798</v>
      </c>
      <c r="EB37" s="905">
        <v>60.274369230769203</v>
      </c>
      <c r="EC37" s="905">
        <v>56.1</v>
      </c>
      <c r="ED37" s="905">
        <v>57.6</v>
      </c>
      <c r="EE37" s="905">
        <v>55.7</v>
      </c>
      <c r="EF37" s="905">
        <v>59.95</v>
      </c>
      <c r="EG37" s="905">
        <v>68.569999999999993</v>
      </c>
      <c r="EH37" s="905">
        <v>79.7</v>
      </c>
      <c r="EI37" s="905">
        <v>85.01</v>
      </c>
      <c r="EJ37" s="905">
        <v>73.42</v>
      </c>
      <c r="EK37" s="905">
        <v>68.25</v>
      </c>
      <c r="EL37" s="905">
        <v>53.25</v>
      </c>
      <c r="EM37" s="905">
        <v>65.459999999999994</v>
      </c>
      <c r="EN37" s="905">
        <v>60.93</v>
      </c>
      <c r="EO37" s="905">
        <v>59.7</v>
      </c>
      <c r="EP37" s="905">
        <v>58.94</v>
      </c>
      <c r="EQ37" s="905">
        <v>57.95</v>
      </c>
      <c r="ER37" s="905">
        <v>78.48</v>
      </c>
      <c r="ES37" s="905">
        <v>82.51</v>
      </c>
      <c r="ET37" s="905">
        <v>83.6</v>
      </c>
      <c r="EU37" s="905">
        <v>102.15</v>
      </c>
      <c r="EV37" s="905">
        <v>74.58</v>
      </c>
      <c r="EW37" s="905">
        <v>78.45</v>
      </c>
      <c r="EX37" s="905">
        <v>76.87</v>
      </c>
      <c r="EY37" s="905">
        <v>82.39</v>
      </c>
      <c r="EZ37" s="905">
        <v>77.88</v>
      </c>
      <c r="FA37" s="905">
        <v>75.39</v>
      </c>
      <c r="FB37" s="905">
        <v>66.849999999999994</v>
      </c>
      <c r="FC37" s="905">
        <v>64.58</v>
      </c>
      <c r="FD37" s="905">
        <v>84.97</v>
      </c>
      <c r="FE37" s="905">
        <v>78.069999999999993</v>
      </c>
      <c r="FF37" s="905">
        <v>71.17</v>
      </c>
      <c r="FG37" s="905">
        <v>68.23</v>
      </c>
      <c r="FH37" s="905">
        <v>69.2</v>
      </c>
      <c r="FI37" s="905">
        <v>71.16</v>
      </c>
      <c r="FJ37" s="905">
        <v>82.9</v>
      </c>
      <c r="FK37" s="905">
        <v>88.88</v>
      </c>
      <c r="FL37" s="905">
        <v>80.14</v>
      </c>
      <c r="FM37" s="905">
        <v>89.43</v>
      </c>
      <c r="FN37" s="905">
        <v>102.78</v>
      </c>
      <c r="FO37" s="905">
        <v>102.25</v>
      </c>
      <c r="FP37" s="905">
        <v>100.32</v>
      </c>
      <c r="FQ37" s="905">
        <v>81.34</v>
      </c>
      <c r="FR37" s="905">
        <v>90.67</v>
      </c>
      <c r="FS37" s="905">
        <v>91.86</v>
      </c>
      <c r="FT37" s="905">
        <v>95.99</v>
      </c>
      <c r="FU37" s="905">
        <v>94.95</v>
      </c>
      <c r="FV37" s="906">
        <f t="shared" si="31"/>
        <v>76.634888888888895</v>
      </c>
      <c r="FW37" s="903"/>
    </row>
    <row r="38" spans="1:179" ht="26.25" customHeight="1">
      <c r="A38" s="1397"/>
      <c r="B38" s="876" t="s">
        <v>399</v>
      </c>
      <c r="C38" s="877" t="s">
        <v>407</v>
      </c>
      <c r="D38" s="877">
        <v>0.14000000000000001</v>
      </c>
      <c r="E38" s="1398"/>
      <c r="F38" s="896" t="s">
        <v>132</v>
      </c>
      <c r="G38" s="897">
        <f t="shared" ref="G38:BR38" si="36">$D$38*G17</f>
        <v>12815.483333333335</v>
      </c>
      <c r="H38" s="897">
        <f t="shared" si="36"/>
        <v>12815.483333333335</v>
      </c>
      <c r="I38" s="897">
        <f t="shared" si="36"/>
        <v>12815.483333333335</v>
      </c>
      <c r="J38" s="897">
        <f t="shared" si="36"/>
        <v>12815.483333333335</v>
      </c>
      <c r="K38" s="897">
        <f t="shared" si="36"/>
        <v>12815.483333333335</v>
      </c>
      <c r="L38" s="897">
        <f t="shared" si="36"/>
        <v>12815.483333333335</v>
      </c>
      <c r="M38" s="897">
        <f t="shared" si="36"/>
        <v>12815.483333333335</v>
      </c>
      <c r="N38" s="897">
        <f t="shared" si="36"/>
        <v>12815.483333333335</v>
      </c>
      <c r="O38" s="897">
        <f t="shared" si="36"/>
        <v>12815.483333333335</v>
      </c>
      <c r="P38" s="897">
        <f t="shared" si="36"/>
        <v>12815.483333333335</v>
      </c>
      <c r="Q38" s="897">
        <f t="shared" si="36"/>
        <v>12815.483333333335</v>
      </c>
      <c r="R38" s="897">
        <f t="shared" si="36"/>
        <v>12815.483333333335</v>
      </c>
      <c r="S38" s="897">
        <f t="shared" si="36"/>
        <v>12815.483333333335</v>
      </c>
      <c r="T38" s="897">
        <f t="shared" si="36"/>
        <v>12815.483333333335</v>
      </c>
      <c r="U38" s="897">
        <f t="shared" si="36"/>
        <v>12815.483333333335</v>
      </c>
      <c r="V38" s="897">
        <f t="shared" si="36"/>
        <v>12815.483333333335</v>
      </c>
      <c r="W38" s="897">
        <f t="shared" si="36"/>
        <v>12815.483333333335</v>
      </c>
      <c r="X38" s="897">
        <f t="shared" si="36"/>
        <v>12815.483333333335</v>
      </c>
      <c r="Y38" s="897">
        <f t="shared" si="36"/>
        <v>12815.483333333335</v>
      </c>
      <c r="Z38" s="897">
        <f t="shared" si="36"/>
        <v>12815.483333333335</v>
      </c>
      <c r="AA38" s="897">
        <f t="shared" si="36"/>
        <v>12815.483333333335</v>
      </c>
      <c r="AB38" s="897">
        <f t="shared" si="36"/>
        <v>12815.483333333335</v>
      </c>
      <c r="AC38" s="897">
        <f t="shared" si="36"/>
        <v>12815.483333333335</v>
      </c>
      <c r="AD38" s="897">
        <f t="shared" si="36"/>
        <v>12815.483333333335</v>
      </c>
      <c r="AE38" s="897">
        <f t="shared" si="36"/>
        <v>12815.483333333335</v>
      </c>
      <c r="AF38" s="897">
        <f t="shared" si="36"/>
        <v>12815.483333333335</v>
      </c>
      <c r="AG38" s="897">
        <f t="shared" si="36"/>
        <v>12815.483333333335</v>
      </c>
      <c r="AH38" s="897">
        <f t="shared" si="36"/>
        <v>12815.483333333335</v>
      </c>
      <c r="AI38" s="897">
        <f t="shared" si="36"/>
        <v>12815.483333333335</v>
      </c>
      <c r="AJ38" s="897">
        <f t="shared" si="36"/>
        <v>12815.483333333335</v>
      </c>
      <c r="AK38" s="897">
        <f t="shared" si="36"/>
        <v>12815.483333333335</v>
      </c>
      <c r="AL38" s="897">
        <f t="shared" si="36"/>
        <v>12815.483333333335</v>
      </c>
      <c r="AM38" s="897">
        <f t="shared" si="36"/>
        <v>12815.483333333335</v>
      </c>
      <c r="AN38" s="897">
        <f t="shared" si="36"/>
        <v>12815.483333333335</v>
      </c>
      <c r="AO38" s="897">
        <f t="shared" si="36"/>
        <v>12815.483333333335</v>
      </c>
      <c r="AP38" s="897">
        <f t="shared" si="36"/>
        <v>12815.483333333335</v>
      </c>
      <c r="AQ38" s="897">
        <f t="shared" si="36"/>
        <v>12815.483333333335</v>
      </c>
      <c r="AR38" s="897">
        <f t="shared" si="36"/>
        <v>12815.483333333335</v>
      </c>
      <c r="AS38" s="897">
        <f t="shared" si="36"/>
        <v>12815.483333333335</v>
      </c>
      <c r="AT38" s="897">
        <f t="shared" si="36"/>
        <v>12815.483333333335</v>
      </c>
      <c r="AU38" s="898">
        <f t="shared" si="36"/>
        <v>12815.483333333335</v>
      </c>
      <c r="AV38" s="898">
        <f t="shared" si="36"/>
        <v>12815.483333333335</v>
      </c>
      <c r="AW38" s="898">
        <f t="shared" si="36"/>
        <v>12815.483333333335</v>
      </c>
      <c r="AX38" s="898">
        <f t="shared" si="36"/>
        <v>12815.483333333335</v>
      </c>
      <c r="AY38" s="898">
        <f t="shared" si="36"/>
        <v>12815.483333333335</v>
      </c>
      <c r="AZ38" s="898">
        <f t="shared" si="36"/>
        <v>12815.483333333335</v>
      </c>
      <c r="BA38" s="898">
        <f t="shared" si="36"/>
        <v>12815.483333333335</v>
      </c>
      <c r="BB38" s="898">
        <f t="shared" si="36"/>
        <v>12815.483333333335</v>
      </c>
      <c r="BC38" s="898">
        <f t="shared" si="36"/>
        <v>12815.483333333335</v>
      </c>
      <c r="BD38" s="898">
        <f t="shared" si="36"/>
        <v>12815.483333333335</v>
      </c>
      <c r="BE38" s="898">
        <f t="shared" si="36"/>
        <v>12815.483333333335</v>
      </c>
      <c r="BF38" s="898">
        <f t="shared" si="36"/>
        <v>12815.483333333335</v>
      </c>
      <c r="BG38" s="898">
        <f t="shared" si="36"/>
        <v>12815.483333333335</v>
      </c>
      <c r="BH38" s="898">
        <f t="shared" si="36"/>
        <v>12815.483333333335</v>
      </c>
      <c r="BI38" s="898">
        <f t="shared" si="36"/>
        <v>12815.483333333335</v>
      </c>
      <c r="BJ38" s="898">
        <f t="shared" si="36"/>
        <v>12815.483333333335</v>
      </c>
      <c r="BK38" s="898">
        <f t="shared" si="36"/>
        <v>12815.483333333335</v>
      </c>
      <c r="BL38" s="898">
        <f t="shared" si="36"/>
        <v>12815.483333333335</v>
      </c>
      <c r="BM38" s="898">
        <f t="shared" si="36"/>
        <v>12815.483333333335</v>
      </c>
      <c r="BN38" s="898">
        <f t="shared" si="36"/>
        <v>12815.483333333335</v>
      </c>
      <c r="BO38" s="898">
        <f t="shared" si="36"/>
        <v>12815.483333333335</v>
      </c>
      <c r="BP38" s="898">
        <f t="shared" si="36"/>
        <v>12815.483333333335</v>
      </c>
      <c r="BQ38" s="898">
        <f t="shared" si="36"/>
        <v>12815.483333333335</v>
      </c>
      <c r="BR38" s="898">
        <f t="shared" si="36"/>
        <v>12815.483333333335</v>
      </c>
      <c r="BS38" s="898">
        <f t="shared" ref="BS38:CL38" si="37">$D$38*BS17</f>
        <v>12815.483333333335</v>
      </c>
      <c r="BT38" s="898">
        <f t="shared" si="37"/>
        <v>12815.483333333335</v>
      </c>
      <c r="BU38" s="898">
        <f t="shared" si="37"/>
        <v>12815.483333333335</v>
      </c>
      <c r="BV38" s="898">
        <f t="shared" si="37"/>
        <v>12815.483333333335</v>
      </c>
      <c r="BW38" s="898">
        <f t="shared" si="37"/>
        <v>12815.483333333335</v>
      </c>
      <c r="BX38" s="898">
        <f t="shared" si="37"/>
        <v>12815.483333333335</v>
      </c>
      <c r="BY38" s="898">
        <f t="shared" si="37"/>
        <v>12815.483333333335</v>
      </c>
      <c r="BZ38" s="898">
        <f t="shared" si="37"/>
        <v>12815.483333333335</v>
      </c>
      <c r="CA38" s="898">
        <f t="shared" si="37"/>
        <v>12815.483333333335</v>
      </c>
      <c r="CB38" s="898">
        <f t="shared" si="37"/>
        <v>12815.483333333335</v>
      </c>
      <c r="CC38" s="898">
        <f t="shared" si="37"/>
        <v>12815.483333333335</v>
      </c>
      <c r="CD38" s="898">
        <f t="shared" si="37"/>
        <v>12815.483333333335</v>
      </c>
      <c r="CE38" s="898">
        <f t="shared" si="37"/>
        <v>12815.483333333335</v>
      </c>
      <c r="CF38" s="898">
        <f t="shared" si="37"/>
        <v>12815.483333333335</v>
      </c>
      <c r="CG38" s="898">
        <f t="shared" si="37"/>
        <v>12815.483333333335</v>
      </c>
      <c r="CH38" s="898">
        <f t="shared" si="37"/>
        <v>12815.483333333335</v>
      </c>
      <c r="CI38" s="898">
        <f t="shared" si="37"/>
        <v>12815.483333333335</v>
      </c>
      <c r="CJ38" s="898">
        <f t="shared" si="37"/>
        <v>12815.483333333335</v>
      </c>
      <c r="CK38" s="898">
        <f t="shared" si="37"/>
        <v>12815.483333333335</v>
      </c>
      <c r="CL38" s="896">
        <f t="shared" si="37"/>
        <v>12815.483333333335</v>
      </c>
      <c r="CM38" s="875">
        <f t="shared" si="15"/>
        <v>12815.48333333331</v>
      </c>
      <c r="CN38" s="904" t="s">
        <v>208</v>
      </c>
      <c r="CO38" s="905">
        <v>3.25</v>
      </c>
      <c r="CP38" s="905">
        <v>3.25</v>
      </c>
      <c r="CQ38" s="905">
        <v>3.25</v>
      </c>
      <c r="CR38" s="905">
        <v>3.25</v>
      </c>
      <c r="CS38" s="905">
        <v>3.25</v>
      </c>
      <c r="CT38" s="905">
        <v>3.5</v>
      </c>
      <c r="CU38" s="905">
        <v>3.5</v>
      </c>
      <c r="CV38" s="905">
        <v>3.5</v>
      </c>
      <c r="CW38" s="905">
        <v>3.5</v>
      </c>
      <c r="CX38" s="905">
        <v>3.5</v>
      </c>
      <c r="CY38" s="905">
        <v>3.5</v>
      </c>
      <c r="CZ38" s="905">
        <v>3.5</v>
      </c>
      <c r="DA38" s="905">
        <v>3.5</v>
      </c>
      <c r="DB38" s="905">
        <v>3.5</v>
      </c>
      <c r="DC38" s="905">
        <v>3.5</v>
      </c>
      <c r="DD38" s="905">
        <v>3.5</v>
      </c>
      <c r="DE38" s="905">
        <v>3.5574974358974401</v>
      </c>
      <c r="DF38" s="905">
        <v>3.5365333333333302</v>
      </c>
      <c r="DG38" s="905">
        <v>3.5155692307692301</v>
      </c>
      <c r="DH38" s="905">
        <v>3.49460512820513</v>
      </c>
      <c r="DI38" s="905">
        <v>3.4736410256410299</v>
      </c>
      <c r="DJ38" s="905">
        <v>3.4526769230769201</v>
      </c>
      <c r="DK38" s="905">
        <v>3.43171282051282</v>
      </c>
      <c r="DL38" s="905">
        <v>3.4107487179487199</v>
      </c>
      <c r="DM38" s="905">
        <v>3.3897846153846101</v>
      </c>
      <c r="DN38" s="905">
        <v>3.36882051282051</v>
      </c>
      <c r="DO38" s="905">
        <v>3.3478564102564099</v>
      </c>
      <c r="DP38" s="905">
        <v>3.3268923076923098</v>
      </c>
      <c r="DQ38" s="905">
        <v>3.3059282051282</v>
      </c>
      <c r="DR38" s="905">
        <v>3.2849641025640999</v>
      </c>
      <c r="DS38" s="905">
        <v>3.2639999999999998</v>
      </c>
      <c r="DT38" s="905">
        <v>3.2430358974359002</v>
      </c>
      <c r="DU38" s="905">
        <v>3.2220717948717899</v>
      </c>
      <c r="DV38" s="905">
        <v>3.2011076923076902</v>
      </c>
      <c r="DW38" s="905">
        <v>3.1801435897435901</v>
      </c>
      <c r="DX38" s="905">
        <v>3.15917948717949</v>
      </c>
      <c r="DY38" s="905">
        <v>3.1382153846153802</v>
      </c>
      <c r="DZ38" s="905">
        <v>3.1172512820512801</v>
      </c>
      <c r="EA38" s="905">
        <v>3.09628717948718</v>
      </c>
      <c r="EB38" s="905">
        <v>3.0753230769230799</v>
      </c>
      <c r="EC38" s="905">
        <v>2.19</v>
      </c>
      <c r="ED38" s="905">
        <v>3.16</v>
      </c>
      <c r="EE38" s="905">
        <v>3.15</v>
      </c>
      <c r="EF38" s="905">
        <v>2.71</v>
      </c>
      <c r="EG38" s="905">
        <v>2.67</v>
      </c>
      <c r="EH38" s="905">
        <v>2.98</v>
      </c>
      <c r="EI38" s="905">
        <v>3.6</v>
      </c>
      <c r="EJ38" s="905">
        <v>3.3</v>
      </c>
      <c r="EK38" s="905">
        <v>3.19</v>
      </c>
      <c r="EL38" s="905">
        <v>3.54</v>
      </c>
      <c r="EM38" s="905">
        <v>3.04</v>
      </c>
      <c r="EN38" s="905">
        <v>2.95</v>
      </c>
      <c r="EO38" s="905">
        <v>2.5499999999999998</v>
      </c>
      <c r="EP38" s="905">
        <v>3.17</v>
      </c>
      <c r="EQ38" s="905">
        <v>2.7</v>
      </c>
      <c r="ER38" s="905">
        <v>2.14</v>
      </c>
      <c r="ES38" s="905">
        <v>2.11</v>
      </c>
      <c r="ET38" s="905">
        <v>2.31</v>
      </c>
      <c r="EU38" s="905">
        <v>2.5499999999999998</v>
      </c>
      <c r="EV38" s="905">
        <v>2.8</v>
      </c>
      <c r="EW38" s="905">
        <v>2.42</v>
      </c>
      <c r="EX38" s="905">
        <v>2.8</v>
      </c>
      <c r="EY38" s="905">
        <v>2.73</v>
      </c>
      <c r="EZ38" s="905">
        <v>2.99</v>
      </c>
      <c r="FA38" s="905">
        <v>2.38</v>
      </c>
      <c r="FB38" s="905">
        <v>2.4700000000000002</v>
      </c>
      <c r="FC38" s="905">
        <v>1.66</v>
      </c>
      <c r="FD38" s="905">
        <v>2.34</v>
      </c>
      <c r="FE38" s="905">
        <v>2.73</v>
      </c>
      <c r="FF38" s="905">
        <v>1.44</v>
      </c>
      <c r="FG38" s="905">
        <v>1.22</v>
      </c>
      <c r="FH38" s="905">
        <v>1.58</v>
      </c>
      <c r="FI38" s="905">
        <v>2.04</v>
      </c>
      <c r="FJ38" s="905">
        <v>2.15</v>
      </c>
      <c r="FK38" s="905">
        <v>2.37</v>
      </c>
      <c r="FL38" s="905">
        <v>2.61</v>
      </c>
      <c r="FM38" s="905">
        <v>2.96</v>
      </c>
      <c r="FN38" s="905">
        <v>3.52</v>
      </c>
      <c r="FO38" s="905">
        <v>3.35</v>
      </c>
      <c r="FP38" s="905">
        <v>2.69</v>
      </c>
      <c r="FQ38" s="905">
        <v>2.57</v>
      </c>
      <c r="FR38" s="905">
        <v>2.83</v>
      </c>
      <c r="FS38" s="905">
        <v>3.48</v>
      </c>
      <c r="FT38" s="905">
        <v>3.56</v>
      </c>
      <c r="FU38" s="905">
        <v>3.74</v>
      </c>
      <c r="FV38" s="906">
        <f t="shared" si="31"/>
        <v>2.6986666666666661</v>
      </c>
      <c r="FW38" s="903"/>
    </row>
    <row r="39" spans="1:179">
      <c r="A39" s="1397"/>
      <c r="B39" s="876" t="s">
        <v>399</v>
      </c>
      <c r="C39" s="877" t="s">
        <v>361</v>
      </c>
      <c r="D39" s="877">
        <v>15.58</v>
      </c>
      <c r="E39" s="1398"/>
      <c r="F39" s="896" t="s">
        <v>131</v>
      </c>
      <c r="G39" s="897">
        <f t="shared" ref="G39:BR39" si="38">$D$39*G17</f>
        <v>1426180.2166666668</v>
      </c>
      <c r="H39" s="897">
        <f t="shared" si="38"/>
        <v>1426180.2166666668</v>
      </c>
      <c r="I39" s="897">
        <f t="shared" si="38"/>
        <v>1426180.2166666668</v>
      </c>
      <c r="J39" s="897">
        <f t="shared" si="38"/>
        <v>1426180.2166666668</v>
      </c>
      <c r="K39" s="897">
        <f t="shared" si="38"/>
        <v>1426180.2166666668</v>
      </c>
      <c r="L39" s="897">
        <f t="shared" si="38"/>
        <v>1426180.2166666668</v>
      </c>
      <c r="M39" s="897">
        <f t="shared" si="38"/>
        <v>1426180.2166666668</v>
      </c>
      <c r="N39" s="897">
        <f t="shared" si="38"/>
        <v>1426180.2166666668</v>
      </c>
      <c r="O39" s="897">
        <f t="shared" si="38"/>
        <v>1426180.2166666668</v>
      </c>
      <c r="P39" s="897">
        <f t="shared" si="38"/>
        <v>1426180.2166666668</v>
      </c>
      <c r="Q39" s="897">
        <f t="shared" si="38"/>
        <v>1426180.2166666668</v>
      </c>
      <c r="R39" s="897">
        <f t="shared" si="38"/>
        <v>1426180.2166666668</v>
      </c>
      <c r="S39" s="897">
        <f t="shared" si="38"/>
        <v>1426180.2166666668</v>
      </c>
      <c r="T39" s="897">
        <f t="shared" si="38"/>
        <v>1426180.2166666668</v>
      </c>
      <c r="U39" s="897">
        <f t="shared" si="38"/>
        <v>1426180.2166666668</v>
      </c>
      <c r="V39" s="897">
        <f t="shared" si="38"/>
        <v>1426180.2166666668</v>
      </c>
      <c r="W39" s="897">
        <f t="shared" si="38"/>
        <v>1426180.2166666668</v>
      </c>
      <c r="X39" s="897">
        <f t="shared" si="38"/>
        <v>1426180.2166666668</v>
      </c>
      <c r="Y39" s="897">
        <f t="shared" si="38"/>
        <v>1426180.2166666668</v>
      </c>
      <c r="Z39" s="897">
        <f t="shared" si="38"/>
        <v>1426180.2166666668</v>
      </c>
      <c r="AA39" s="897">
        <f t="shared" si="38"/>
        <v>1426180.2166666668</v>
      </c>
      <c r="AB39" s="897">
        <f t="shared" si="38"/>
        <v>1426180.2166666668</v>
      </c>
      <c r="AC39" s="897">
        <f t="shared" si="38"/>
        <v>1426180.2166666668</v>
      </c>
      <c r="AD39" s="897">
        <f t="shared" si="38"/>
        <v>1426180.2166666668</v>
      </c>
      <c r="AE39" s="897">
        <f t="shared" si="38"/>
        <v>1426180.2166666668</v>
      </c>
      <c r="AF39" s="897">
        <f t="shared" si="38"/>
        <v>1426180.2166666668</v>
      </c>
      <c r="AG39" s="897">
        <f t="shared" si="38"/>
        <v>1426180.2166666668</v>
      </c>
      <c r="AH39" s="897">
        <f t="shared" si="38"/>
        <v>1426180.2166666668</v>
      </c>
      <c r="AI39" s="897">
        <f t="shared" si="38"/>
        <v>1426180.2166666668</v>
      </c>
      <c r="AJ39" s="897">
        <f t="shared" si="38"/>
        <v>1426180.2166666668</v>
      </c>
      <c r="AK39" s="897">
        <f t="shared" si="38"/>
        <v>1426180.2166666668</v>
      </c>
      <c r="AL39" s="897">
        <f t="shared" si="38"/>
        <v>1426180.2166666668</v>
      </c>
      <c r="AM39" s="897">
        <f t="shared" si="38"/>
        <v>1426180.2166666668</v>
      </c>
      <c r="AN39" s="897">
        <f t="shared" si="38"/>
        <v>1426180.2166666668</v>
      </c>
      <c r="AO39" s="897">
        <f t="shared" si="38"/>
        <v>1426180.2166666668</v>
      </c>
      <c r="AP39" s="897">
        <f t="shared" si="38"/>
        <v>1426180.2166666668</v>
      </c>
      <c r="AQ39" s="897">
        <f t="shared" si="38"/>
        <v>1426180.2166666668</v>
      </c>
      <c r="AR39" s="897">
        <f t="shared" si="38"/>
        <v>1426180.2166666668</v>
      </c>
      <c r="AS39" s="897">
        <f t="shared" si="38"/>
        <v>1426180.2166666668</v>
      </c>
      <c r="AT39" s="897">
        <f t="shared" si="38"/>
        <v>1426180.2166666668</v>
      </c>
      <c r="AU39" s="898">
        <f t="shared" si="38"/>
        <v>1426180.2166666668</v>
      </c>
      <c r="AV39" s="898">
        <f t="shared" si="38"/>
        <v>1426180.2166666668</v>
      </c>
      <c r="AW39" s="898">
        <f t="shared" si="38"/>
        <v>1426180.2166666668</v>
      </c>
      <c r="AX39" s="898">
        <f t="shared" si="38"/>
        <v>1426180.2166666668</v>
      </c>
      <c r="AY39" s="898">
        <f t="shared" si="38"/>
        <v>1426180.2166666668</v>
      </c>
      <c r="AZ39" s="898">
        <f t="shared" si="38"/>
        <v>1426180.2166666668</v>
      </c>
      <c r="BA39" s="898">
        <f t="shared" si="38"/>
        <v>1426180.2166666668</v>
      </c>
      <c r="BB39" s="898">
        <f t="shared" si="38"/>
        <v>1426180.2166666668</v>
      </c>
      <c r="BC39" s="898">
        <f t="shared" si="38"/>
        <v>1426180.2166666668</v>
      </c>
      <c r="BD39" s="898">
        <f t="shared" si="38"/>
        <v>1426180.2166666668</v>
      </c>
      <c r="BE39" s="898">
        <f t="shared" si="38"/>
        <v>1426180.2166666668</v>
      </c>
      <c r="BF39" s="898">
        <f t="shared" si="38"/>
        <v>1426180.2166666668</v>
      </c>
      <c r="BG39" s="898">
        <f t="shared" si="38"/>
        <v>1426180.2166666668</v>
      </c>
      <c r="BH39" s="898">
        <f t="shared" si="38"/>
        <v>1426180.2166666668</v>
      </c>
      <c r="BI39" s="898">
        <f t="shared" si="38"/>
        <v>1426180.2166666668</v>
      </c>
      <c r="BJ39" s="898">
        <f t="shared" si="38"/>
        <v>1426180.2166666668</v>
      </c>
      <c r="BK39" s="898">
        <f t="shared" si="38"/>
        <v>1426180.2166666668</v>
      </c>
      <c r="BL39" s="898">
        <f t="shared" si="38"/>
        <v>1426180.2166666668</v>
      </c>
      <c r="BM39" s="898">
        <f t="shared" si="38"/>
        <v>1426180.2166666668</v>
      </c>
      <c r="BN39" s="898">
        <f t="shared" si="38"/>
        <v>1426180.2166666668</v>
      </c>
      <c r="BO39" s="898">
        <f t="shared" si="38"/>
        <v>1426180.2166666668</v>
      </c>
      <c r="BP39" s="898">
        <f t="shared" si="38"/>
        <v>1426180.2166666668</v>
      </c>
      <c r="BQ39" s="898">
        <f t="shared" si="38"/>
        <v>1426180.2166666668</v>
      </c>
      <c r="BR39" s="898">
        <f t="shared" si="38"/>
        <v>1426180.2166666668</v>
      </c>
      <c r="BS39" s="898">
        <f t="shared" ref="BS39:CL39" si="39">$D$39*BS17</f>
        <v>1426180.2166666668</v>
      </c>
      <c r="BT39" s="898">
        <f t="shared" si="39"/>
        <v>1426180.2166666668</v>
      </c>
      <c r="BU39" s="898">
        <f t="shared" si="39"/>
        <v>1426180.2166666668</v>
      </c>
      <c r="BV39" s="898">
        <f t="shared" si="39"/>
        <v>1426180.2166666668</v>
      </c>
      <c r="BW39" s="898">
        <f t="shared" si="39"/>
        <v>1426180.2166666668</v>
      </c>
      <c r="BX39" s="898">
        <f t="shared" si="39"/>
        <v>1426180.2166666668</v>
      </c>
      <c r="BY39" s="898">
        <f t="shared" si="39"/>
        <v>1426180.2166666668</v>
      </c>
      <c r="BZ39" s="898">
        <f t="shared" si="39"/>
        <v>1426180.2166666668</v>
      </c>
      <c r="CA39" s="898">
        <f t="shared" si="39"/>
        <v>1426180.2166666668</v>
      </c>
      <c r="CB39" s="898">
        <f t="shared" si="39"/>
        <v>1426180.2166666668</v>
      </c>
      <c r="CC39" s="898">
        <f t="shared" si="39"/>
        <v>1426180.2166666668</v>
      </c>
      <c r="CD39" s="898">
        <f t="shared" si="39"/>
        <v>1426180.2166666668</v>
      </c>
      <c r="CE39" s="898">
        <f t="shared" si="39"/>
        <v>1426180.2166666668</v>
      </c>
      <c r="CF39" s="898">
        <f t="shared" si="39"/>
        <v>1426180.2166666668</v>
      </c>
      <c r="CG39" s="898">
        <f t="shared" si="39"/>
        <v>1426180.2166666668</v>
      </c>
      <c r="CH39" s="898">
        <f t="shared" si="39"/>
        <v>1426180.2166666668</v>
      </c>
      <c r="CI39" s="898">
        <f t="shared" si="39"/>
        <v>1426180.2166666668</v>
      </c>
      <c r="CJ39" s="898">
        <f t="shared" si="39"/>
        <v>1426180.2166666668</v>
      </c>
      <c r="CK39" s="898">
        <f t="shared" si="39"/>
        <v>1426180.2166666668</v>
      </c>
      <c r="CL39" s="896">
        <f t="shared" si="39"/>
        <v>1426180.2166666668</v>
      </c>
      <c r="CM39" s="875">
        <f t="shared" si="15"/>
        <v>1426180.2166666682</v>
      </c>
      <c r="CN39" s="907" t="s">
        <v>249</v>
      </c>
      <c r="CO39" s="908">
        <v>3</v>
      </c>
      <c r="CP39" s="908">
        <v>3</v>
      </c>
      <c r="CQ39" s="908">
        <v>3</v>
      </c>
      <c r="CR39" s="908">
        <v>3</v>
      </c>
      <c r="CS39" s="908">
        <v>3</v>
      </c>
      <c r="CT39" s="908">
        <v>3</v>
      </c>
      <c r="CU39" s="908">
        <v>3</v>
      </c>
      <c r="CV39" s="908">
        <v>3</v>
      </c>
      <c r="CW39" s="908">
        <v>3</v>
      </c>
      <c r="CX39" s="908">
        <v>3</v>
      </c>
      <c r="CY39" s="908">
        <v>3</v>
      </c>
      <c r="CZ39" s="908">
        <v>3</v>
      </c>
      <c r="DA39" s="908">
        <v>3</v>
      </c>
      <c r="DB39" s="908">
        <v>3</v>
      </c>
      <c r="DC39" s="908">
        <v>3</v>
      </c>
      <c r="DD39" s="908">
        <v>3</v>
      </c>
      <c r="DE39" s="908">
        <v>3</v>
      </c>
      <c r="DF39" s="908">
        <v>3</v>
      </c>
      <c r="DG39" s="908">
        <v>3</v>
      </c>
      <c r="DH39" s="908">
        <v>3</v>
      </c>
      <c r="DI39" s="908">
        <v>3</v>
      </c>
      <c r="DJ39" s="908">
        <v>3</v>
      </c>
      <c r="DK39" s="908">
        <v>3</v>
      </c>
      <c r="DL39" s="908">
        <v>3</v>
      </c>
      <c r="DM39" s="908">
        <v>3</v>
      </c>
      <c r="DN39" s="908">
        <v>3</v>
      </c>
      <c r="DO39" s="908">
        <v>3</v>
      </c>
      <c r="DP39" s="908">
        <v>3</v>
      </c>
      <c r="DQ39" s="908">
        <v>3</v>
      </c>
      <c r="DR39" s="908">
        <v>3</v>
      </c>
      <c r="DS39" s="908">
        <v>3</v>
      </c>
      <c r="DT39" s="908">
        <v>3</v>
      </c>
      <c r="DU39" s="908">
        <v>3</v>
      </c>
      <c r="DV39" s="908">
        <v>3</v>
      </c>
      <c r="DW39" s="908">
        <v>3</v>
      </c>
      <c r="DX39" s="908">
        <v>3</v>
      </c>
      <c r="DY39" s="908">
        <v>3</v>
      </c>
      <c r="DZ39" s="908">
        <v>3</v>
      </c>
      <c r="EA39" s="908">
        <v>3</v>
      </c>
      <c r="EB39" s="908">
        <v>3</v>
      </c>
      <c r="EC39" s="908">
        <v>3</v>
      </c>
      <c r="ED39" s="908">
        <v>3</v>
      </c>
      <c r="EE39" s="908">
        <v>3</v>
      </c>
      <c r="EF39" s="908">
        <v>3</v>
      </c>
      <c r="EG39" s="908">
        <v>3</v>
      </c>
      <c r="EH39" s="908">
        <v>3</v>
      </c>
      <c r="EI39" s="908">
        <v>3</v>
      </c>
      <c r="EJ39" s="908">
        <v>3</v>
      </c>
      <c r="EK39" s="908">
        <v>3</v>
      </c>
      <c r="EL39" s="908">
        <v>3</v>
      </c>
      <c r="EM39" s="908">
        <v>3</v>
      </c>
      <c r="EN39" s="908">
        <v>3</v>
      </c>
      <c r="EO39" s="908">
        <v>3</v>
      </c>
      <c r="EP39" s="908">
        <v>3</v>
      </c>
      <c r="EQ39" s="908">
        <v>3</v>
      </c>
      <c r="ER39" s="908">
        <v>3</v>
      </c>
      <c r="ES39" s="908">
        <v>3</v>
      </c>
      <c r="ET39" s="908">
        <v>3</v>
      </c>
      <c r="EU39" s="908">
        <v>3</v>
      </c>
      <c r="EV39" s="908">
        <v>3</v>
      </c>
      <c r="EW39" s="908">
        <v>3</v>
      </c>
      <c r="EX39" s="908">
        <v>3</v>
      </c>
      <c r="EY39" s="908">
        <v>3</v>
      </c>
      <c r="EZ39" s="908">
        <v>3</v>
      </c>
      <c r="FA39" s="908">
        <v>3</v>
      </c>
      <c r="FB39" s="908">
        <v>3</v>
      </c>
      <c r="FC39" s="908">
        <v>3</v>
      </c>
      <c r="FD39" s="908">
        <v>3</v>
      </c>
      <c r="FE39" s="908">
        <v>3</v>
      </c>
      <c r="FF39" s="908">
        <v>3</v>
      </c>
      <c r="FG39" s="908">
        <v>3</v>
      </c>
      <c r="FH39" s="908">
        <v>3</v>
      </c>
      <c r="FI39" s="908">
        <v>3</v>
      </c>
      <c r="FJ39" s="908">
        <v>3</v>
      </c>
      <c r="FK39" s="908">
        <v>3</v>
      </c>
      <c r="FL39" s="908">
        <v>3</v>
      </c>
      <c r="FM39" s="908">
        <v>3</v>
      </c>
      <c r="FN39" s="908">
        <v>3</v>
      </c>
      <c r="FO39" s="908">
        <v>3</v>
      </c>
      <c r="FP39" s="908">
        <v>3</v>
      </c>
      <c r="FQ39" s="908">
        <v>3</v>
      </c>
      <c r="FR39" s="908">
        <v>3</v>
      </c>
      <c r="FS39" s="908">
        <v>3</v>
      </c>
      <c r="FT39" s="908">
        <v>3</v>
      </c>
      <c r="FU39" s="908">
        <v>3</v>
      </c>
      <c r="FV39" s="906">
        <f t="shared" si="31"/>
        <v>3</v>
      </c>
      <c r="FW39" s="903"/>
    </row>
    <row r="40" spans="1:179">
      <c r="A40" s="1397"/>
      <c r="B40" s="876" t="s">
        <v>399</v>
      </c>
      <c r="C40" s="877" t="s">
        <v>361</v>
      </c>
      <c r="D40" s="877">
        <v>16.829999999999998</v>
      </c>
      <c r="E40" s="1398"/>
      <c r="F40" s="896" t="s">
        <v>408</v>
      </c>
      <c r="G40" s="897">
        <f t="shared" ref="G40:BR40" si="40">16.8349994240702*G17</f>
        <v>1541061.8181131997</v>
      </c>
      <c r="H40" s="897">
        <f t="shared" si="40"/>
        <v>1541061.8181131997</v>
      </c>
      <c r="I40" s="897">
        <f t="shared" si="40"/>
        <v>1541061.8181131997</v>
      </c>
      <c r="J40" s="897">
        <f t="shared" si="40"/>
        <v>1541061.8181131997</v>
      </c>
      <c r="K40" s="897">
        <f t="shared" si="40"/>
        <v>1541061.8181131997</v>
      </c>
      <c r="L40" s="897">
        <f t="shared" si="40"/>
        <v>1541061.8181131997</v>
      </c>
      <c r="M40" s="897">
        <f t="shared" si="40"/>
        <v>1541061.8181131997</v>
      </c>
      <c r="N40" s="897">
        <f t="shared" si="40"/>
        <v>1541061.8181131997</v>
      </c>
      <c r="O40" s="897">
        <f t="shared" si="40"/>
        <v>1541061.8181131997</v>
      </c>
      <c r="P40" s="897">
        <f t="shared" si="40"/>
        <v>1541061.8181131997</v>
      </c>
      <c r="Q40" s="897">
        <f t="shared" si="40"/>
        <v>1541061.8181131997</v>
      </c>
      <c r="R40" s="897">
        <f t="shared" si="40"/>
        <v>1541061.8181131997</v>
      </c>
      <c r="S40" s="897">
        <f t="shared" si="40"/>
        <v>1541061.8181131997</v>
      </c>
      <c r="T40" s="897">
        <f t="shared" si="40"/>
        <v>1541061.8181131997</v>
      </c>
      <c r="U40" s="897">
        <f t="shared" si="40"/>
        <v>1541061.8181131997</v>
      </c>
      <c r="V40" s="897">
        <f t="shared" si="40"/>
        <v>1541061.8181131997</v>
      </c>
      <c r="W40" s="897">
        <f t="shared" si="40"/>
        <v>1541061.8181131997</v>
      </c>
      <c r="X40" s="897">
        <f t="shared" si="40"/>
        <v>1541061.8181131997</v>
      </c>
      <c r="Y40" s="897">
        <f t="shared" si="40"/>
        <v>1541061.8181131997</v>
      </c>
      <c r="Z40" s="897">
        <f t="shared" si="40"/>
        <v>1541061.8181131997</v>
      </c>
      <c r="AA40" s="897">
        <f t="shared" si="40"/>
        <v>1541061.8181131997</v>
      </c>
      <c r="AB40" s="897">
        <f t="shared" si="40"/>
        <v>1541061.8181131997</v>
      </c>
      <c r="AC40" s="897">
        <f t="shared" si="40"/>
        <v>1541061.8181131997</v>
      </c>
      <c r="AD40" s="897">
        <f t="shared" si="40"/>
        <v>1541061.8181131997</v>
      </c>
      <c r="AE40" s="897">
        <f t="shared" si="40"/>
        <v>1541061.8181131997</v>
      </c>
      <c r="AF40" s="897">
        <f t="shared" si="40"/>
        <v>1541061.8181131997</v>
      </c>
      <c r="AG40" s="897">
        <f t="shared" si="40"/>
        <v>1541061.8181131997</v>
      </c>
      <c r="AH40" s="897">
        <f t="shared" si="40"/>
        <v>1541061.8181131997</v>
      </c>
      <c r="AI40" s="897">
        <f t="shared" si="40"/>
        <v>1541061.8181131997</v>
      </c>
      <c r="AJ40" s="897">
        <f t="shared" si="40"/>
        <v>1541061.8181131997</v>
      </c>
      <c r="AK40" s="897">
        <f t="shared" si="40"/>
        <v>1541061.8181131997</v>
      </c>
      <c r="AL40" s="897">
        <f t="shared" si="40"/>
        <v>1541061.8181131997</v>
      </c>
      <c r="AM40" s="897">
        <f t="shared" si="40"/>
        <v>1541061.8181131997</v>
      </c>
      <c r="AN40" s="897">
        <f t="shared" si="40"/>
        <v>1541061.8181131997</v>
      </c>
      <c r="AO40" s="897">
        <f t="shared" si="40"/>
        <v>1541061.8181131997</v>
      </c>
      <c r="AP40" s="897">
        <f t="shared" si="40"/>
        <v>1541061.8181131997</v>
      </c>
      <c r="AQ40" s="897">
        <f t="shared" si="40"/>
        <v>1541061.8181131997</v>
      </c>
      <c r="AR40" s="897">
        <f t="shared" si="40"/>
        <v>1541061.8181131997</v>
      </c>
      <c r="AS40" s="897">
        <f t="shared" si="40"/>
        <v>1541061.8181131997</v>
      </c>
      <c r="AT40" s="897">
        <f t="shared" si="40"/>
        <v>1541061.8181131997</v>
      </c>
      <c r="AU40" s="898">
        <f t="shared" si="40"/>
        <v>1541061.8181131997</v>
      </c>
      <c r="AV40" s="898">
        <f t="shared" si="40"/>
        <v>1541061.8181131997</v>
      </c>
      <c r="AW40" s="898">
        <f t="shared" si="40"/>
        <v>1541061.8181131997</v>
      </c>
      <c r="AX40" s="898">
        <f t="shared" si="40"/>
        <v>1541061.8181131997</v>
      </c>
      <c r="AY40" s="898">
        <f t="shared" si="40"/>
        <v>1541061.8181131997</v>
      </c>
      <c r="AZ40" s="898">
        <f t="shared" si="40"/>
        <v>1541061.8181131997</v>
      </c>
      <c r="BA40" s="898">
        <f t="shared" si="40"/>
        <v>1541061.8181131997</v>
      </c>
      <c r="BB40" s="898">
        <f t="shared" si="40"/>
        <v>1541061.8181131997</v>
      </c>
      <c r="BC40" s="898">
        <f t="shared" si="40"/>
        <v>1541061.8181131997</v>
      </c>
      <c r="BD40" s="898">
        <f t="shared" si="40"/>
        <v>1541061.8181131997</v>
      </c>
      <c r="BE40" s="898">
        <f t="shared" si="40"/>
        <v>1541061.8181131997</v>
      </c>
      <c r="BF40" s="898">
        <f t="shared" si="40"/>
        <v>1541061.8181131997</v>
      </c>
      <c r="BG40" s="898">
        <f t="shared" si="40"/>
        <v>1541061.8181131997</v>
      </c>
      <c r="BH40" s="898">
        <f t="shared" si="40"/>
        <v>1541061.8181131997</v>
      </c>
      <c r="BI40" s="898">
        <f t="shared" si="40"/>
        <v>1541061.8181131997</v>
      </c>
      <c r="BJ40" s="898">
        <f t="shared" si="40"/>
        <v>1541061.8181131997</v>
      </c>
      <c r="BK40" s="898">
        <f t="shared" si="40"/>
        <v>1541061.8181131997</v>
      </c>
      <c r="BL40" s="898">
        <f t="shared" si="40"/>
        <v>1541061.8181131997</v>
      </c>
      <c r="BM40" s="898">
        <f t="shared" si="40"/>
        <v>1541061.8181131997</v>
      </c>
      <c r="BN40" s="898">
        <f t="shared" si="40"/>
        <v>1541061.8181131997</v>
      </c>
      <c r="BO40" s="898">
        <f t="shared" si="40"/>
        <v>1541061.8181131997</v>
      </c>
      <c r="BP40" s="898">
        <f t="shared" si="40"/>
        <v>1541061.8181131997</v>
      </c>
      <c r="BQ40" s="898">
        <f t="shared" si="40"/>
        <v>1541061.8181131997</v>
      </c>
      <c r="BR40" s="898">
        <f t="shared" si="40"/>
        <v>1541061.8181131997</v>
      </c>
      <c r="BS40" s="898">
        <f t="shared" ref="BS40:CL40" si="41">16.8349994240702*BS17</f>
        <v>1541061.8181131997</v>
      </c>
      <c r="BT40" s="898">
        <f t="shared" si="41"/>
        <v>1541061.8181131997</v>
      </c>
      <c r="BU40" s="898">
        <f t="shared" si="41"/>
        <v>1541061.8181131997</v>
      </c>
      <c r="BV40" s="898">
        <f t="shared" si="41"/>
        <v>1541061.8181131997</v>
      </c>
      <c r="BW40" s="898">
        <f t="shared" si="41"/>
        <v>1541061.8181131997</v>
      </c>
      <c r="BX40" s="898">
        <f t="shared" si="41"/>
        <v>1541061.8181131997</v>
      </c>
      <c r="BY40" s="898">
        <f t="shared" si="41"/>
        <v>1541061.8181131997</v>
      </c>
      <c r="BZ40" s="898">
        <f t="shared" si="41"/>
        <v>1541061.8181131997</v>
      </c>
      <c r="CA40" s="898">
        <f t="shared" si="41"/>
        <v>1541061.8181131997</v>
      </c>
      <c r="CB40" s="898">
        <f t="shared" si="41"/>
        <v>1541061.8181131997</v>
      </c>
      <c r="CC40" s="898">
        <f t="shared" si="41"/>
        <v>1541061.8181131997</v>
      </c>
      <c r="CD40" s="898">
        <f t="shared" si="41"/>
        <v>1541061.8181131997</v>
      </c>
      <c r="CE40" s="898">
        <f t="shared" si="41"/>
        <v>1541061.8181131997</v>
      </c>
      <c r="CF40" s="898">
        <f t="shared" si="41"/>
        <v>1541061.8181131997</v>
      </c>
      <c r="CG40" s="898">
        <f t="shared" si="41"/>
        <v>1541061.8181131997</v>
      </c>
      <c r="CH40" s="898">
        <f t="shared" si="41"/>
        <v>1541061.8181131997</v>
      </c>
      <c r="CI40" s="898">
        <f t="shared" si="41"/>
        <v>1541061.8181131997</v>
      </c>
      <c r="CJ40" s="898">
        <f t="shared" si="41"/>
        <v>1541061.8181131997</v>
      </c>
      <c r="CK40" s="898">
        <f t="shared" si="41"/>
        <v>1541061.8181131997</v>
      </c>
      <c r="CL40" s="896">
        <f t="shared" si="41"/>
        <v>1541061.8181131997</v>
      </c>
      <c r="CM40" s="875">
        <f t="shared" si="15"/>
        <v>1541061.8181131966</v>
      </c>
      <c r="CN40" s="907" t="s">
        <v>250</v>
      </c>
      <c r="CO40" s="908">
        <v>2.4500000000000002</v>
      </c>
      <c r="CP40" s="908">
        <v>2.4500000000000002</v>
      </c>
      <c r="CQ40" s="908">
        <v>2.4500000000000002</v>
      </c>
      <c r="CR40" s="908">
        <v>2.4500000000000002</v>
      </c>
      <c r="CS40" s="908">
        <v>2.4500000000000002</v>
      </c>
      <c r="CT40" s="908">
        <v>2.4500000000000002</v>
      </c>
      <c r="CU40" s="908">
        <v>2.4500000000000002</v>
      </c>
      <c r="CV40" s="908">
        <v>2.4500000000000002</v>
      </c>
      <c r="CW40" s="908">
        <v>2.4500000000000002</v>
      </c>
      <c r="CX40" s="908">
        <v>2.4500000000000002</v>
      </c>
      <c r="CY40" s="908">
        <v>2.4500000000000002</v>
      </c>
      <c r="CZ40" s="908">
        <v>2.4500000000000002</v>
      </c>
      <c r="DA40" s="908">
        <v>2.4500000000000002</v>
      </c>
      <c r="DB40" s="908">
        <v>2.4500000000000002</v>
      </c>
      <c r="DC40" s="908">
        <v>2.4500000000000002</v>
      </c>
      <c r="DD40" s="908">
        <v>2.4500000000000002</v>
      </c>
      <c r="DE40" s="908">
        <v>2.4500000000000002</v>
      </c>
      <c r="DF40" s="908">
        <v>2.4500000000000002</v>
      </c>
      <c r="DG40" s="908">
        <v>2.4500000000000002</v>
      </c>
      <c r="DH40" s="908">
        <v>2.4500000000000002</v>
      </c>
      <c r="DI40" s="908">
        <v>2.4500000000000002</v>
      </c>
      <c r="DJ40" s="908">
        <v>2.4500000000000002</v>
      </c>
      <c r="DK40" s="908">
        <v>2.4500000000000002</v>
      </c>
      <c r="DL40" s="908">
        <v>2.4500000000000002</v>
      </c>
      <c r="DM40" s="908">
        <v>2.4500000000000002</v>
      </c>
      <c r="DN40" s="908">
        <v>2.4500000000000002</v>
      </c>
      <c r="DO40" s="908">
        <v>2.4500000000000002</v>
      </c>
      <c r="DP40" s="908">
        <v>2.4500000000000002</v>
      </c>
      <c r="DQ40" s="908">
        <v>2.4500000000000002</v>
      </c>
      <c r="DR40" s="908">
        <v>2.4500000000000002</v>
      </c>
      <c r="DS40" s="908">
        <v>2.4500000000000002</v>
      </c>
      <c r="DT40" s="908">
        <v>2.4500000000000002</v>
      </c>
      <c r="DU40" s="908">
        <v>2.4500000000000002</v>
      </c>
      <c r="DV40" s="908">
        <v>2.4500000000000002</v>
      </c>
      <c r="DW40" s="908">
        <v>2.4500000000000002</v>
      </c>
      <c r="DX40" s="908">
        <v>2.4500000000000002</v>
      </c>
      <c r="DY40" s="908">
        <v>2.4500000000000002</v>
      </c>
      <c r="DZ40" s="908">
        <v>2.4500000000000002</v>
      </c>
      <c r="EA40" s="908">
        <v>2.4500000000000002</v>
      </c>
      <c r="EB40" s="908">
        <v>2.4500000000000002</v>
      </c>
      <c r="EC40" s="908">
        <v>2.4500000000000002</v>
      </c>
      <c r="ED40" s="908">
        <v>2.4500000000000002</v>
      </c>
      <c r="EE40" s="908">
        <v>2.4500000000000002</v>
      </c>
      <c r="EF40" s="908">
        <v>2.4500000000000002</v>
      </c>
      <c r="EG40" s="908">
        <v>2.4500000000000002</v>
      </c>
      <c r="EH40" s="908">
        <v>2.4500000000000002</v>
      </c>
      <c r="EI40" s="908">
        <v>2.4500000000000002</v>
      </c>
      <c r="EJ40" s="908">
        <v>2.4500000000000002</v>
      </c>
      <c r="EK40" s="908">
        <v>2.4500000000000002</v>
      </c>
      <c r="EL40" s="908">
        <v>2.4500000000000002</v>
      </c>
      <c r="EM40" s="908">
        <v>2.4500000000000002</v>
      </c>
      <c r="EN40" s="908">
        <v>2.4500000000000002</v>
      </c>
      <c r="EO40" s="908">
        <v>2.4500000000000002</v>
      </c>
      <c r="EP40" s="908">
        <v>2.4500000000000002</v>
      </c>
      <c r="EQ40" s="908">
        <v>2.4500000000000002</v>
      </c>
      <c r="ER40" s="908">
        <v>2.4500000000000002</v>
      </c>
      <c r="ES40" s="908">
        <v>2.4500000000000002</v>
      </c>
      <c r="ET40" s="908">
        <v>2.4500000000000002</v>
      </c>
      <c r="EU40" s="908">
        <v>2.4500000000000002</v>
      </c>
      <c r="EV40" s="908">
        <v>2.4500000000000002</v>
      </c>
      <c r="EW40" s="908">
        <v>2.4500000000000002</v>
      </c>
      <c r="EX40" s="908">
        <v>2.4500000000000002</v>
      </c>
      <c r="EY40" s="908">
        <v>2.4500000000000002</v>
      </c>
      <c r="EZ40" s="908">
        <v>2.4500000000000002</v>
      </c>
      <c r="FA40" s="908">
        <v>2.4500000000000002</v>
      </c>
      <c r="FB40" s="908">
        <v>2.4500000000000002</v>
      </c>
      <c r="FC40" s="908">
        <v>2.4500000000000002</v>
      </c>
      <c r="FD40" s="908">
        <v>2.4500000000000002</v>
      </c>
      <c r="FE40" s="908">
        <v>2.4500000000000002</v>
      </c>
      <c r="FF40" s="908">
        <v>2.4500000000000002</v>
      </c>
      <c r="FG40" s="908">
        <v>2.4500000000000002</v>
      </c>
      <c r="FH40" s="908">
        <v>2.4500000000000002</v>
      </c>
      <c r="FI40" s="908">
        <v>2.4500000000000002</v>
      </c>
      <c r="FJ40" s="908">
        <v>2.4500000000000002</v>
      </c>
      <c r="FK40" s="908">
        <v>2.4500000000000002</v>
      </c>
      <c r="FL40" s="908">
        <v>2.4500000000000002</v>
      </c>
      <c r="FM40" s="908">
        <v>2.4500000000000002</v>
      </c>
      <c r="FN40" s="908">
        <v>2.4500000000000002</v>
      </c>
      <c r="FO40" s="908">
        <v>2.4500000000000002</v>
      </c>
      <c r="FP40" s="908">
        <v>2.4500000000000002</v>
      </c>
      <c r="FQ40" s="908">
        <v>2.4500000000000002</v>
      </c>
      <c r="FR40" s="908">
        <v>2.4500000000000002</v>
      </c>
      <c r="FS40" s="908">
        <v>2.4500000000000002</v>
      </c>
      <c r="FT40" s="908">
        <v>2.4500000000000002</v>
      </c>
      <c r="FU40" s="908">
        <v>2.4500000000000002</v>
      </c>
      <c r="FV40" s="906">
        <f t="shared" si="31"/>
        <v>2.450000000000002</v>
      </c>
      <c r="FW40" s="903"/>
    </row>
    <row r="41" spans="1:179">
      <c r="A41" s="1397"/>
      <c r="B41" s="876" t="s">
        <v>399</v>
      </c>
      <c r="C41" s="877" t="s">
        <v>167</v>
      </c>
      <c r="D41" s="877">
        <v>2.8000000000000001E-2</v>
      </c>
      <c r="E41" s="1398"/>
      <c r="F41" s="909" t="s">
        <v>442</v>
      </c>
      <c r="G41" s="897">
        <f t="shared" ref="G41:BR41" si="42">$D$41*G17</f>
        <v>2563.0966666666668</v>
      </c>
      <c r="H41" s="897">
        <f t="shared" si="42"/>
        <v>2563.0966666666668</v>
      </c>
      <c r="I41" s="897">
        <f t="shared" si="42"/>
        <v>2563.0966666666668</v>
      </c>
      <c r="J41" s="897">
        <f t="shared" si="42"/>
        <v>2563.0966666666668</v>
      </c>
      <c r="K41" s="897">
        <f t="shared" si="42"/>
        <v>2563.0966666666668</v>
      </c>
      <c r="L41" s="897">
        <f t="shared" si="42"/>
        <v>2563.0966666666668</v>
      </c>
      <c r="M41" s="897">
        <f t="shared" si="42"/>
        <v>2563.0966666666668</v>
      </c>
      <c r="N41" s="897">
        <f t="shared" si="42"/>
        <v>2563.0966666666668</v>
      </c>
      <c r="O41" s="897">
        <f t="shared" si="42"/>
        <v>2563.0966666666668</v>
      </c>
      <c r="P41" s="897">
        <f t="shared" si="42"/>
        <v>2563.0966666666668</v>
      </c>
      <c r="Q41" s="897">
        <f t="shared" si="42"/>
        <v>2563.0966666666668</v>
      </c>
      <c r="R41" s="897">
        <f t="shared" si="42"/>
        <v>2563.0966666666668</v>
      </c>
      <c r="S41" s="897">
        <f t="shared" si="42"/>
        <v>2563.0966666666668</v>
      </c>
      <c r="T41" s="897">
        <f t="shared" si="42"/>
        <v>2563.0966666666668</v>
      </c>
      <c r="U41" s="897">
        <f t="shared" si="42"/>
        <v>2563.0966666666668</v>
      </c>
      <c r="V41" s="897">
        <f t="shared" si="42"/>
        <v>2563.0966666666668</v>
      </c>
      <c r="W41" s="897">
        <f t="shared" si="42"/>
        <v>2563.0966666666668</v>
      </c>
      <c r="X41" s="897">
        <f t="shared" si="42"/>
        <v>2563.0966666666668</v>
      </c>
      <c r="Y41" s="897">
        <f t="shared" si="42"/>
        <v>2563.0966666666668</v>
      </c>
      <c r="Z41" s="897">
        <f t="shared" si="42"/>
        <v>2563.0966666666668</v>
      </c>
      <c r="AA41" s="897">
        <f t="shared" si="42"/>
        <v>2563.0966666666668</v>
      </c>
      <c r="AB41" s="897">
        <f t="shared" si="42"/>
        <v>2563.0966666666668</v>
      </c>
      <c r="AC41" s="897">
        <f t="shared" si="42"/>
        <v>2563.0966666666668</v>
      </c>
      <c r="AD41" s="897">
        <f t="shared" si="42"/>
        <v>2563.0966666666668</v>
      </c>
      <c r="AE41" s="897">
        <f t="shared" si="42"/>
        <v>2563.0966666666668</v>
      </c>
      <c r="AF41" s="897">
        <f t="shared" si="42"/>
        <v>2563.0966666666668</v>
      </c>
      <c r="AG41" s="897">
        <f t="shared" si="42"/>
        <v>2563.0966666666668</v>
      </c>
      <c r="AH41" s="897">
        <f t="shared" si="42"/>
        <v>2563.0966666666668</v>
      </c>
      <c r="AI41" s="897">
        <f t="shared" si="42"/>
        <v>2563.0966666666668</v>
      </c>
      <c r="AJ41" s="897">
        <f t="shared" si="42"/>
        <v>2563.0966666666668</v>
      </c>
      <c r="AK41" s="897">
        <f t="shared" si="42"/>
        <v>2563.0966666666668</v>
      </c>
      <c r="AL41" s="897">
        <f t="shared" si="42"/>
        <v>2563.0966666666668</v>
      </c>
      <c r="AM41" s="897">
        <f t="shared" si="42"/>
        <v>2563.0966666666668</v>
      </c>
      <c r="AN41" s="897">
        <f t="shared" si="42"/>
        <v>2563.0966666666668</v>
      </c>
      <c r="AO41" s="897">
        <f t="shared" si="42"/>
        <v>2563.0966666666668</v>
      </c>
      <c r="AP41" s="897">
        <f t="shared" si="42"/>
        <v>2563.0966666666668</v>
      </c>
      <c r="AQ41" s="897">
        <f t="shared" si="42"/>
        <v>2563.0966666666668</v>
      </c>
      <c r="AR41" s="897">
        <f t="shared" si="42"/>
        <v>2563.0966666666668</v>
      </c>
      <c r="AS41" s="897">
        <f t="shared" si="42"/>
        <v>2563.0966666666668</v>
      </c>
      <c r="AT41" s="897">
        <f t="shared" si="42"/>
        <v>2563.0966666666668</v>
      </c>
      <c r="AU41" s="898">
        <f t="shared" si="42"/>
        <v>2563.0966666666668</v>
      </c>
      <c r="AV41" s="898">
        <f t="shared" si="42"/>
        <v>2563.0966666666668</v>
      </c>
      <c r="AW41" s="898">
        <f t="shared" si="42"/>
        <v>2563.0966666666668</v>
      </c>
      <c r="AX41" s="898">
        <f t="shared" si="42"/>
        <v>2563.0966666666668</v>
      </c>
      <c r="AY41" s="898">
        <f t="shared" si="42"/>
        <v>2563.0966666666668</v>
      </c>
      <c r="AZ41" s="898">
        <f t="shared" si="42"/>
        <v>2563.0966666666668</v>
      </c>
      <c r="BA41" s="898">
        <f t="shared" si="42"/>
        <v>2563.0966666666668</v>
      </c>
      <c r="BB41" s="898">
        <f t="shared" si="42"/>
        <v>2563.0966666666668</v>
      </c>
      <c r="BC41" s="898">
        <f t="shared" si="42"/>
        <v>2563.0966666666668</v>
      </c>
      <c r="BD41" s="898">
        <f t="shared" si="42"/>
        <v>2563.0966666666668</v>
      </c>
      <c r="BE41" s="898">
        <f t="shared" si="42"/>
        <v>2563.0966666666668</v>
      </c>
      <c r="BF41" s="898">
        <f t="shared" si="42"/>
        <v>2563.0966666666668</v>
      </c>
      <c r="BG41" s="898">
        <f t="shared" si="42"/>
        <v>2563.0966666666668</v>
      </c>
      <c r="BH41" s="898">
        <f t="shared" si="42"/>
        <v>2563.0966666666668</v>
      </c>
      <c r="BI41" s="898">
        <f t="shared" si="42"/>
        <v>2563.0966666666668</v>
      </c>
      <c r="BJ41" s="898">
        <f t="shared" si="42"/>
        <v>2563.0966666666668</v>
      </c>
      <c r="BK41" s="898">
        <f t="shared" si="42"/>
        <v>2563.0966666666668</v>
      </c>
      <c r="BL41" s="898">
        <f t="shared" si="42"/>
        <v>2563.0966666666668</v>
      </c>
      <c r="BM41" s="898">
        <f t="shared" si="42"/>
        <v>2563.0966666666668</v>
      </c>
      <c r="BN41" s="898">
        <f t="shared" si="42"/>
        <v>2563.0966666666668</v>
      </c>
      <c r="BO41" s="898">
        <f t="shared" si="42"/>
        <v>2563.0966666666668</v>
      </c>
      <c r="BP41" s="898">
        <f t="shared" si="42"/>
        <v>2563.0966666666668</v>
      </c>
      <c r="BQ41" s="898">
        <f t="shared" si="42"/>
        <v>2563.0966666666668</v>
      </c>
      <c r="BR41" s="898">
        <f t="shared" si="42"/>
        <v>2563.0966666666668</v>
      </c>
      <c r="BS41" s="898">
        <f t="shared" ref="BS41:CL41" si="43">$D$41*BS17</f>
        <v>2563.0966666666668</v>
      </c>
      <c r="BT41" s="898">
        <f t="shared" si="43"/>
        <v>2563.0966666666668</v>
      </c>
      <c r="BU41" s="898">
        <f t="shared" si="43"/>
        <v>2563.0966666666668</v>
      </c>
      <c r="BV41" s="898">
        <f t="shared" si="43"/>
        <v>2563.0966666666668</v>
      </c>
      <c r="BW41" s="898">
        <f t="shared" si="43"/>
        <v>2563.0966666666668</v>
      </c>
      <c r="BX41" s="898">
        <f t="shared" si="43"/>
        <v>2563.0966666666668</v>
      </c>
      <c r="BY41" s="898">
        <f t="shared" si="43"/>
        <v>2563.0966666666668</v>
      </c>
      <c r="BZ41" s="898">
        <f t="shared" si="43"/>
        <v>2563.0966666666668</v>
      </c>
      <c r="CA41" s="898">
        <f t="shared" si="43"/>
        <v>2563.0966666666668</v>
      </c>
      <c r="CB41" s="898">
        <f t="shared" si="43"/>
        <v>2563.0966666666668</v>
      </c>
      <c r="CC41" s="898">
        <f t="shared" si="43"/>
        <v>2563.0966666666668</v>
      </c>
      <c r="CD41" s="898">
        <f t="shared" si="43"/>
        <v>2563.0966666666668</v>
      </c>
      <c r="CE41" s="898">
        <f t="shared" si="43"/>
        <v>2563.0966666666668</v>
      </c>
      <c r="CF41" s="898">
        <f t="shared" si="43"/>
        <v>2563.0966666666668</v>
      </c>
      <c r="CG41" s="898">
        <f t="shared" si="43"/>
        <v>2563.0966666666668</v>
      </c>
      <c r="CH41" s="898">
        <f t="shared" si="43"/>
        <v>2563.0966666666668</v>
      </c>
      <c r="CI41" s="898">
        <f t="shared" si="43"/>
        <v>2563.0966666666668</v>
      </c>
      <c r="CJ41" s="898">
        <f t="shared" si="43"/>
        <v>2563.0966666666668</v>
      </c>
      <c r="CK41" s="898">
        <f t="shared" si="43"/>
        <v>2563.0966666666668</v>
      </c>
      <c r="CL41" s="896">
        <f t="shared" si="43"/>
        <v>2563.0966666666668</v>
      </c>
      <c r="CM41" s="875">
        <f t="shared" si="15"/>
        <v>2563.0966666666709</v>
      </c>
      <c r="CN41" s="907" t="s">
        <v>251</v>
      </c>
      <c r="CO41" s="908">
        <v>752</v>
      </c>
      <c r="CP41" s="908">
        <v>752</v>
      </c>
      <c r="CQ41" s="908">
        <v>752</v>
      </c>
      <c r="CR41" s="908">
        <v>752</v>
      </c>
      <c r="CS41" s="908">
        <v>752</v>
      </c>
      <c r="CT41" s="908">
        <v>752</v>
      </c>
      <c r="CU41" s="908">
        <v>752</v>
      </c>
      <c r="CV41" s="908">
        <v>752</v>
      </c>
      <c r="CW41" s="908">
        <v>752</v>
      </c>
      <c r="CX41" s="908">
        <v>752</v>
      </c>
      <c r="CY41" s="908">
        <v>752</v>
      </c>
      <c r="CZ41" s="908">
        <v>752</v>
      </c>
      <c r="DA41" s="908">
        <v>752</v>
      </c>
      <c r="DB41" s="908">
        <v>752</v>
      </c>
      <c r="DC41" s="908">
        <v>752</v>
      </c>
      <c r="DD41" s="908">
        <v>752</v>
      </c>
      <c r="DE41" s="908">
        <v>752</v>
      </c>
      <c r="DF41" s="908">
        <v>752</v>
      </c>
      <c r="DG41" s="908">
        <v>752</v>
      </c>
      <c r="DH41" s="908">
        <v>752</v>
      </c>
      <c r="DI41" s="908">
        <v>752</v>
      </c>
      <c r="DJ41" s="908">
        <v>752</v>
      </c>
      <c r="DK41" s="908">
        <v>752</v>
      </c>
      <c r="DL41" s="908">
        <v>752</v>
      </c>
      <c r="DM41" s="908">
        <v>752</v>
      </c>
      <c r="DN41" s="908">
        <v>752</v>
      </c>
      <c r="DO41" s="908">
        <v>752</v>
      </c>
      <c r="DP41" s="908">
        <v>752</v>
      </c>
      <c r="DQ41" s="908">
        <v>752</v>
      </c>
      <c r="DR41" s="908">
        <v>752</v>
      </c>
      <c r="DS41" s="908">
        <v>752</v>
      </c>
      <c r="DT41" s="908">
        <v>752</v>
      </c>
      <c r="DU41" s="908">
        <v>752</v>
      </c>
      <c r="DV41" s="908">
        <v>752</v>
      </c>
      <c r="DW41" s="908">
        <v>752</v>
      </c>
      <c r="DX41" s="908">
        <v>752</v>
      </c>
      <c r="DY41" s="908">
        <v>752</v>
      </c>
      <c r="DZ41" s="908">
        <v>752</v>
      </c>
      <c r="EA41" s="908">
        <v>752</v>
      </c>
      <c r="EB41" s="908">
        <v>752</v>
      </c>
      <c r="EC41" s="908">
        <v>752</v>
      </c>
      <c r="ED41" s="908">
        <v>752</v>
      </c>
      <c r="EE41" s="908">
        <v>752</v>
      </c>
      <c r="EF41" s="908">
        <v>752</v>
      </c>
      <c r="EG41" s="908">
        <v>752</v>
      </c>
      <c r="EH41" s="908">
        <v>752</v>
      </c>
      <c r="EI41" s="908">
        <v>752</v>
      </c>
      <c r="EJ41" s="908">
        <v>752</v>
      </c>
      <c r="EK41" s="908">
        <v>752</v>
      </c>
      <c r="EL41" s="908">
        <v>752</v>
      </c>
      <c r="EM41" s="908">
        <v>752</v>
      </c>
      <c r="EN41" s="908">
        <v>752</v>
      </c>
      <c r="EO41" s="908">
        <v>752</v>
      </c>
      <c r="EP41" s="908">
        <v>752</v>
      </c>
      <c r="EQ41" s="908">
        <v>752</v>
      </c>
      <c r="ER41" s="908">
        <v>752</v>
      </c>
      <c r="ES41" s="908">
        <v>752</v>
      </c>
      <c r="ET41" s="908">
        <v>752</v>
      </c>
      <c r="EU41" s="908">
        <v>752</v>
      </c>
      <c r="EV41" s="908">
        <v>752</v>
      </c>
      <c r="EW41" s="908">
        <v>752</v>
      </c>
      <c r="EX41" s="908">
        <v>752</v>
      </c>
      <c r="EY41" s="908">
        <v>752</v>
      </c>
      <c r="EZ41" s="908">
        <v>752</v>
      </c>
      <c r="FA41" s="908">
        <v>752</v>
      </c>
      <c r="FB41" s="908">
        <v>752</v>
      </c>
      <c r="FC41" s="908">
        <v>752</v>
      </c>
      <c r="FD41" s="908">
        <v>752</v>
      </c>
      <c r="FE41" s="908">
        <v>752</v>
      </c>
      <c r="FF41" s="908">
        <v>752</v>
      </c>
      <c r="FG41" s="908">
        <v>752</v>
      </c>
      <c r="FH41" s="908">
        <v>752</v>
      </c>
      <c r="FI41" s="908">
        <v>752</v>
      </c>
      <c r="FJ41" s="908">
        <v>752</v>
      </c>
      <c r="FK41" s="908">
        <v>752</v>
      </c>
      <c r="FL41" s="908">
        <v>752</v>
      </c>
      <c r="FM41" s="908">
        <v>752</v>
      </c>
      <c r="FN41" s="908">
        <v>752</v>
      </c>
      <c r="FO41" s="908">
        <v>752</v>
      </c>
      <c r="FP41" s="908">
        <v>752</v>
      </c>
      <c r="FQ41" s="908">
        <v>752</v>
      </c>
      <c r="FR41" s="908">
        <v>752</v>
      </c>
      <c r="FS41" s="908">
        <v>752</v>
      </c>
      <c r="FT41" s="908">
        <v>752</v>
      </c>
      <c r="FU41" s="908">
        <v>752</v>
      </c>
      <c r="FV41" s="906">
        <f t="shared" si="31"/>
        <v>752</v>
      </c>
      <c r="FW41" s="903"/>
    </row>
    <row r="42" spans="1:179">
      <c r="A42" s="910"/>
      <c r="B42" s="911" t="s">
        <v>399</v>
      </c>
      <c r="C42" s="912" t="s">
        <v>352</v>
      </c>
      <c r="D42" s="912"/>
      <c r="E42" s="913"/>
      <c r="F42" s="914" t="s">
        <v>409</v>
      </c>
      <c r="G42" s="915">
        <f t="shared" ref="G42:BR42" si="44">G35*CP36+G37*CP37+G38*CP35+G39*CP38+G36*CP39+CP40*G40+G41*CP41</f>
        <v>477339859.75181001</v>
      </c>
      <c r="H42" s="915">
        <f t="shared" si="44"/>
        <v>477339859.75181001</v>
      </c>
      <c r="I42" s="915">
        <f t="shared" si="44"/>
        <v>477339859.75181001</v>
      </c>
      <c r="J42" s="915">
        <f t="shared" si="44"/>
        <v>477341397.60980999</v>
      </c>
      <c r="K42" s="915">
        <f t="shared" si="44"/>
        <v>477697942.66397667</v>
      </c>
      <c r="L42" s="915">
        <f t="shared" si="44"/>
        <v>477698455.28331</v>
      </c>
      <c r="M42" s="915">
        <f t="shared" si="44"/>
        <v>477698455.28331</v>
      </c>
      <c r="N42" s="915">
        <f t="shared" si="44"/>
        <v>478699877.0237214</v>
      </c>
      <c r="O42" s="915">
        <f t="shared" si="44"/>
        <v>477698967.90264332</v>
      </c>
      <c r="P42" s="915">
        <f t="shared" si="44"/>
        <v>478701799.34622139</v>
      </c>
      <c r="Q42" s="915">
        <f t="shared" si="44"/>
        <v>479702708.46730095</v>
      </c>
      <c r="R42" s="915">
        <f t="shared" si="44"/>
        <v>480703617.58838046</v>
      </c>
      <c r="S42" s="915">
        <f t="shared" si="44"/>
        <v>481705039.32879186</v>
      </c>
      <c r="T42" s="915">
        <f t="shared" si="44"/>
        <v>482707675.01980197</v>
      </c>
      <c r="U42" s="915">
        <f t="shared" si="44"/>
        <v>483708770.14262933</v>
      </c>
      <c r="V42" s="915">
        <f t="shared" si="44"/>
        <v>484791866.97104126</v>
      </c>
      <c r="W42" s="915">
        <f t="shared" si="44"/>
        <v>485763063.50553155</v>
      </c>
      <c r="X42" s="915">
        <f t="shared" si="44"/>
        <v>486734260.04002035</v>
      </c>
      <c r="Y42" s="915">
        <f t="shared" si="44"/>
        <v>487705456.57451063</v>
      </c>
      <c r="Z42" s="915">
        <f t="shared" si="44"/>
        <v>488676653.10900104</v>
      </c>
      <c r="AA42" s="915">
        <f t="shared" si="44"/>
        <v>489647849.64348972</v>
      </c>
      <c r="AB42" s="915">
        <f t="shared" si="44"/>
        <v>490619046.17798007</v>
      </c>
      <c r="AC42" s="915">
        <f t="shared" si="44"/>
        <v>491590242.71247041</v>
      </c>
      <c r="AD42" s="915">
        <f t="shared" si="44"/>
        <v>492561439.24695915</v>
      </c>
      <c r="AE42" s="915">
        <f t="shared" si="44"/>
        <v>493533989.38562572</v>
      </c>
      <c r="AF42" s="915">
        <f t="shared" si="44"/>
        <v>494503832.31593835</v>
      </c>
      <c r="AG42" s="915">
        <f t="shared" si="44"/>
        <v>495475369.67694241</v>
      </c>
      <c r="AH42" s="915">
        <f t="shared" si="44"/>
        <v>496446225.38491893</v>
      </c>
      <c r="AI42" s="915">
        <f t="shared" si="44"/>
        <v>497417421.91940773</v>
      </c>
      <c r="AJ42" s="915">
        <f t="shared" si="44"/>
        <v>498388618.45389795</v>
      </c>
      <c r="AK42" s="915">
        <f t="shared" si="44"/>
        <v>499359814.98838836</v>
      </c>
      <c r="AL42" s="915">
        <f t="shared" si="44"/>
        <v>500331011.5228771</v>
      </c>
      <c r="AM42" s="915">
        <f t="shared" si="44"/>
        <v>501302208.05736738</v>
      </c>
      <c r="AN42" s="915">
        <f t="shared" si="44"/>
        <v>502273404.59185624</v>
      </c>
      <c r="AO42" s="915">
        <f t="shared" si="44"/>
        <v>503244601.12634659</v>
      </c>
      <c r="AP42" s="915">
        <f t="shared" si="44"/>
        <v>504215797.66083676</v>
      </c>
      <c r="AQ42" s="915">
        <f t="shared" si="44"/>
        <v>505186994.19532567</v>
      </c>
      <c r="AR42" s="915">
        <f t="shared" si="44"/>
        <v>506158190.72981596</v>
      </c>
      <c r="AS42" s="915">
        <f t="shared" si="44"/>
        <v>507129387.26430625</v>
      </c>
      <c r="AT42" s="915">
        <f t="shared" si="44"/>
        <v>397254100.50479406</v>
      </c>
      <c r="AU42" s="916">
        <f t="shared" si="44"/>
        <v>483920683.09937733</v>
      </c>
      <c r="AV42" s="916">
        <f t="shared" si="44"/>
        <v>486492852.50090003</v>
      </c>
      <c r="AW42" s="916">
        <f t="shared" si="44"/>
        <v>470003230.81086928</v>
      </c>
      <c r="AX42" s="916">
        <f t="shared" si="44"/>
        <v>510457950.34473151</v>
      </c>
      <c r="AY42" s="916">
        <f t="shared" si="44"/>
        <v>553162168.22842276</v>
      </c>
      <c r="AZ42" s="916">
        <f t="shared" si="44"/>
        <v>565427599.63092494</v>
      </c>
      <c r="BA42" s="916">
        <f t="shared" si="44"/>
        <v>573239306.3241235</v>
      </c>
      <c r="BB42" s="916">
        <f t="shared" si="44"/>
        <v>564522945.84526408</v>
      </c>
      <c r="BC42" s="916">
        <f t="shared" si="44"/>
        <v>604665574.54017556</v>
      </c>
      <c r="BD42" s="916">
        <f t="shared" si="44"/>
        <v>572421107.51355517</v>
      </c>
      <c r="BE42" s="916">
        <f t="shared" si="44"/>
        <v>539028918.27821779</v>
      </c>
      <c r="BF42" s="916">
        <f t="shared" si="44"/>
        <v>533379218.89280331</v>
      </c>
      <c r="BG42" s="916">
        <f t="shared" si="44"/>
        <v>575250253.40292633</v>
      </c>
      <c r="BH42" s="916">
        <f t="shared" si="44"/>
        <v>517505070.30937654</v>
      </c>
      <c r="BI42" s="916">
        <f t="shared" si="44"/>
        <v>462028288.04331738</v>
      </c>
      <c r="BJ42" s="916">
        <f t="shared" si="44"/>
        <v>452326461.49762744</v>
      </c>
      <c r="BK42" s="916">
        <f t="shared" si="44"/>
        <v>478102151.58679408</v>
      </c>
      <c r="BL42" s="916">
        <f t="shared" si="44"/>
        <v>516531987.22804409</v>
      </c>
      <c r="BM42" s="916">
        <f t="shared" si="44"/>
        <v>477081672.95679414</v>
      </c>
      <c r="BN42" s="916">
        <f t="shared" si="44"/>
        <v>463412733.35696065</v>
      </c>
      <c r="BO42" s="916">
        <f t="shared" si="44"/>
        <v>545296724.03421068</v>
      </c>
      <c r="BP42" s="916">
        <f t="shared" si="44"/>
        <v>536313244.1419608</v>
      </c>
      <c r="BQ42" s="916">
        <f t="shared" si="44"/>
        <v>585625301.68612742</v>
      </c>
      <c r="BR42" s="916">
        <f t="shared" si="44"/>
        <v>507446624.24329406</v>
      </c>
      <c r="BS42" s="916">
        <f t="shared" ref="BS42:CL42" si="45">BS35*FB36+BS37*FB37+BS38*FB35+BS39*FB38+BS36*FB39+FB40*BS40+BS41*FB41</f>
        <v>488115950.56946075</v>
      </c>
      <c r="BT42" s="916">
        <f t="shared" si="45"/>
        <v>362489410.71162736</v>
      </c>
      <c r="BU42" s="916">
        <f t="shared" si="45"/>
        <v>435571461.97196072</v>
      </c>
      <c r="BV42" s="916">
        <f t="shared" si="45"/>
        <v>417692269.94046074</v>
      </c>
      <c r="BW42" s="916">
        <f t="shared" si="45"/>
        <v>316219858.75779402</v>
      </c>
      <c r="BX42" s="916">
        <f t="shared" si="45"/>
        <v>304150328.09362733</v>
      </c>
      <c r="BY42" s="916">
        <f t="shared" si="45"/>
        <v>347160133.70679402</v>
      </c>
      <c r="BZ42" s="916">
        <f t="shared" si="45"/>
        <v>399202612.36037743</v>
      </c>
      <c r="CA42" s="916">
        <f t="shared" si="45"/>
        <v>416833751.55804408</v>
      </c>
      <c r="CB42" s="916">
        <f t="shared" si="45"/>
        <v>454482913.72421074</v>
      </c>
      <c r="CC42" s="916">
        <f t="shared" si="45"/>
        <v>487440299.98029405</v>
      </c>
      <c r="CD42" s="916">
        <f t="shared" si="45"/>
        <v>553214450.02462733</v>
      </c>
      <c r="CE42" s="916">
        <f t="shared" si="45"/>
        <v>642408447.31871068</v>
      </c>
      <c r="CF42" s="916">
        <f t="shared" si="45"/>
        <v>575209700.68529415</v>
      </c>
      <c r="CG42" s="916">
        <f t="shared" si="45"/>
        <v>489513662.10529411</v>
      </c>
      <c r="CH42" s="916">
        <f t="shared" si="45"/>
        <v>485062579.28004408</v>
      </c>
      <c r="CI42" s="916">
        <f t="shared" si="45"/>
        <v>524684300.64087737</v>
      </c>
      <c r="CJ42" s="916">
        <f t="shared" si="45"/>
        <v>585379720.40979409</v>
      </c>
      <c r="CK42" s="916">
        <f t="shared" si="45"/>
        <v>667583905.9381274</v>
      </c>
      <c r="CL42" s="917">
        <f t="shared" si="45"/>
        <v>716866908.9507941</v>
      </c>
      <c r="CM42" s="918">
        <f t="shared" si="15"/>
        <v>496777617.45119029</v>
      </c>
      <c r="CN42" s="919" t="s">
        <v>209</v>
      </c>
      <c r="CO42" s="920">
        <f t="shared" ref="CO42:EB42" si="46">0.75*CO37</f>
        <v>27.734853846153825</v>
      </c>
      <c r="CP42" s="920">
        <f t="shared" si="46"/>
        <v>27.734853846153825</v>
      </c>
      <c r="CQ42" s="920">
        <f t="shared" si="46"/>
        <v>27.734853846153825</v>
      </c>
      <c r="CR42" s="920">
        <f t="shared" si="46"/>
        <v>27.734853846153825</v>
      </c>
      <c r="CS42" s="920">
        <f t="shared" si="46"/>
        <v>27.734853846153825</v>
      </c>
      <c r="CT42" s="920">
        <f t="shared" si="46"/>
        <v>27.734853846153825</v>
      </c>
      <c r="CU42" s="920">
        <f t="shared" si="46"/>
        <v>27.734853846153825</v>
      </c>
      <c r="CV42" s="920">
        <f t="shared" si="46"/>
        <v>27.734853846153825</v>
      </c>
      <c r="CW42" s="920">
        <f t="shared" si="46"/>
        <v>28.317217948717946</v>
      </c>
      <c r="CX42" s="920">
        <f t="shared" si="46"/>
        <v>27.734853846153825</v>
      </c>
      <c r="CY42" s="920">
        <f t="shared" si="46"/>
        <v>28.317217948717946</v>
      </c>
      <c r="CZ42" s="920">
        <f t="shared" si="46"/>
        <v>28.899582051282074</v>
      </c>
      <c r="DA42" s="920">
        <f t="shared" si="46"/>
        <v>29.481946153846124</v>
      </c>
      <c r="DB42" s="920">
        <f t="shared" si="46"/>
        <v>30.064310256410252</v>
      </c>
      <c r="DC42" s="920">
        <f t="shared" si="46"/>
        <v>30.646674358974373</v>
      </c>
      <c r="DD42" s="920">
        <f t="shared" si="46"/>
        <v>31.229038461538501</v>
      </c>
      <c r="DE42" s="920">
        <f t="shared" si="46"/>
        <v>31.811402564102551</v>
      </c>
      <c r="DF42" s="920">
        <f t="shared" si="46"/>
        <v>32.393766666666671</v>
      </c>
      <c r="DG42" s="920">
        <f t="shared" si="46"/>
        <v>32.976130769230799</v>
      </c>
      <c r="DH42" s="920">
        <f t="shared" si="46"/>
        <v>33.558494871794849</v>
      </c>
      <c r="DI42" s="920">
        <f t="shared" si="46"/>
        <v>34.140858974358977</v>
      </c>
      <c r="DJ42" s="920">
        <f t="shared" si="46"/>
        <v>34.723223076923098</v>
      </c>
      <c r="DK42" s="920">
        <f t="shared" si="46"/>
        <v>35.305587179487148</v>
      </c>
      <c r="DL42" s="920">
        <f t="shared" si="46"/>
        <v>35.887951282051276</v>
      </c>
      <c r="DM42" s="920">
        <f t="shared" si="46"/>
        <v>36.470315384615397</v>
      </c>
      <c r="DN42" s="920">
        <f t="shared" si="46"/>
        <v>37.052679487179525</v>
      </c>
      <c r="DO42" s="920">
        <f t="shared" si="46"/>
        <v>37.635043589743574</v>
      </c>
      <c r="DP42" s="920">
        <f t="shared" si="46"/>
        <v>38.217407692307702</v>
      </c>
      <c r="DQ42" s="920">
        <f t="shared" si="46"/>
        <v>38.799771794871823</v>
      </c>
      <c r="DR42" s="920">
        <f t="shared" si="46"/>
        <v>39.382135897435873</v>
      </c>
      <c r="DS42" s="920">
        <f t="shared" si="46"/>
        <v>39.964500000000001</v>
      </c>
      <c r="DT42" s="920">
        <f t="shared" si="46"/>
        <v>40.546864102564122</v>
      </c>
      <c r="DU42" s="920">
        <f t="shared" si="46"/>
        <v>41.129228205128179</v>
      </c>
      <c r="DV42" s="920">
        <f t="shared" si="46"/>
        <v>41.7115923076923</v>
      </c>
      <c r="DW42" s="920">
        <f t="shared" si="46"/>
        <v>42.293956410256428</v>
      </c>
      <c r="DX42" s="920">
        <f t="shared" si="46"/>
        <v>42.876320512820548</v>
      </c>
      <c r="DY42" s="920">
        <f t="shared" si="46"/>
        <v>43.458684615384598</v>
      </c>
      <c r="DZ42" s="920">
        <f t="shared" si="46"/>
        <v>44.041048717948726</v>
      </c>
      <c r="EA42" s="920">
        <f t="shared" si="46"/>
        <v>44.623412820512847</v>
      </c>
      <c r="EB42" s="920">
        <f t="shared" si="46"/>
        <v>45.205776923076904</v>
      </c>
      <c r="EC42" s="920">
        <f>0.75*EC37</f>
        <v>42.075000000000003</v>
      </c>
      <c r="ED42" s="920">
        <f t="shared" ref="ED42:FU42" si="47">0.75*ED37</f>
        <v>43.2</v>
      </c>
      <c r="EE42" s="920">
        <f t="shared" si="47"/>
        <v>41.775000000000006</v>
      </c>
      <c r="EF42" s="920">
        <f t="shared" si="47"/>
        <v>44.962500000000006</v>
      </c>
      <c r="EG42" s="920">
        <f t="shared" si="47"/>
        <v>51.427499999999995</v>
      </c>
      <c r="EH42" s="920">
        <f t="shared" si="47"/>
        <v>59.775000000000006</v>
      </c>
      <c r="EI42" s="920">
        <f t="shared" si="47"/>
        <v>63.757500000000007</v>
      </c>
      <c r="EJ42" s="920">
        <f t="shared" si="47"/>
        <v>55.064999999999998</v>
      </c>
      <c r="EK42" s="920">
        <f t="shared" si="47"/>
        <v>51.1875</v>
      </c>
      <c r="EL42" s="920">
        <f t="shared" si="47"/>
        <v>39.9375</v>
      </c>
      <c r="EM42" s="920">
        <f t="shared" si="47"/>
        <v>49.094999999999999</v>
      </c>
      <c r="EN42" s="920">
        <f t="shared" si="47"/>
        <v>45.697499999999998</v>
      </c>
      <c r="EO42" s="920">
        <f t="shared" si="47"/>
        <v>44.775000000000006</v>
      </c>
      <c r="EP42" s="920">
        <f t="shared" si="47"/>
        <v>44.204999999999998</v>
      </c>
      <c r="EQ42" s="920">
        <f t="shared" si="47"/>
        <v>43.462500000000006</v>
      </c>
      <c r="ER42" s="920">
        <f t="shared" si="47"/>
        <v>58.86</v>
      </c>
      <c r="ES42" s="920">
        <f t="shared" si="47"/>
        <v>61.882500000000007</v>
      </c>
      <c r="ET42" s="920">
        <f t="shared" si="47"/>
        <v>62.699999999999996</v>
      </c>
      <c r="EU42" s="920">
        <f t="shared" si="47"/>
        <v>76.612500000000011</v>
      </c>
      <c r="EV42" s="920">
        <f t="shared" si="47"/>
        <v>55.935000000000002</v>
      </c>
      <c r="EW42" s="920">
        <f t="shared" si="47"/>
        <v>58.837500000000006</v>
      </c>
      <c r="EX42" s="920">
        <f t="shared" si="47"/>
        <v>57.652500000000003</v>
      </c>
      <c r="EY42" s="920">
        <f t="shared" si="47"/>
        <v>61.792500000000004</v>
      </c>
      <c r="EZ42" s="920">
        <f t="shared" si="47"/>
        <v>58.41</v>
      </c>
      <c r="FA42" s="920">
        <f t="shared" si="47"/>
        <v>56.542500000000004</v>
      </c>
      <c r="FB42" s="920">
        <f t="shared" si="47"/>
        <v>50.137499999999996</v>
      </c>
      <c r="FC42" s="920">
        <f t="shared" si="47"/>
        <v>48.435000000000002</v>
      </c>
      <c r="FD42" s="920">
        <f t="shared" si="47"/>
        <v>63.727499999999999</v>
      </c>
      <c r="FE42" s="920">
        <f t="shared" si="47"/>
        <v>58.552499999999995</v>
      </c>
      <c r="FF42" s="920">
        <f t="shared" si="47"/>
        <v>53.377499999999998</v>
      </c>
      <c r="FG42" s="920">
        <f t="shared" si="47"/>
        <v>51.172499999999999</v>
      </c>
      <c r="FH42" s="920">
        <f t="shared" si="47"/>
        <v>51.900000000000006</v>
      </c>
      <c r="FI42" s="920">
        <f t="shared" si="47"/>
        <v>53.37</v>
      </c>
      <c r="FJ42" s="920">
        <f t="shared" si="47"/>
        <v>62.175000000000004</v>
      </c>
      <c r="FK42" s="920">
        <f t="shared" si="47"/>
        <v>66.66</v>
      </c>
      <c r="FL42" s="920">
        <f t="shared" si="47"/>
        <v>60.105000000000004</v>
      </c>
      <c r="FM42" s="920">
        <f t="shared" si="47"/>
        <v>67.072500000000005</v>
      </c>
      <c r="FN42" s="920">
        <f t="shared" si="47"/>
        <v>77.085000000000008</v>
      </c>
      <c r="FO42" s="920">
        <f t="shared" si="47"/>
        <v>76.6875</v>
      </c>
      <c r="FP42" s="920">
        <f t="shared" si="47"/>
        <v>75.239999999999995</v>
      </c>
      <c r="FQ42" s="920">
        <f t="shared" si="47"/>
        <v>61.005000000000003</v>
      </c>
      <c r="FR42" s="920">
        <f t="shared" si="47"/>
        <v>68.002499999999998</v>
      </c>
      <c r="FS42" s="920">
        <f t="shared" si="47"/>
        <v>68.894999999999996</v>
      </c>
      <c r="FT42" s="920">
        <f t="shared" si="47"/>
        <v>71.992499999999993</v>
      </c>
      <c r="FU42" s="920">
        <f t="shared" si="47"/>
        <v>71.212500000000006</v>
      </c>
      <c r="FV42" s="921">
        <f t="shared" si="31"/>
        <v>57.476166666666664</v>
      </c>
      <c r="FW42" s="903"/>
    </row>
    <row r="43" spans="1:179">
      <c r="A43" s="1399" t="s">
        <v>410</v>
      </c>
      <c r="B43" s="313" t="s">
        <v>399</v>
      </c>
      <c r="C43" s="583" t="s">
        <v>352</v>
      </c>
      <c r="D43" s="583"/>
      <c r="E43" s="922">
        <v>58.016529232000003</v>
      </c>
      <c r="F43" s="923" t="s">
        <v>432</v>
      </c>
      <c r="G43" s="924">
        <f t="shared" ref="G43:AS43" si="48">$E$43*G17</f>
        <v>5310784.7387895873</v>
      </c>
      <c r="H43" s="924">
        <f t="shared" si="48"/>
        <v>5310784.7387895873</v>
      </c>
      <c r="I43" s="924">
        <f t="shared" si="48"/>
        <v>5310784.7387895873</v>
      </c>
      <c r="J43" s="924">
        <f t="shared" si="48"/>
        <v>5310784.7387895873</v>
      </c>
      <c r="K43" s="924">
        <f t="shared" si="48"/>
        <v>5310784.7387895873</v>
      </c>
      <c r="L43" s="924">
        <f t="shared" si="48"/>
        <v>5310784.7387895873</v>
      </c>
      <c r="M43" s="924">
        <f t="shared" si="48"/>
        <v>5310784.7387895873</v>
      </c>
      <c r="N43" s="924">
        <f t="shared" si="48"/>
        <v>5310784.7387895873</v>
      </c>
      <c r="O43" s="924">
        <f t="shared" si="48"/>
        <v>5310784.7387895873</v>
      </c>
      <c r="P43" s="924">
        <f t="shared" si="48"/>
        <v>5310784.7387895873</v>
      </c>
      <c r="Q43" s="924">
        <f t="shared" si="48"/>
        <v>5310784.7387895873</v>
      </c>
      <c r="R43" s="924">
        <f t="shared" si="48"/>
        <v>5310784.7387895873</v>
      </c>
      <c r="S43" s="924">
        <f t="shared" si="48"/>
        <v>5310784.7387895873</v>
      </c>
      <c r="T43" s="924">
        <f t="shared" si="48"/>
        <v>5310784.7387895873</v>
      </c>
      <c r="U43" s="924">
        <f t="shared" si="48"/>
        <v>5310784.7387895873</v>
      </c>
      <c r="V43" s="924">
        <f t="shared" si="48"/>
        <v>5310784.7387895873</v>
      </c>
      <c r="W43" s="924">
        <f t="shared" si="48"/>
        <v>5310784.7387895873</v>
      </c>
      <c r="X43" s="924">
        <f t="shared" si="48"/>
        <v>5310784.7387895873</v>
      </c>
      <c r="Y43" s="924">
        <f t="shared" si="48"/>
        <v>5310784.7387895873</v>
      </c>
      <c r="Z43" s="924">
        <f t="shared" si="48"/>
        <v>5310784.7387895873</v>
      </c>
      <c r="AA43" s="924">
        <f t="shared" si="48"/>
        <v>5310784.7387895873</v>
      </c>
      <c r="AB43" s="924">
        <f t="shared" si="48"/>
        <v>5310784.7387895873</v>
      </c>
      <c r="AC43" s="924">
        <f t="shared" si="48"/>
        <v>5310784.7387895873</v>
      </c>
      <c r="AD43" s="924">
        <f t="shared" si="48"/>
        <v>5310784.7387895873</v>
      </c>
      <c r="AE43" s="924">
        <f t="shared" si="48"/>
        <v>5310784.7387895873</v>
      </c>
      <c r="AF43" s="924">
        <f t="shared" si="48"/>
        <v>5310784.7387895873</v>
      </c>
      <c r="AG43" s="924">
        <f t="shared" si="48"/>
        <v>5310784.7387895873</v>
      </c>
      <c r="AH43" s="924">
        <f t="shared" si="48"/>
        <v>5310784.7387895873</v>
      </c>
      <c r="AI43" s="924">
        <f t="shared" si="48"/>
        <v>5310784.7387895873</v>
      </c>
      <c r="AJ43" s="924">
        <f t="shared" si="48"/>
        <v>5310784.7387895873</v>
      </c>
      <c r="AK43" s="924">
        <f t="shared" si="48"/>
        <v>5310784.7387895873</v>
      </c>
      <c r="AL43" s="924">
        <f t="shared" si="48"/>
        <v>5310784.7387895873</v>
      </c>
      <c r="AM43" s="924">
        <f t="shared" si="48"/>
        <v>5310784.7387895873</v>
      </c>
      <c r="AN43" s="924">
        <f t="shared" si="48"/>
        <v>5310784.7387895873</v>
      </c>
      <c r="AO43" s="924">
        <f t="shared" si="48"/>
        <v>5310784.7387895873</v>
      </c>
      <c r="AP43" s="924">
        <f t="shared" si="48"/>
        <v>5310784.7387895873</v>
      </c>
      <c r="AQ43" s="924">
        <f t="shared" si="48"/>
        <v>5310784.7387895873</v>
      </c>
      <c r="AR43" s="924">
        <f t="shared" si="48"/>
        <v>5310784.7387895873</v>
      </c>
      <c r="AS43" s="924">
        <f t="shared" si="48"/>
        <v>5310784.7387895873</v>
      </c>
      <c r="AT43" s="924">
        <f>$E$43*AT17</f>
        <v>5310784.7387895873</v>
      </c>
      <c r="AU43" s="925">
        <f t="shared" ref="AU43:CL43" si="49">$E$43*AU17</f>
        <v>5310784.7387895873</v>
      </c>
      <c r="AV43" s="925">
        <f t="shared" si="49"/>
        <v>5310784.7387895873</v>
      </c>
      <c r="AW43" s="925">
        <f t="shared" si="49"/>
        <v>5310784.7387895873</v>
      </c>
      <c r="AX43" s="925">
        <f t="shared" si="49"/>
        <v>5310784.7387895873</v>
      </c>
      <c r="AY43" s="925">
        <f t="shared" si="49"/>
        <v>5310784.7387895873</v>
      </c>
      <c r="AZ43" s="925">
        <f t="shared" si="49"/>
        <v>5310784.7387895873</v>
      </c>
      <c r="BA43" s="925">
        <f t="shared" si="49"/>
        <v>5310784.7387895873</v>
      </c>
      <c r="BB43" s="925">
        <f t="shared" si="49"/>
        <v>5310784.7387895873</v>
      </c>
      <c r="BC43" s="925">
        <f t="shared" si="49"/>
        <v>5310784.7387895873</v>
      </c>
      <c r="BD43" s="925">
        <f t="shared" si="49"/>
        <v>5310784.7387895873</v>
      </c>
      <c r="BE43" s="925">
        <f t="shared" si="49"/>
        <v>5310784.7387895873</v>
      </c>
      <c r="BF43" s="925">
        <f t="shared" si="49"/>
        <v>5310784.7387895873</v>
      </c>
      <c r="BG43" s="925">
        <f t="shared" si="49"/>
        <v>5310784.7387895873</v>
      </c>
      <c r="BH43" s="925">
        <f t="shared" si="49"/>
        <v>5310784.7387895873</v>
      </c>
      <c r="BI43" s="925">
        <f t="shared" si="49"/>
        <v>5310784.7387895873</v>
      </c>
      <c r="BJ43" s="925">
        <f t="shared" si="49"/>
        <v>5310784.7387895873</v>
      </c>
      <c r="BK43" s="925">
        <f t="shared" si="49"/>
        <v>5310784.7387895873</v>
      </c>
      <c r="BL43" s="925">
        <f t="shared" si="49"/>
        <v>5310784.7387895873</v>
      </c>
      <c r="BM43" s="925">
        <f t="shared" si="49"/>
        <v>5310784.7387895873</v>
      </c>
      <c r="BN43" s="925">
        <f t="shared" si="49"/>
        <v>5310784.7387895873</v>
      </c>
      <c r="BO43" s="925">
        <f t="shared" si="49"/>
        <v>5310784.7387895873</v>
      </c>
      <c r="BP43" s="925">
        <f t="shared" si="49"/>
        <v>5310784.7387895873</v>
      </c>
      <c r="BQ43" s="925">
        <f t="shared" si="49"/>
        <v>5310784.7387895873</v>
      </c>
      <c r="BR43" s="925">
        <f t="shared" si="49"/>
        <v>5310784.7387895873</v>
      </c>
      <c r="BS43" s="925">
        <f t="shared" si="49"/>
        <v>5310784.7387895873</v>
      </c>
      <c r="BT43" s="925">
        <f t="shared" si="49"/>
        <v>5310784.7387895873</v>
      </c>
      <c r="BU43" s="925">
        <f t="shared" si="49"/>
        <v>5310784.7387895873</v>
      </c>
      <c r="BV43" s="925">
        <f t="shared" si="49"/>
        <v>5310784.7387895873</v>
      </c>
      <c r="BW43" s="925">
        <f t="shared" si="49"/>
        <v>5310784.7387895873</v>
      </c>
      <c r="BX43" s="925">
        <f t="shared" si="49"/>
        <v>5310784.7387895873</v>
      </c>
      <c r="BY43" s="925">
        <f t="shared" si="49"/>
        <v>5310784.7387895873</v>
      </c>
      <c r="BZ43" s="925">
        <f t="shared" si="49"/>
        <v>5310784.7387895873</v>
      </c>
      <c r="CA43" s="925">
        <f t="shared" si="49"/>
        <v>5310784.7387895873</v>
      </c>
      <c r="CB43" s="925">
        <f t="shared" si="49"/>
        <v>5310784.7387895873</v>
      </c>
      <c r="CC43" s="925">
        <f t="shared" si="49"/>
        <v>5310784.7387895873</v>
      </c>
      <c r="CD43" s="925">
        <f t="shared" si="49"/>
        <v>5310784.7387895873</v>
      </c>
      <c r="CE43" s="925">
        <f t="shared" si="49"/>
        <v>5310784.7387895873</v>
      </c>
      <c r="CF43" s="925">
        <f t="shared" si="49"/>
        <v>5310784.7387895873</v>
      </c>
      <c r="CG43" s="925">
        <f t="shared" si="49"/>
        <v>5310784.7387895873</v>
      </c>
      <c r="CH43" s="925">
        <f t="shared" si="49"/>
        <v>5310784.7387895873</v>
      </c>
      <c r="CI43" s="925">
        <f t="shared" si="49"/>
        <v>5310784.7387895873</v>
      </c>
      <c r="CJ43" s="925">
        <f t="shared" si="49"/>
        <v>5310784.7387895873</v>
      </c>
      <c r="CK43" s="925">
        <f t="shared" si="49"/>
        <v>5310784.7387895873</v>
      </c>
      <c r="CL43" s="925">
        <f t="shared" si="49"/>
        <v>5310784.7387895873</v>
      </c>
      <c r="CM43" s="356">
        <f t="shared" si="15"/>
        <v>5310784.7387895761</v>
      </c>
      <c r="CN43" s="347"/>
      <c r="CO43" s="347"/>
      <c r="CP43" s="347"/>
      <c r="CQ43" s="347"/>
      <c r="CR43" s="347"/>
      <c r="CS43" s="347"/>
      <c r="CT43" s="347"/>
      <c r="CU43" s="347"/>
      <c r="CV43" s="347"/>
      <c r="CW43" s="347"/>
      <c r="CX43" s="347"/>
      <c r="CY43" s="347"/>
      <c r="CZ43" s="347"/>
      <c r="DA43" s="347"/>
      <c r="DB43" s="347"/>
      <c r="DC43" s="347"/>
      <c r="DD43" s="347"/>
      <c r="DE43" s="347"/>
      <c r="DF43" s="347"/>
      <c r="DG43" s="347"/>
      <c r="DH43" s="347"/>
      <c r="DI43" s="347"/>
      <c r="DJ43" s="347"/>
      <c r="DK43" s="347"/>
      <c r="DL43" s="347"/>
      <c r="DM43" s="347"/>
      <c r="DN43" s="347"/>
      <c r="DO43" s="347"/>
      <c r="DP43" s="347"/>
      <c r="DQ43" s="347"/>
      <c r="DR43" s="347"/>
      <c r="DS43" s="347"/>
      <c r="DT43" s="347"/>
      <c r="DU43" s="347"/>
      <c r="DV43" s="347"/>
      <c r="DW43" s="347"/>
      <c r="DX43" s="347"/>
      <c r="DY43" s="347"/>
      <c r="DZ43" s="347"/>
      <c r="EA43" s="347"/>
      <c r="EB43" s="347"/>
      <c r="EC43" s="347"/>
      <c r="ED43" s="347"/>
      <c r="EE43" s="347"/>
      <c r="EF43" s="347"/>
      <c r="EG43" s="347"/>
      <c r="EH43" s="347"/>
      <c r="EI43" s="347"/>
      <c r="EJ43" s="347"/>
      <c r="EK43" s="347"/>
      <c r="EL43" s="347"/>
      <c r="EM43" s="347"/>
      <c r="EN43" s="347"/>
      <c r="EO43" s="347"/>
      <c r="EP43" s="347"/>
      <c r="EQ43" s="347"/>
      <c r="ER43" s="347"/>
      <c r="ES43" s="347"/>
      <c r="ET43" s="347"/>
      <c r="EU43" s="347"/>
      <c r="EV43" s="347"/>
      <c r="EW43" s="347"/>
      <c r="EX43" s="347"/>
      <c r="EY43" s="347"/>
      <c r="EZ43" s="347"/>
      <c r="FA43" s="347"/>
      <c r="FB43" s="347"/>
      <c r="FC43" s="347"/>
      <c r="FD43" s="347"/>
      <c r="FE43" s="347"/>
      <c r="FF43" s="347"/>
      <c r="FG43" s="347"/>
      <c r="FH43" s="347"/>
      <c r="FI43" s="347"/>
      <c r="FJ43" s="347"/>
      <c r="FK43" s="347"/>
      <c r="FL43" s="347"/>
      <c r="FM43" s="347"/>
      <c r="FN43" s="347"/>
      <c r="FO43" s="347"/>
      <c r="FP43" s="347"/>
      <c r="FQ43" s="347"/>
      <c r="FR43" s="347"/>
      <c r="FS43" s="347"/>
      <c r="FT43" s="347"/>
      <c r="FU43" s="347"/>
      <c r="FV43" s="347"/>
      <c r="FW43" s="926"/>
    </row>
    <row r="44" spans="1:179">
      <c r="A44" s="1394"/>
      <c r="B44" s="859" t="s">
        <v>399</v>
      </c>
      <c r="C44" s="860" t="s">
        <v>352</v>
      </c>
      <c r="D44" s="581"/>
      <c r="E44" s="856">
        <v>113.95</v>
      </c>
      <c r="F44" s="886" t="s">
        <v>433</v>
      </c>
      <c r="G44" s="927">
        <f t="shared" ref="G44:AS44" si="50">$E$44*G17</f>
        <v>10430888.041666668</v>
      </c>
      <c r="H44" s="927">
        <f t="shared" si="50"/>
        <v>10430888.041666668</v>
      </c>
      <c r="I44" s="927">
        <f t="shared" si="50"/>
        <v>10430888.041666668</v>
      </c>
      <c r="J44" s="927">
        <f t="shared" si="50"/>
        <v>10430888.041666668</v>
      </c>
      <c r="K44" s="927">
        <f t="shared" si="50"/>
        <v>10430888.041666668</v>
      </c>
      <c r="L44" s="927">
        <f t="shared" si="50"/>
        <v>10430888.041666668</v>
      </c>
      <c r="M44" s="927">
        <f t="shared" si="50"/>
        <v>10430888.041666668</v>
      </c>
      <c r="N44" s="927">
        <f t="shared" si="50"/>
        <v>10430888.041666668</v>
      </c>
      <c r="O44" s="927">
        <f t="shared" si="50"/>
        <v>10430888.041666668</v>
      </c>
      <c r="P44" s="927">
        <f t="shared" si="50"/>
        <v>10430888.041666668</v>
      </c>
      <c r="Q44" s="927">
        <f t="shared" si="50"/>
        <v>10430888.041666668</v>
      </c>
      <c r="R44" s="927">
        <f t="shared" si="50"/>
        <v>10430888.041666668</v>
      </c>
      <c r="S44" s="927">
        <f t="shared" si="50"/>
        <v>10430888.041666668</v>
      </c>
      <c r="T44" s="927">
        <f t="shared" si="50"/>
        <v>10430888.041666668</v>
      </c>
      <c r="U44" s="927">
        <f t="shared" si="50"/>
        <v>10430888.041666668</v>
      </c>
      <c r="V44" s="927">
        <f t="shared" si="50"/>
        <v>10430888.041666668</v>
      </c>
      <c r="W44" s="927">
        <f t="shared" si="50"/>
        <v>10430888.041666668</v>
      </c>
      <c r="X44" s="927">
        <f t="shared" si="50"/>
        <v>10430888.041666668</v>
      </c>
      <c r="Y44" s="927">
        <f t="shared" si="50"/>
        <v>10430888.041666668</v>
      </c>
      <c r="Z44" s="927">
        <f t="shared" si="50"/>
        <v>10430888.041666668</v>
      </c>
      <c r="AA44" s="927">
        <f t="shared" si="50"/>
        <v>10430888.041666668</v>
      </c>
      <c r="AB44" s="927">
        <f t="shared" si="50"/>
        <v>10430888.041666668</v>
      </c>
      <c r="AC44" s="927">
        <f t="shared" si="50"/>
        <v>10430888.041666668</v>
      </c>
      <c r="AD44" s="927">
        <f t="shared" si="50"/>
        <v>10430888.041666668</v>
      </c>
      <c r="AE44" s="927">
        <f t="shared" si="50"/>
        <v>10430888.041666668</v>
      </c>
      <c r="AF44" s="927">
        <f t="shared" si="50"/>
        <v>10430888.041666668</v>
      </c>
      <c r="AG44" s="927">
        <f t="shared" si="50"/>
        <v>10430888.041666668</v>
      </c>
      <c r="AH44" s="927">
        <f t="shared" si="50"/>
        <v>10430888.041666668</v>
      </c>
      <c r="AI44" s="927">
        <f t="shared" si="50"/>
        <v>10430888.041666668</v>
      </c>
      <c r="AJ44" s="927">
        <f t="shared" si="50"/>
        <v>10430888.041666668</v>
      </c>
      <c r="AK44" s="927">
        <f t="shared" si="50"/>
        <v>10430888.041666668</v>
      </c>
      <c r="AL44" s="927">
        <f t="shared" si="50"/>
        <v>10430888.041666668</v>
      </c>
      <c r="AM44" s="927">
        <f t="shared" si="50"/>
        <v>10430888.041666668</v>
      </c>
      <c r="AN44" s="927">
        <f t="shared" si="50"/>
        <v>10430888.041666668</v>
      </c>
      <c r="AO44" s="927">
        <f t="shared" si="50"/>
        <v>10430888.041666668</v>
      </c>
      <c r="AP44" s="927">
        <f t="shared" si="50"/>
        <v>10430888.041666668</v>
      </c>
      <c r="AQ44" s="927">
        <f t="shared" si="50"/>
        <v>10430888.041666668</v>
      </c>
      <c r="AR44" s="927">
        <f t="shared" si="50"/>
        <v>10430888.041666668</v>
      </c>
      <c r="AS44" s="927">
        <f t="shared" si="50"/>
        <v>10430888.041666668</v>
      </c>
      <c r="AT44" s="927">
        <f>$E$44*AT17</f>
        <v>10430888.041666668</v>
      </c>
      <c r="AU44" s="928">
        <f t="shared" ref="AU44:CL44" si="51">$E$44*AU17</f>
        <v>10430888.041666668</v>
      </c>
      <c r="AV44" s="928">
        <f t="shared" si="51"/>
        <v>10430888.041666668</v>
      </c>
      <c r="AW44" s="928">
        <f t="shared" si="51"/>
        <v>10430888.041666668</v>
      </c>
      <c r="AX44" s="928">
        <f t="shared" si="51"/>
        <v>10430888.041666668</v>
      </c>
      <c r="AY44" s="928">
        <f t="shared" si="51"/>
        <v>10430888.041666668</v>
      </c>
      <c r="AZ44" s="928">
        <f t="shared" si="51"/>
        <v>10430888.041666668</v>
      </c>
      <c r="BA44" s="928">
        <f t="shared" si="51"/>
        <v>10430888.041666668</v>
      </c>
      <c r="BB44" s="928">
        <f t="shared" si="51"/>
        <v>10430888.041666668</v>
      </c>
      <c r="BC44" s="928">
        <f t="shared" si="51"/>
        <v>10430888.041666668</v>
      </c>
      <c r="BD44" s="928">
        <f t="shared" si="51"/>
        <v>10430888.041666668</v>
      </c>
      <c r="BE44" s="928">
        <f t="shared" si="51"/>
        <v>10430888.041666668</v>
      </c>
      <c r="BF44" s="928">
        <f t="shared" si="51"/>
        <v>10430888.041666668</v>
      </c>
      <c r="BG44" s="928">
        <f t="shared" si="51"/>
        <v>10430888.041666668</v>
      </c>
      <c r="BH44" s="928">
        <f t="shared" si="51"/>
        <v>10430888.041666668</v>
      </c>
      <c r="BI44" s="928">
        <f t="shared" si="51"/>
        <v>10430888.041666668</v>
      </c>
      <c r="BJ44" s="928">
        <f t="shared" si="51"/>
        <v>10430888.041666668</v>
      </c>
      <c r="BK44" s="928">
        <f t="shared" si="51"/>
        <v>10430888.041666668</v>
      </c>
      <c r="BL44" s="928">
        <f t="shared" si="51"/>
        <v>10430888.041666668</v>
      </c>
      <c r="BM44" s="928">
        <f t="shared" si="51"/>
        <v>10430888.041666668</v>
      </c>
      <c r="BN44" s="928">
        <f t="shared" si="51"/>
        <v>10430888.041666668</v>
      </c>
      <c r="BO44" s="928">
        <f t="shared" si="51"/>
        <v>10430888.041666668</v>
      </c>
      <c r="BP44" s="928">
        <f t="shared" si="51"/>
        <v>10430888.041666668</v>
      </c>
      <c r="BQ44" s="928">
        <f t="shared" si="51"/>
        <v>10430888.041666668</v>
      </c>
      <c r="BR44" s="928">
        <f t="shared" si="51"/>
        <v>10430888.041666668</v>
      </c>
      <c r="BS44" s="928">
        <f t="shared" si="51"/>
        <v>10430888.041666668</v>
      </c>
      <c r="BT44" s="928">
        <f t="shared" si="51"/>
        <v>10430888.041666668</v>
      </c>
      <c r="BU44" s="928">
        <f t="shared" si="51"/>
        <v>10430888.041666668</v>
      </c>
      <c r="BV44" s="928">
        <f t="shared" si="51"/>
        <v>10430888.041666668</v>
      </c>
      <c r="BW44" s="928">
        <f t="shared" si="51"/>
        <v>10430888.041666668</v>
      </c>
      <c r="BX44" s="928">
        <f t="shared" si="51"/>
        <v>10430888.041666668</v>
      </c>
      <c r="BY44" s="928">
        <f t="shared" si="51"/>
        <v>10430888.041666668</v>
      </c>
      <c r="BZ44" s="928">
        <f t="shared" si="51"/>
        <v>10430888.041666668</v>
      </c>
      <c r="CA44" s="928">
        <f t="shared" si="51"/>
        <v>10430888.041666668</v>
      </c>
      <c r="CB44" s="928">
        <f t="shared" si="51"/>
        <v>10430888.041666668</v>
      </c>
      <c r="CC44" s="928">
        <f t="shared" si="51"/>
        <v>10430888.041666668</v>
      </c>
      <c r="CD44" s="928">
        <f t="shared" si="51"/>
        <v>10430888.041666668</v>
      </c>
      <c r="CE44" s="928">
        <f t="shared" si="51"/>
        <v>10430888.041666668</v>
      </c>
      <c r="CF44" s="928">
        <f t="shared" si="51"/>
        <v>10430888.041666668</v>
      </c>
      <c r="CG44" s="928">
        <f t="shared" si="51"/>
        <v>10430888.041666668</v>
      </c>
      <c r="CH44" s="928">
        <f t="shared" si="51"/>
        <v>10430888.041666668</v>
      </c>
      <c r="CI44" s="928">
        <f t="shared" si="51"/>
        <v>10430888.041666668</v>
      </c>
      <c r="CJ44" s="928">
        <f t="shared" si="51"/>
        <v>10430888.041666668</v>
      </c>
      <c r="CK44" s="928">
        <f t="shared" si="51"/>
        <v>10430888.041666668</v>
      </c>
      <c r="CL44" s="928">
        <f t="shared" si="51"/>
        <v>10430888.041666668</v>
      </c>
      <c r="CM44" s="356">
        <f t="shared" si="15"/>
        <v>10430888.041666657</v>
      </c>
      <c r="CN44" s="347"/>
      <c r="CO44" s="347"/>
      <c r="CP44" s="347"/>
      <c r="CQ44" s="347"/>
      <c r="CR44" s="347"/>
      <c r="CS44" s="347"/>
      <c r="CT44" s="347"/>
      <c r="CU44" s="347"/>
      <c r="CV44" s="347"/>
      <c r="CW44" s="347"/>
      <c r="CX44" s="347"/>
      <c r="CY44" s="347"/>
      <c r="CZ44" s="347"/>
      <c r="DA44" s="347"/>
      <c r="DB44" s="347"/>
      <c r="DC44" s="347"/>
      <c r="DD44" s="347"/>
      <c r="DE44" s="347"/>
      <c r="DF44" s="347"/>
      <c r="DG44" s="347"/>
      <c r="DH44" s="347"/>
      <c r="DI44" s="347"/>
      <c r="DJ44" s="347"/>
      <c r="DK44" s="347"/>
      <c r="DL44" s="347"/>
      <c r="DM44" s="347"/>
      <c r="DN44" s="347"/>
      <c r="DO44" s="347"/>
      <c r="DP44" s="347"/>
      <c r="DQ44" s="347"/>
      <c r="DR44" s="347"/>
      <c r="DS44" s="347"/>
      <c r="DT44" s="347"/>
      <c r="DU44" s="347"/>
      <c r="DV44" s="347"/>
      <c r="DW44" s="347"/>
      <c r="DX44" s="347"/>
      <c r="DY44" s="347"/>
      <c r="DZ44" s="347"/>
      <c r="EA44" s="347"/>
      <c r="EB44" s="347"/>
      <c r="EC44" s="347"/>
      <c r="ED44" s="347"/>
      <c r="EE44" s="347"/>
      <c r="EF44" s="347"/>
      <c r="EG44" s="347"/>
      <c r="EH44" s="347"/>
      <c r="EI44" s="347"/>
      <c r="EJ44" s="347"/>
      <c r="EK44" s="347"/>
      <c r="EL44" s="347"/>
      <c r="EM44" s="347"/>
      <c r="EN44" s="347"/>
      <c r="EO44" s="347"/>
      <c r="EP44" s="347"/>
      <c r="EQ44" s="347"/>
      <c r="ER44" s="347"/>
      <c r="ES44" s="347"/>
      <c r="ET44" s="347"/>
      <c r="EU44" s="347"/>
      <c r="EV44" s="347"/>
      <c r="EW44" s="347"/>
      <c r="EX44" s="347"/>
      <c r="EY44" s="347"/>
      <c r="EZ44" s="347"/>
      <c r="FA44" s="347"/>
      <c r="FB44" s="347"/>
      <c r="FC44" s="347"/>
      <c r="FD44" s="347"/>
      <c r="FE44" s="347"/>
      <c r="FF44" s="347"/>
      <c r="FG44" s="347"/>
      <c r="FH44" s="347"/>
      <c r="FI44" s="347"/>
      <c r="FJ44" s="347"/>
      <c r="FK44" s="347"/>
      <c r="FL44" s="347"/>
      <c r="FM44" s="347"/>
      <c r="FN44" s="347"/>
      <c r="FO44" s="347"/>
      <c r="FP44" s="347"/>
      <c r="FQ44" s="347"/>
      <c r="FR44" s="347"/>
      <c r="FS44" s="347"/>
      <c r="FT44" s="347"/>
      <c r="FU44" s="347"/>
      <c r="FV44" s="347"/>
    </row>
    <row r="45" spans="1:179" ht="17.25" customHeight="1">
      <c r="A45" s="929" t="s">
        <v>35</v>
      </c>
      <c r="B45" s="930" t="s">
        <v>399</v>
      </c>
      <c r="C45" s="929" t="s">
        <v>352</v>
      </c>
      <c r="D45" s="929"/>
      <c r="E45" s="931">
        <v>7924</v>
      </c>
      <c r="F45" s="932" t="s">
        <v>411</v>
      </c>
      <c r="G45" s="933">
        <f t="shared" ref="G45:AS45" si="52">7924*G17</f>
        <v>725356356.66666675</v>
      </c>
      <c r="H45" s="933">
        <f t="shared" si="52"/>
        <v>725356356.66666675</v>
      </c>
      <c r="I45" s="933">
        <f t="shared" si="52"/>
        <v>725356356.66666675</v>
      </c>
      <c r="J45" s="933">
        <f t="shared" si="52"/>
        <v>725356356.66666675</v>
      </c>
      <c r="K45" s="933">
        <f t="shared" si="52"/>
        <v>725356356.66666675</v>
      </c>
      <c r="L45" s="933">
        <f t="shared" si="52"/>
        <v>725356356.66666675</v>
      </c>
      <c r="M45" s="933">
        <f t="shared" si="52"/>
        <v>725356356.66666675</v>
      </c>
      <c r="N45" s="933">
        <f t="shared" si="52"/>
        <v>725356356.66666675</v>
      </c>
      <c r="O45" s="933">
        <f t="shared" si="52"/>
        <v>725356356.66666675</v>
      </c>
      <c r="P45" s="933">
        <f t="shared" si="52"/>
        <v>725356356.66666675</v>
      </c>
      <c r="Q45" s="933">
        <f t="shared" si="52"/>
        <v>725356356.66666675</v>
      </c>
      <c r="R45" s="933">
        <f t="shared" si="52"/>
        <v>725356356.66666675</v>
      </c>
      <c r="S45" s="933">
        <f t="shared" si="52"/>
        <v>725356356.66666675</v>
      </c>
      <c r="T45" s="933">
        <f t="shared" si="52"/>
        <v>725356356.66666675</v>
      </c>
      <c r="U45" s="933">
        <f t="shared" si="52"/>
        <v>725356356.66666675</v>
      </c>
      <c r="V45" s="933">
        <f t="shared" si="52"/>
        <v>725356356.66666675</v>
      </c>
      <c r="W45" s="933">
        <f t="shared" si="52"/>
        <v>725356356.66666675</v>
      </c>
      <c r="X45" s="933">
        <f t="shared" si="52"/>
        <v>725356356.66666675</v>
      </c>
      <c r="Y45" s="933">
        <f t="shared" si="52"/>
        <v>725356356.66666675</v>
      </c>
      <c r="Z45" s="933">
        <f t="shared" si="52"/>
        <v>725356356.66666675</v>
      </c>
      <c r="AA45" s="933">
        <f t="shared" si="52"/>
        <v>725356356.66666675</v>
      </c>
      <c r="AB45" s="933">
        <f t="shared" si="52"/>
        <v>725356356.66666675</v>
      </c>
      <c r="AC45" s="933">
        <f t="shared" si="52"/>
        <v>725356356.66666675</v>
      </c>
      <c r="AD45" s="933">
        <f t="shared" si="52"/>
        <v>725356356.66666675</v>
      </c>
      <c r="AE45" s="933">
        <f t="shared" si="52"/>
        <v>725356356.66666675</v>
      </c>
      <c r="AF45" s="933">
        <f t="shared" si="52"/>
        <v>725356356.66666675</v>
      </c>
      <c r="AG45" s="933">
        <f t="shared" si="52"/>
        <v>725356356.66666675</v>
      </c>
      <c r="AH45" s="933">
        <f t="shared" si="52"/>
        <v>725356356.66666675</v>
      </c>
      <c r="AI45" s="933">
        <f t="shared" si="52"/>
        <v>725356356.66666675</v>
      </c>
      <c r="AJ45" s="933">
        <f t="shared" si="52"/>
        <v>725356356.66666675</v>
      </c>
      <c r="AK45" s="933">
        <f t="shared" si="52"/>
        <v>725356356.66666675</v>
      </c>
      <c r="AL45" s="933">
        <f t="shared" si="52"/>
        <v>725356356.66666675</v>
      </c>
      <c r="AM45" s="933">
        <f t="shared" si="52"/>
        <v>725356356.66666675</v>
      </c>
      <c r="AN45" s="933">
        <f t="shared" si="52"/>
        <v>725356356.66666675</v>
      </c>
      <c r="AO45" s="933">
        <f t="shared" si="52"/>
        <v>725356356.66666675</v>
      </c>
      <c r="AP45" s="933">
        <f t="shared" si="52"/>
        <v>725356356.66666675</v>
      </c>
      <c r="AQ45" s="933">
        <f t="shared" si="52"/>
        <v>725356356.66666675</v>
      </c>
      <c r="AR45" s="933">
        <f t="shared" si="52"/>
        <v>725356356.66666675</v>
      </c>
      <c r="AS45" s="933">
        <f t="shared" si="52"/>
        <v>725356356.66666675</v>
      </c>
      <c r="AT45" s="933">
        <f>7924*AT17</f>
        <v>725356356.66666675</v>
      </c>
      <c r="AU45" s="991">
        <f t="shared" ref="AU45:CL45" si="53">7924*AU17</f>
        <v>725356356.66666675</v>
      </c>
      <c r="AV45" s="991">
        <f t="shared" si="53"/>
        <v>725356356.66666675</v>
      </c>
      <c r="AW45" s="991">
        <f t="shared" si="53"/>
        <v>725356356.66666675</v>
      </c>
      <c r="AX45" s="991">
        <f t="shared" si="53"/>
        <v>725356356.66666675</v>
      </c>
      <c r="AY45" s="991">
        <f t="shared" si="53"/>
        <v>725356356.66666675</v>
      </c>
      <c r="AZ45" s="991">
        <f t="shared" si="53"/>
        <v>725356356.66666675</v>
      </c>
      <c r="BA45" s="991">
        <f t="shared" si="53"/>
        <v>725356356.66666675</v>
      </c>
      <c r="BB45" s="991">
        <f t="shared" si="53"/>
        <v>725356356.66666675</v>
      </c>
      <c r="BC45" s="991">
        <f t="shared" si="53"/>
        <v>725356356.66666675</v>
      </c>
      <c r="BD45" s="991">
        <f t="shared" si="53"/>
        <v>725356356.66666675</v>
      </c>
      <c r="BE45" s="991">
        <f t="shared" si="53"/>
        <v>725356356.66666675</v>
      </c>
      <c r="BF45" s="991">
        <f t="shared" si="53"/>
        <v>725356356.66666675</v>
      </c>
      <c r="BG45" s="991">
        <f t="shared" si="53"/>
        <v>725356356.66666675</v>
      </c>
      <c r="BH45" s="991">
        <f t="shared" si="53"/>
        <v>725356356.66666675</v>
      </c>
      <c r="BI45" s="991">
        <f t="shared" si="53"/>
        <v>725356356.66666675</v>
      </c>
      <c r="BJ45" s="991">
        <f t="shared" si="53"/>
        <v>725356356.66666675</v>
      </c>
      <c r="BK45" s="991">
        <f t="shared" si="53"/>
        <v>725356356.66666675</v>
      </c>
      <c r="BL45" s="991">
        <f t="shared" si="53"/>
        <v>725356356.66666675</v>
      </c>
      <c r="BM45" s="991">
        <f t="shared" si="53"/>
        <v>725356356.66666675</v>
      </c>
      <c r="BN45" s="991">
        <f t="shared" si="53"/>
        <v>725356356.66666675</v>
      </c>
      <c r="BO45" s="991">
        <f t="shared" si="53"/>
        <v>725356356.66666675</v>
      </c>
      <c r="BP45" s="991">
        <f t="shared" si="53"/>
        <v>725356356.66666675</v>
      </c>
      <c r="BQ45" s="991">
        <f t="shared" si="53"/>
        <v>725356356.66666675</v>
      </c>
      <c r="BR45" s="991">
        <f t="shared" si="53"/>
        <v>725356356.66666675</v>
      </c>
      <c r="BS45" s="991">
        <f t="shared" si="53"/>
        <v>725356356.66666675</v>
      </c>
      <c r="BT45" s="991">
        <f t="shared" si="53"/>
        <v>725356356.66666675</v>
      </c>
      <c r="BU45" s="991">
        <f t="shared" si="53"/>
        <v>725356356.66666675</v>
      </c>
      <c r="BV45" s="991">
        <f t="shared" si="53"/>
        <v>725356356.66666675</v>
      </c>
      <c r="BW45" s="991">
        <f t="shared" si="53"/>
        <v>725356356.66666675</v>
      </c>
      <c r="BX45" s="991">
        <f t="shared" si="53"/>
        <v>725356356.66666675</v>
      </c>
      <c r="BY45" s="991">
        <f t="shared" si="53"/>
        <v>725356356.66666675</v>
      </c>
      <c r="BZ45" s="991">
        <f t="shared" si="53"/>
        <v>725356356.66666675</v>
      </c>
      <c r="CA45" s="991">
        <f t="shared" si="53"/>
        <v>725356356.66666675</v>
      </c>
      <c r="CB45" s="991">
        <f t="shared" si="53"/>
        <v>725356356.66666675</v>
      </c>
      <c r="CC45" s="991">
        <f t="shared" si="53"/>
        <v>725356356.66666675</v>
      </c>
      <c r="CD45" s="991">
        <f t="shared" si="53"/>
        <v>725356356.66666675</v>
      </c>
      <c r="CE45" s="991">
        <f t="shared" si="53"/>
        <v>725356356.66666675</v>
      </c>
      <c r="CF45" s="991">
        <f t="shared" si="53"/>
        <v>725356356.66666675</v>
      </c>
      <c r="CG45" s="991">
        <f t="shared" si="53"/>
        <v>725356356.66666675</v>
      </c>
      <c r="CH45" s="991">
        <f t="shared" si="53"/>
        <v>725356356.66666675</v>
      </c>
      <c r="CI45" s="991">
        <f t="shared" si="53"/>
        <v>725356356.66666675</v>
      </c>
      <c r="CJ45" s="991">
        <f t="shared" si="53"/>
        <v>725356356.66666675</v>
      </c>
      <c r="CK45" s="991">
        <f t="shared" si="53"/>
        <v>725356356.66666675</v>
      </c>
      <c r="CL45" s="991">
        <f t="shared" si="53"/>
        <v>725356356.66666675</v>
      </c>
      <c r="CM45" s="356">
        <f t="shared" si="15"/>
        <v>725356356.66666579</v>
      </c>
      <c r="CN45" s="347"/>
      <c r="CO45" s="347"/>
      <c r="CP45" s="347"/>
      <c r="CQ45" s="347"/>
      <c r="CR45" s="347"/>
      <c r="CS45" s="347"/>
      <c r="CT45" s="347"/>
      <c r="CU45" s="347"/>
      <c r="CV45" s="347"/>
      <c r="CW45" s="347"/>
      <c r="CX45" s="347"/>
      <c r="CY45" s="347"/>
      <c r="CZ45" s="347"/>
      <c r="DA45" s="347"/>
      <c r="DB45" s="347"/>
      <c r="DC45" s="347"/>
      <c r="DD45" s="347"/>
      <c r="DE45" s="347"/>
      <c r="DF45" s="347"/>
      <c r="DG45" s="347"/>
      <c r="DH45" s="347"/>
      <c r="DI45" s="347"/>
      <c r="DJ45" s="347"/>
      <c r="DK45" s="347"/>
      <c r="DL45" s="347"/>
      <c r="DM45" s="347"/>
      <c r="DN45" s="347"/>
      <c r="DO45" s="347"/>
      <c r="DP45" s="347"/>
      <c r="DQ45" s="347"/>
      <c r="DR45" s="347"/>
      <c r="DS45" s="347"/>
      <c r="DT45" s="347"/>
      <c r="DU45" s="347"/>
      <c r="DV45" s="347"/>
      <c r="DW45" s="347"/>
      <c r="DX45" s="347"/>
      <c r="DY45" s="347"/>
      <c r="DZ45" s="347"/>
      <c r="EA45" s="347"/>
      <c r="EB45" s="347"/>
      <c r="EC45" s="347"/>
      <c r="ED45" s="347"/>
      <c r="EE45" s="347"/>
      <c r="EF45" s="347"/>
      <c r="EG45" s="347"/>
      <c r="EH45" s="347"/>
      <c r="EI45" s="347"/>
      <c r="EJ45" s="347"/>
      <c r="EK45" s="347"/>
      <c r="EL45" s="347"/>
      <c r="EM45" s="347"/>
      <c r="EN45" s="347"/>
      <c r="EO45" s="347"/>
      <c r="EP45" s="347"/>
      <c r="EQ45" s="347"/>
      <c r="ER45" s="347"/>
      <c r="ES45" s="347"/>
      <c r="ET45" s="347"/>
      <c r="EU45" s="347"/>
      <c r="EV45" s="347"/>
      <c r="EW45" s="347"/>
      <c r="EX45" s="347"/>
      <c r="EY45" s="347"/>
      <c r="EZ45" s="347"/>
      <c r="FA45" s="347"/>
      <c r="FB45" s="347"/>
      <c r="FC45" s="347"/>
      <c r="FD45" s="347"/>
      <c r="FE45" s="347"/>
      <c r="FF45" s="347"/>
      <c r="FG45" s="347"/>
      <c r="FH45" s="347"/>
      <c r="FI45" s="347"/>
      <c r="FJ45" s="347"/>
      <c r="FK45" s="347"/>
      <c r="FL45" s="347"/>
      <c r="FM45" s="347"/>
      <c r="FN45" s="347"/>
      <c r="FO45" s="347"/>
      <c r="FP45" s="347"/>
      <c r="FQ45" s="347"/>
      <c r="FR45" s="347"/>
      <c r="FS45" s="347"/>
      <c r="FT45" s="347"/>
      <c r="FU45" s="347"/>
      <c r="FV45" s="347"/>
    </row>
    <row r="46" spans="1:179" s="75" customFormat="1" ht="20.25" customHeight="1">
      <c r="A46" s="934" t="s">
        <v>269</v>
      </c>
      <c r="B46" s="68" t="s">
        <v>399</v>
      </c>
      <c r="C46" s="934" t="s">
        <v>352</v>
      </c>
      <c r="D46" s="934"/>
      <c r="E46" s="72">
        <v>3131</v>
      </c>
      <c r="F46" s="862" t="s">
        <v>432</v>
      </c>
      <c r="G46" s="992">
        <f t="shared" ref="G46:AS46" si="54">3131*G17</f>
        <v>286609130.83333337</v>
      </c>
      <c r="H46" s="992">
        <f t="shared" si="54"/>
        <v>286609130.83333337</v>
      </c>
      <c r="I46" s="992">
        <f t="shared" si="54"/>
        <v>286609130.83333337</v>
      </c>
      <c r="J46" s="992">
        <f t="shared" si="54"/>
        <v>286609130.83333337</v>
      </c>
      <c r="K46" s="992">
        <f t="shared" si="54"/>
        <v>286609130.83333337</v>
      </c>
      <c r="L46" s="992">
        <f t="shared" si="54"/>
        <v>286609130.83333337</v>
      </c>
      <c r="M46" s="992">
        <f t="shared" si="54"/>
        <v>286609130.83333337</v>
      </c>
      <c r="N46" s="992">
        <f t="shared" si="54"/>
        <v>286609130.83333337</v>
      </c>
      <c r="O46" s="992">
        <f t="shared" si="54"/>
        <v>286609130.83333337</v>
      </c>
      <c r="P46" s="992">
        <f t="shared" si="54"/>
        <v>286609130.83333337</v>
      </c>
      <c r="Q46" s="992">
        <f t="shared" si="54"/>
        <v>286609130.83333337</v>
      </c>
      <c r="R46" s="992">
        <f t="shared" si="54"/>
        <v>286609130.83333337</v>
      </c>
      <c r="S46" s="992">
        <f t="shared" si="54"/>
        <v>286609130.83333337</v>
      </c>
      <c r="T46" s="992">
        <f t="shared" si="54"/>
        <v>286609130.83333337</v>
      </c>
      <c r="U46" s="992">
        <f t="shared" si="54"/>
        <v>286609130.83333337</v>
      </c>
      <c r="V46" s="992">
        <f t="shared" si="54"/>
        <v>286609130.83333337</v>
      </c>
      <c r="W46" s="992">
        <f t="shared" si="54"/>
        <v>286609130.83333337</v>
      </c>
      <c r="X46" s="992">
        <f t="shared" si="54"/>
        <v>286609130.83333337</v>
      </c>
      <c r="Y46" s="992">
        <f t="shared" si="54"/>
        <v>286609130.83333337</v>
      </c>
      <c r="Z46" s="992">
        <f t="shared" si="54"/>
        <v>286609130.83333337</v>
      </c>
      <c r="AA46" s="992">
        <f t="shared" si="54"/>
        <v>286609130.83333337</v>
      </c>
      <c r="AB46" s="992">
        <f t="shared" si="54"/>
        <v>286609130.83333337</v>
      </c>
      <c r="AC46" s="992">
        <f t="shared" si="54"/>
        <v>286609130.83333337</v>
      </c>
      <c r="AD46" s="992">
        <f t="shared" si="54"/>
        <v>286609130.83333337</v>
      </c>
      <c r="AE46" s="992">
        <f t="shared" si="54"/>
        <v>286609130.83333337</v>
      </c>
      <c r="AF46" s="992">
        <f t="shared" si="54"/>
        <v>286609130.83333337</v>
      </c>
      <c r="AG46" s="992">
        <f t="shared" si="54"/>
        <v>286609130.83333337</v>
      </c>
      <c r="AH46" s="992">
        <f t="shared" si="54"/>
        <v>286609130.83333337</v>
      </c>
      <c r="AI46" s="992">
        <f t="shared" si="54"/>
        <v>286609130.83333337</v>
      </c>
      <c r="AJ46" s="992">
        <f t="shared" si="54"/>
        <v>286609130.83333337</v>
      </c>
      <c r="AK46" s="992">
        <f t="shared" si="54"/>
        <v>286609130.83333337</v>
      </c>
      <c r="AL46" s="992">
        <f t="shared" si="54"/>
        <v>286609130.83333337</v>
      </c>
      <c r="AM46" s="992">
        <f t="shared" si="54"/>
        <v>286609130.83333337</v>
      </c>
      <c r="AN46" s="992">
        <f t="shared" si="54"/>
        <v>286609130.83333337</v>
      </c>
      <c r="AO46" s="992">
        <f t="shared" si="54"/>
        <v>286609130.83333337</v>
      </c>
      <c r="AP46" s="992">
        <f t="shared" si="54"/>
        <v>286609130.83333337</v>
      </c>
      <c r="AQ46" s="992">
        <f t="shared" si="54"/>
        <v>286609130.83333337</v>
      </c>
      <c r="AR46" s="992">
        <f t="shared" si="54"/>
        <v>286609130.83333337</v>
      </c>
      <c r="AS46" s="992">
        <f t="shared" si="54"/>
        <v>286609130.83333337</v>
      </c>
      <c r="AT46" s="992">
        <f>3131*AT17</f>
        <v>286609130.83333337</v>
      </c>
      <c r="AU46" s="993">
        <f t="shared" ref="AU46:CL46" si="55">3131*AU17</f>
        <v>286609130.83333337</v>
      </c>
      <c r="AV46" s="993">
        <f t="shared" si="55"/>
        <v>286609130.83333337</v>
      </c>
      <c r="AW46" s="993">
        <f t="shared" si="55"/>
        <v>286609130.83333337</v>
      </c>
      <c r="AX46" s="993">
        <f t="shared" si="55"/>
        <v>286609130.83333337</v>
      </c>
      <c r="AY46" s="993">
        <f t="shared" si="55"/>
        <v>286609130.83333337</v>
      </c>
      <c r="AZ46" s="993">
        <f t="shared" si="55"/>
        <v>286609130.83333337</v>
      </c>
      <c r="BA46" s="993">
        <f t="shared" si="55"/>
        <v>286609130.83333337</v>
      </c>
      <c r="BB46" s="993">
        <f t="shared" si="55"/>
        <v>286609130.83333337</v>
      </c>
      <c r="BC46" s="993">
        <f t="shared" si="55"/>
        <v>286609130.83333337</v>
      </c>
      <c r="BD46" s="993">
        <f t="shared" si="55"/>
        <v>286609130.83333337</v>
      </c>
      <c r="BE46" s="993">
        <f t="shared" si="55"/>
        <v>286609130.83333337</v>
      </c>
      <c r="BF46" s="993">
        <f t="shared" si="55"/>
        <v>286609130.83333337</v>
      </c>
      <c r="BG46" s="993">
        <f t="shared" si="55"/>
        <v>286609130.83333337</v>
      </c>
      <c r="BH46" s="993">
        <f t="shared" si="55"/>
        <v>286609130.83333337</v>
      </c>
      <c r="BI46" s="993">
        <f t="shared" si="55"/>
        <v>286609130.83333337</v>
      </c>
      <c r="BJ46" s="993">
        <f t="shared" si="55"/>
        <v>286609130.83333337</v>
      </c>
      <c r="BK46" s="993">
        <f t="shared" si="55"/>
        <v>286609130.83333337</v>
      </c>
      <c r="BL46" s="993">
        <f t="shared" si="55"/>
        <v>286609130.83333337</v>
      </c>
      <c r="BM46" s="993">
        <f t="shared" si="55"/>
        <v>286609130.83333337</v>
      </c>
      <c r="BN46" s="993">
        <f t="shared" si="55"/>
        <v>286609130.83333337</v>
      </c>
      <c r="BO46" s="993">
        <f t="shared" si="55"/>
        <v>286609130.83333337</v>
      </c>
      <c r="BP46" s="993">
        <f t="shared" si="55"/>
        <v>286609130.83333337</v>
      </c>
      <c r="BQ46" s="993">
        <f t="shared" si="55"/>
        <v>286609130.83333337</v>
      </c>
      <c r="BR46" s="993">
        <f t="shared" si="55"/>
        <v>286609130.83333337</v>
      </c>
      <c r="BS46" s="993">
        <f t="shared" si="55"/>
        <v>286609130.83333337</v>
      </c>
      <c r="BT46" s="993">
        <f t="shared" si="55"/>
        <v>286609130.83333337</v>
      </c>
      <c r="BU46" s="993">
        <f t="shared" si="55"/>
        <v>286609130.83333337</v>
      </c>
      <c r="BV46" s="993">
        <f t="shared" si="55"/>
        <v>286609130.83333337</v>
      </c>
      <c r="BW46" s="993">
        <f t="shared" si="55"/>
        <v>286609130.83333337</v>
      </c>
      <c r="BX46" s="993">
        <f t="shared" si="55"/>
        <v>286609130.83333337</v>
      </c>
      <c r="BY46" s="993">
        <f t="shared" si="55"/>
        <v>286609130.83333337</v>
      </c>
      <c r="BZ46" s="993">
        <f t="shared" si="55"/>
        <v>286609130.83333337</v>
      </c>
      <c r="CA46" s="993">
        <f t="shared" si="55"/>
        <v>286609130.83333337</v>
      </c>
      <c r="CB46" s="993">
        <f t="shared" si="55"/>
        <v>286609130.83333337</v>
      </c>
      <c r="CC46" s="993">
        <f t="shared" si="55"/>
        <v>286609130.83333337</v>
      </c>
      <c r="CD46" s="993">
        <f t="shared" si="55"/>
        <v>286609130.83333337</v>
      </c>
      <c r="CE46" s="993">
        <f t="shared" si="55"/>
        <v>286609130.83333337</v>
      </c>
      <c r="CF46" s="993">
        <f t="shared" si="55"/>
        <v>286609130.83333337</v>
      </c>
      <c r="CG46" s="993">
        <f t="shared" si="55"/>
        <v>286609130.83333337</v>
      </c>
      <c r="CH46" s="993">
        <f t="shared" si="55"/>
        <v>286609130.83333337</v>
      </c>
      <c r="CI46" s="993">
        <f t="shared" si="55"/>
        <v>286609130.83333337</v>
      </c>
      <c r="CJ46" s="993">
        <f t="shared" si="55"/>
        <v>286609130.83333337</v>
      </c>
      <c r="CK46" s="993">
        <f t="shared" si="55"/>
        <v>286609130.83333337</v>
      </c>
      <c r="CL46" s="993">
        <f t="shared" si="55"/>
        <v>286609130.83333337</v>
      </c>
      <c r="CM46" s="356">
        <f t="shared" si="15"/>
        <v>286609130.83333313</v>
      </c>
      <c r="CN46" s="721"/>
      <c r="CO46" s="721"/>
      <c r="CP46" s="721"/>
      <c r="CQ46" s="721"/>
      <c r="CR46" s="721"/>
      <c r="CS46" s="721"/>
      <c r="CT46" s="721"/>
      <c r="CU46" s="721"/>
      <c r="CV46" s="721"/>
      <c r="CW46" s="721"/>
      <c r="CX46" s="721"/>
      <c r="CY46" s="721"/>
      <c r="CZ46" s="721"/>
      <c r="DA46" s="721"/>
      <c r="DB46" s="721"/>
      <c r="DC46" s="721"/>
      <c r="DD46" s="721"/>
      <c r="DE46" s="721"/>
      <c r="DF46" s="721"/>
      <c r="DG46" s="721"/>
      <c r="DH46" s="721"/>
      <c r="DI46" s="721"/>
      <c r="DJ46" s="721"/>
      <c r="DK46" s="721"/>
      <c r="DL46" s="721"/>
      <c r="DM46" s="721"/>
      <c r="DN46" s="721"/>
      <c r="DO46" s="721"/>
      <c r="DP46" s="721"/>
      <c r="DQ46" s="721"/>
      <c r="DR46" s="721"/>
      <c r="DS46" s="721"/>
      <c r="DT46" s="721"/>
      <c r="DU46" s="721"/>
      <c r="DV46" s="721"/>
      <c r="DW46" s="721"/>
      <c r="DX46" s="721"/>
      <c r="DY46" s="721"/>
      <c r="DZ46" s="721"/>
      <c r="EA46" s="721"/>
      <c r="EB46" s="721"/>
      <c r="EC46" s="721"/>
      <c r="ED46" s="721"/>
      <c r="EE46" s="721"/>
      <c r="EF46" s="721"/>
      <c r="EG46" s="721"/>
      <c r="EH46" s="721"/>
      <c r="EI46" s="721"/>
      <c r="EJ46" s="721"/>
      <c r="EK46" s="721"/>
      <c r="EL46" s="721"/>
      <c r="EM46" s="721"/>
      <c r="EN46" s="721"/>
      <c r="EO46" s="721"/>
      <c r="EP46" s="721"/>
      <c r="EQ46" s="721"/>
      <c r="ER46" s="721"/>
      <c r="ES46" s="721"/>
      <c r="ET46" s="721"/>
      <c r="EU46" s="721"/>
      <c r="EV46" s="721"/>
      <c r="EW46" s="721"/>
      <c r="EX46" s="721"/>
      <c r="EY46" s="721"/>
      <c r="EZ46" s="721"/>
      <c r="FA46" s="721"/>
      <c r="FB46" s="721"/>
      <c r="FC46" s="721"/>
      <c r="FD46" s="721"/>
      <c r="FE46" s="721"/>
      <c r="FF46" s="721"/>
      <c r="FG46" s="721"/>
      <c r="FH46" s="721"/>
      <c r="FI46" s="721"/>
      <c r="FJ46" s="721"/>
      <c r="FK46" s="721"/>
      <c r="FL46" s="721"/>
      <c r="FM46" s="721"/>
      <c r="FN46" s="721"/>
      <c r="FO46" s="721"/>
      <c r="FP46" s="721"/>
      <c r="FQ46" s="721"/>
      <c r="FR46" s="721"/>
      <c r="FS46" s="721"/>
      <c r="FT46" s="721"/>
      <c r="FU46" s="721"/>
      <c r="FV46" s="721"/>
    </row>
    <row r="47" spans="1:179" s="75" customFormat="1">
      <c r="A47" s="935" t="s">
        <v>412</v>
      </c>
      <c r="B47" s="936" t="s">
        <v>403</v>
      </c>
      <c r="C47" s="935" t="s">
        <v>352</v>
      </c>
      <c r="D47" s="935"/>
      <c r="E47" s="937"/>
      <c r="F47" s="938" t="s">
        <v>168</v>
      </c>
      <c r="G47" s="939">
        <f t="shared" ref="G47:BR48" si="56">G13*G3</f>
        <v>1107493669.8012562</v>
      </c>
      <c r="H47" s="939">
        <f t="shared" si="56"/>
        <v>1230545341.7983644</v>
      </c>
      <c r="I47" s="939">
        <f t="shared" si="56"/>
        <v>1242656695.758219</v>
      </c>
      <c r="J47" s="939">
        <f t="shared" si="56"/>
        <v>1235461272.4187973</v>
      </c>
      <c r="K47" s="939">
        <f t="shared" si="56"/>
        <v>1234675842.8219807</v>
      </c>
      <c r="L47" s="939">
        <f t="shared" si="56"/>
        <v>1239842784.6427374</v>
      </c>
      <c r="M47" s="939">
        <f t="shared" si="56"/>
        <v>1242637181.9076552</v>
      </c>
      <c r="N47" s="939">
        <f t="shared" si="56"/>
        <v>1254585828.0181971</v>
      </c>
      <c r="O47" s="939">
        <f t="shared" si="56"/>
        <v>1198299137.1122069</v>
      </c>
      <c r="P47" s="939">
        <f t="shared" si="56"/>
        <v>1196333672.8999903</v>
      </c>
      <c r="Q47" s="939">
        <f t="shared" si="56"/>
        <v>1211759948.5644808</v>
      </c>
      <c r="R47" s="939">
        <f t="shared" si="56"/>
        <v>1223586338.0773871</v>
      </c>
      <c r="S47" s="939">
        <f t="shared" si="56"/>
        <v>1211452094.4963081</v>
      </c>
      <c r="T47" s="939">
        <f t="shared" si="56"/>
        <v>1223161679.4251001</v>
      </c>
      <c r="U47" s="939">
        <f t="shared" si="56"/>
        <v>1099255476.2262545</v>
      </c>
      <c r="V47" s="939">
        <f t="shared" si="56"/>
        <v>1108208010.1804583</v>
      </c>
      <c r="W47" s="939">
        <f t="shared" si="56"/>
        <v>1112688738.6591952</v>
      </c>
      <c r="X47" s="939">
        <f t="shared" si="56"/>
        <v>1099931291.0351725</v>
      </c>
      <c r="Y47" s="939">
        <f t="shared" si="56"/>
        <v>983732647.61902022</v>
      </c>
      <c r="Z47" s="939">
        <f t="shared" si="56"/>
        <v>986566543.41852403</v>
      </c>
      <c r="AA47" s="939">
        <f t="shared" si="56"/>
        <v>988641910.04343271</v>
      </c>
      <c r="AB47" s="939">
        <f t="shared" si="56"/>
        <v>986618348.82592595</v>
      </c>
      <c r="AC47" s="939">
        <f t="shared" si="56"/>
        <v>986672954.52562022</v>
      </c>
      <c r="AD47" s="939">
        <f t="shared" si="56"/>
        <v>985372568.79252255</v>
      </c>
      <c r="AE47" s="939">
        <f t="shared" si="56"/>
        <v>899524975.74475014</v>
      </c>
      <c r="AF47" s="939">
        <f t="shared" si="56"/>
        <v>907033030.67062509</v>
      </c>
      <c r="AG47" s="939">
        <f t="shared" si="56"/>
        <v>905332894.06156254</v>
      </c>
      <c r="AH47" s="939">
        <f t="shared" si="56"/>
        <v>906205411.60475016</v>
      </c>
      <c r="AI47" s="939">
        <f t="shared" si="56"/>
        <v>899959375.66218746</v>
      </c>
      <c r="AJ47" s="939">
        <f t="shared" si="56"/>
        <v>892747021.53593743</v>
      </c>
      <c r="AK47" s="939">
        <f t="shared" si="56"/>
        <v>883064061.49084008</v>
      </c>
      <c r="AL47" s="939">
        <f t="shared" si="56"/>
        <v>883247041.37442994</v>
      </c>
      <c r="AM47" s="939">
        <f t="shared" si="56"/>
        <v>883391723.14285004</v>
      </c>
      <c r="AN47" s="939">
        <f t="shared" si="56"/>
        <v>882177814.73683226</v>
      </c>
      <c r="AO47" s="939">
        <f t="shared" si="56"/>
        <v>881164758.66815007</v>
      </c>
      <c r="AP47" s="939">
        <f t="shared" si="56"/>
        <v>883625767.18000007</v>
      </c>
      <c r="AQ47" s="939">
        <f t="shared" si="56"/>
        <v>947089267.26026022</v>
      </c>
      <c r="AR47" s="939">
        <f t="shared" si="56"/>
        <v>946449575.48980641</v>
      </c>
      <c r="AS47" s="939">
        <f t="shared" si="56"/>
        <v>940503913.22024</v>
      </c>
      <c r="AT47" s="939">
        <f t="shared" si="56"/>
        <v>939432801.41855001</v>
      </c>
      <c r="AU47" s="866">
        <f t="shared" si="56"/>
        <v>944986714.4643501</v>
      </c>
      <c r="AV47" s="866">
        <f t="shared" si="56"/>
        <v>947796729.99347508</v>
      </c>
      <c r="AW47" s="866">
        <f t="shared" si="56"/>
        <v>979483204.0659101</v>
      </c>
      <c r="AX47" s="866">
        <f t="shared" si="56"/>
        <v>990346587.97618747</v>
      </c>
      <c r="AY47" s="866">
        <f t="shared" si="56"/>
        <v>993575675.02540004</v>
      </c>
      <c r="AZ47" s="866">
        <f t="shared" si="56"/>
        <v>998189156.57647014</v>
      </c>
      <c r="BA47" s="866">
        <f t="shared" si="56"/>
        <v>1007655894.7061125</v>
      </c>
      <c r="BB47" s="866">
        <f t="shared" si="56"/>
        <v>1024784932.61974</v>
      </c>
      <c r="BC47" s="866">
        <f t="shared" si="56"/>
        <v>1080523377.9997001</v>
      </c>
      <c r="BD47" s="866">
        <f t="shared" si="56"/>
        <v>1064918611.9333001</v>
      </c>
      <c r="BE47" s="866">
        <f t="shared" si="56"/>
        <v>1059455790.7485281</v>
      </c>
      <c r="BF47" s="866">
        <f t="shared" si="56"/>
        <v>1063340839.40368</v>
      </c>
      <c r="BG47" s="866">
        <f t="shared" si="56"/>
        <v>1064486213.8588001</v>
      </c>
      <c r="BH47" s="866">
        <f t="shared" si="56"/>
        <v>1050380427.784</v>
      </c>
      <c r="BI47" s="866">
        <f t="shared" si="56"/>
        <v>1103422390.7271476</v>
      </c>
      <c r="BJ47" s="866">
        <f t="shared" si="56"/>
        <v>1107037701.9136188</v>
      </c>
      <c r="BK47" s="866">
        <f t="shared" si="56"/>
        <v>1102199136.5743871</v>
      </c>
      <c r="BL47" s="866">
        <f t="shared" si="56"/>
        <v>1100167977.5050001</v>
      </c>
      <c r="BM47" s="866">
        <f t="shared" si="56"/>
        <v>1119257580.3547564</v>
      </c>
      <c r="BN47" s="866">
        <f t="shared" si="56"/>
        <v>1117117940.8446312</v>
      </c>
      <c r="BO47" s="866">
        <f t="shared" si="56"/>
        <v>1041581824.7531776</v>
      </c>
      <c r="BP47" s="866">
        <f t="shared" si="56"/>
        <v>1047044631.0671163</v>
      </c>
      <c r="BQ47" s="866">
        <f t="shared" si="56"/>
        <v>1044350730.435738</v>
      </c>
      <c r="BR47" s="866">
        <f t="shared" si="56"/>
        <v>1044038886.774665</v>
      </c>
      <c r="BS47" s="866">
        <f t="shared" ref="BS47:CL48" si="57">BS13*BS3</f>
        <v>1048727626.1810826</v>
      </c>
      <c r="BT47" s="866">
        <f t="shared" si="57"/>
        <v>1071824009.1830651</v>
      </c>
      <c r="BU47" s="866">
        <f t="shared" si="57"/>
        <v>933838119.41144025</v>
      </c>
      <c r="BV47" s="866">
        <f t="shared" si="57"/>
        <v>931563476.75752008</v>
      </c>
      <c r="BW47" s="866">
        <f t="shared" si="57"/>
        <v>931265476.69829273</v>
      </c>
      <c r="BX47" s="866">
        <f t="shared" si="57"/>
        <v>927440686.94729006</v>
      </c>
      <c r="BY47" s="866">
        <f t="shared" si="57"/>
        <v>923612069.67259097</v>
      </c>
      <c r="BZ47" s="866">
        <f t="shared" si="57"/>
        <v>919457566.09459019</v>
      </c>
      <c r="CA47" s="866">
        <f t="shared" si="57"/>
        <v>819517976.81008136</v>
      </c>
      <c r="CB47" s="866">
        <f t="shared" si="57"/>
        <v>820985081.74256516</v>
      </c>
      <c r="CC47" s="866">
        <f t="shared" si="57"/>
        <v>818644675.68837261</v>
      </c>
      <c r="CD47" s="866">
        <f t="shared" si="57"/>
        <v>816711332.38446307</v>
      </c>
      <c r="CE47" s="866">
        <f t="shared" si="57"/>
        <v>816850978.65996253</v>
      </c>
      <c r="CF47" s="866">
        <f t="shared" si="57"/>
        <v>815654156.84134877</v>
      </c>
      <c r="CG47" s="866">
        <f t="shared" si="57"/>
        <v>822985586.30507255</v>
      </c>
      <c r="CH47" s="866">
        <f t="shared" si="57"/>
        <v>816303450.59444118</v>
      </c>
      <c r="CI47" s="866">
        <f t="shared" si="57"/>
        <v>820774179.00977254</v>
      </c>
      <c r="CJ47" s="866">
        <f t="shared" si="57"/>
        <v>822607804.22545874</v>
      </c>
      <c r="CK47" s="866">
        <f t="shared" si="57"/>
        <v>820119356.73844206</v>
      </c>
      <c r="CL47" s="866">
        <f t="shared" si="57"/>
        <v>819790307.52329886</v>
      </c>
      <c r="CM47" s="356">
        <f t="shared" si="15"/>
        <v>1005785074.8322098</v>
      </c>
      <c r="CN47" s="721"/>
      <c r="CO47" s="721"/>
      <c r="CP47" s="721"/>
      <c r="CQ47" s="721"/>
      <c r="CR47" s="721"/>
      <c r="CS47" s="721"/>
      <c r="CT47" s="721"/>
      <c r="CU47" s="721"/>
      <c r="CV47" s="721"/>
      <c r="CW47" s="721"/>
      <c r="CX47" s="721"/>
      <c r="CY47" s="721"/>
      <c r="CZ47" s="721"/>
      <c r="DA47" s="721"/>
      <c r="DB47" s="721"/>
      <c r="DC47" s="721"/>
      <c r="DD47" s="721"/>
      <c r="DE47" s="721"/>
      <c r="DF47" s="721"/>
      <c r="DG47" s="721"/>
      <c r="DH47" s="721"/>
      <c r="DI47" s="721"/>
      <c r="DJ47" s="721"/>
      <c r="DK47" s="721"/>
      <c r="DL47" s="721"/>
      <c r="DM47" s="721"/>
      <c r="DN47" s="721"/>
      <c r="DO47" s="721"/>
      <c r="DP47" s="721"/>
      <c r="DQ47" s="721"/>
      <c r="DR47" s="721"/>
      <c r="DS47" s="721"/>
      <c r="DT47" s="721"/>
      <c r="DU47" s="721"/>
      <c r="DV47" s="721"/>
      <c r="DW47" s="721"/>
      <c r="DX47" s="721"/>
      <c r="DY47" s="721"/>
      <c r="DZ47" s="721"/>
      <c r="EA47" s="721"/>
      <c r="EB47" s="721"/>
      <c r="EC47" s="721"/>
      <c r="ED47" s="721"/>
      <c r="EE47" s="721"/>
      <c r="EF47" s="721"/>
      <c r="EG47" s="721"/>
      <c r="EH47" s="721"/>
      <c r="EI47" s="721"/>
      <c r="EJ47" s="721"/>
      <c r="EK47" s="721"/>
      <c r="EL47" s="721"/>
      <c r="EM47" s="721"/>
      <c r="EN47" s="721"/>
      <c r="EO47" s="721"/>
      <c r="EP47" s="721"/>
      <c r="EQ47" s="721"/>
      <c r="ER47" s="721"/>
      <c r="ES47" s="721"/>
      <c r="ET47" s="721"/>
      <c r="EU47" s="721"/>
      <c r="EV47" s="721"/>
      <c r="EW47" s="721"/>
      <c r="EX47" s="721"/>
      <c r="EY47" s="721"/>
      <c r="EZ47" s="721"/>
      <c r="FA47" s="721"/>
      <c r="FB47" s="721"/>
      <c r="FC47" s="721"/>
      <c r="FD47" s="721"/>
      <c r="FE47" s="721"/>
      <c r="FF47" s="721"/>
      <c r="FG47" s="721"/>
      <c r="FH47" s="721"/>
      <c r="FI47" s="721"/>
      <c r="FJ47" s="721"/>
      <c r="FK47" s="721"/>
      <c r="FL47" s="721"/>
      <c r="FM47" s="721"/>
      <c r="FN47" s="721"/>
      <c r="FO47" s="721"/>
      <c r="FP47" s="721"/>
      <c r="FQ47" s="721"/>
      <c r="FR47" s="721"/>
      <c r="FS47" s="721"/>
      <c r="FT47" s="721"/>
      <c r="FU47" s="721"/>
      <c r="FV47" s="721"/>
    </row>
    <row r="48" spans="1:179" s="75" customFormat="1">
      <c r="A48" s="935" t="s">
        <v>412</v>
      </c>
      <c r="B48" s="936" t="s">
        <v>403</v>
      </c>
      <c r="C48" s="935" t="s">
        <v>352</v>
      </c>
      <c r="D48" s="935"/>
      <c r="E48" s="937"/>
      <c r="F48" s="938" t="s">
        <v>0</v>
      </c>
      <c r="G48" s="939">
        <f t="shared" si="56"/>
        <v>1068820504.2419361</v>
      </c>
      <c r="H48" s="939">
        <f t="shared" si="56"/>
        <v>891653405.09945667</v>
      </c>
      <c r="I48" s="939">
        <f t="shared" si="56"/>
        <v>817608372.84422076</v>
      </c>
      <c r="J48" s="939">
        <f t="shared" si="56"/>
        <v>625517884.61011457</v>
      </c>
      <c r="K48" s="939">
        <f t="shared" si="56"/>
        <v>661588334.7313875</v>
      </c>
      <c r="L48" s="939">
        <f t="shared" si="56"/>
        <v>740395440.12241662</v>
      </c>
      <c r="M48" s="939">
        <f t="shared" si="56"/>
        <v>683799506.18949318</v>
      </c>
      <c r="N48" s="939">
        <f t="shared" si="56"/>
        <v>702624683.54401243</v>
      </c>
      <c r="O48" s="939">
        <f t="shared" si="56"/>
        <v>612524947.26549363</v>
      </c>
      <c r="P48" s="939">
        <f t="shared" si="56"/>
        <v>595675760.0740912</v>
      </c>
      <c r="Q48" s="939">
        <f t="shared" si="56"/>
        <v>562946070.05572331</v>
      </c>
      <c r="R48" s="939">
        <f t="shared" si="56"/>
        <v>494108036.23607987</v>
      </c>
      <c r="S48" s="939">
        <f t="shared" si="56"/>
        <v>554988214.84283984</v>
      </c>
      <c r="T48" s="939">
        <f t="shared" si="56"/>
        <v>619223062.85017657</v>
      </c>
      <c r="U48" s="939">
        <f t="shared" si="56"/>
        <v>725191314.62092817</v>
      </c>
      <c r="V48" s="939">
        <f t="shared" si="56"/>
        <v>550154904.89999998</v>
      </c>
      <c r="W48" s="939">
        <f t="shared" si="56"/>
        <v>459430836.99166667</v>
      </c>
      <c r="X48" s="939">
        <f t="shared" si="56"/>
        <v>456761787.34999996</v>
      </c>
      <c r="Y48" s="939">
        <f t="shared" si="56"/>
        <v>503104047.5</v>
      </c>
      <c r="Z48" s="939">
        <f t="shared" si="56"/>
        <v>514276264.14166665</v>
      </c>
      <c r="AA48" s="939">
        <f t="shared" si="56"/>
        <v>524125765.91666663</v>
      </c>
      <c r="AB48" s="939">
        <f t="shared" si="56"/>
        <v>467012827.56666666</v>
      </c>
      <c r="AC48" s="939">
        <f t="shared" si="56"/>
        <v>450904050.08333331</v>
      </c>
      <c r="AD48" s="939">
        <f t="shared" si="56"/>
        <v>465406673.79999995</v>
      </c>
      <c r="AE48" s="939">
        <f t="shared" si="56"/>
        <v>536124679.35000002</v>
      </c>
      <c r="AF48" s="939">
        <f t="shared" si="56"/>
        <v>625006394.4083333</v>
      </c>
      <c r="AG48" s="939">
        <f t="shared" si="56"/>
        <v>608496078.48333335</v>
      </c>
      <c r="AH48" s="939">
        <f t="shared" si="56"/>
        <v>699409105.65833342</v>
      </c>
      <c r="AI48" s="939">
        <f t="shared" si="56"/>
        <v>805887652.42500007</v>
      </c>
      <c r="AJ48" s="939">
        <f t="shared" si="56"/>
        <v>745278967.64166665</v>
      </c>
      <c r="AK48" s="939">
        <f t="shared" si="56"/>
        <v>654271460.83333325</v>
      </c>
      <c r="AL48" s="939">
        <f t="shared" si="56"/>
        <v>585820966.48333335</v>
      </c>
      <c r="AM48" s="939">
        <f t="shared" si="56"/>
        <v>586057165.5666666</v>
      </c>
      <c r="AN48" s="939">
        <f t="shared" si="56"/>
        <v>524409204.81666666</v>
      </c>
      <c r="AO48" s="939">
        <f t="shared" si="56"/>
        <v>634832276.27499998</v>
      </c>
      <c r="AP48" s="939">
        <f t="shared" si="56"/>
        <v>731272362</v>
      </c>
      <c r="AQ48" s="939">
        <f t="shared" si="56"/>
        <v>882770454.04999995</v>
      </c>
      <c r="AR48" s="939">
        <f t="shared" si="56"/>
        <v>880432083.125</v>
      </c>
      <c r="AS48" s="939">
        <f t="shared" si="56"/>
        <v>893824571.14999998</v>
      </c>
      <c r="AT48" s="939">
        <f t="shared" si="56"/>
        <v>887399956.08333337</v>
      </c>
      <c r="AU48" s="866">
        <f t="shared" si="56"/>
        <v>800289734.14999998</v>
      </c>
      <c r="AV48" s="866">
        <f t="shared" si="56"/>
        <v>737720596.97500002</v>
      </c>
      <c r="AW48" s="866">
        <f t="shared" si="56"/>
        <v>738287474.77499998</v>
      </c>
      <c r="AX48" s="866">
        <f t="shared" si="56"/>
        <v>796793987.71666658</v>
      </c>
      <c r="AY48" s="866">
        <f t="shared" si="56"/>
        <v>898477693.0916667</v>
      </c>
      <c r="AZ48" s="866">
        <f t="shared" si="56"/>
        <v>899965747.31666672</v>
      </c>
      <c r="BA48" s="866">
        <f t="shared" si="56"/>
        <v>956748006.95000005</v>
      </c>
      <c r="BB48" s="866">
        <f t="shared" si="56"/>
        <v>1021868094.225</v>
      </c>
      <c r="BC48" s="866">
        <f t="shared" si="56"/>
        <v>1135716052.3916667</v>
      </c>
      <c r="BD48" s="866">
        <f t="shared" si="56"/>
        <v>908752353.2166667</v>
      </c>
      <c r="BE48" s="866">
        <f t="shared" si="56"/>
        <v>744168831.95000005</v>
      </c>
      <c r="BF48" s="866">
        <f t="shared" si="56"/>
        <v>718777430.49166667</v>
      </c>
      <c r="BG48" s="866">
        <f t="shared" si="56"/>
        <v>739492090.10000002</v>
      </c>
      <c r="BH48" s="866">
        <f t="shared" si="56"/>
        <v>803360322.23333335</v>
      </c>
      <c r="BI48" s="866">
        <f t="shared" si="56"/>
        <v>843892084.9333334</v>
      </c>
      <c r="BJ48" s="866">
        <f t="shared" si="56"/>
        <v>865126382.52499998</v>
      </c>
      <c r="BK48" s="866">
        <f t="shared" si="56"/>
        <v>705290462.83333325</v>
      </c>
      <c r="BL48" s="866">
        <f t="shared" si="56"/>
        <v>609558974.35833335</v>
      </c>
      <c r="BM48" s="866">
        <f t="shared" si="56"/>
        <v>621605127.60833335</v>
      </c>
      <c r="BN48" s="866">
        <f t="shared" si="56"/>
        <v>587309020.70833337</v>
      </c>
      <c r="BO48" s="866">
        <f t="shared" si="56"/>
        <v>703330010.44166672</v>
      </c>
      <c r="BP48" s="866">
        <f t="shared" si="56"/>
        <v>727162497.95000005</v>
      </c>
      <c r="BQ48" s="866">
        <f t="shared" si="56"/>
        <v>739893628.54166663</v>
      </c>
      <c r="BR48" s="866">
        <f t="shared" si="56"/>
        <v>951079228.94999993</v>
      </c>
      <c r="BS48" s="866">
        <f t="shared" si="57"/>
        <v>857213713.23333335</v>
      </c>
      <c r="BT48" s="866">
        <f t="shared" si="57"/>
        <v>759923310.8083334</v>
      </c>
      <c r="BU48" s="866">
        <f t="shared" si="57"/>
        <v>413749934.27500004</v>
      </c>
      <c r="BV48" s="866">
        <f t="shared" si="57"/>
        <v>608307119.21666658</v>
      </c>
      <c r="BW48" s="866">
        <f t="shared" si="57"/>
        <v>626305489.36666667</v>
      </c>
      <c r="BX48" s="866">
        <f t="shared" si="57"/>
        <v>636769108.75833333</v>
      </c>
      <c r="BY48" s="866">
        <f t="shared" si="57"/>
        <v>641422230.69999993</v>
      </c>
      <c r="BZ48" s="866">
        <f t="shared" si="57"/>
        <v>633344222.04999995</v>
      </c>
      <c r="CA48" s="866">
        <f t="shared" si="57"/>
        <v>652547207.52499998</v>
      </c>
      <c r="CB48" s="866">
        <f t="shared" si="57"/>
        <v>752860958.2166667</v>
      </c>
      <c r="CC48" s="866">
        <f t="shared" si="57"/>
        <v>781842585.74166656</v>
      </c>
      <c r="CD48" s="866">
        <f t="shared" si="57"/>
        <v>949331355.73333323</v>
      </c>
      <c r="CE48" s="866">
        <f t="shared" si="57"/>
        <v>1042960672.3666666</v>
      </c>
      <c r="CF48" s="866">
        <f t="shared" si="57"/>
        <v>1074753068.9833333</v>
      </c>
      <c r="CG48" s="866">
        <f t="shared" si="57"/>
        <v>985398955.75833321</v>
      </c>
      <c r="CH48" s="866">
        <f t="shared" si="57"/>
        <v>852867650.0999999</v>
      </c>
      <c r="CI48" s="866">
        <f t="shared" si="57"/>
        <v>923373076.4749999</v>
      </c>
      <c r="CJ48" s="866">
        <f t="shared" si="57"/>
        <v>1090554787.6583333</v>
      </c>
      <c r="CK48" s="866">
        <f t="shared" si="57"/>
        <v>1153005825.2916667</v>
      </c>
      <c r="CL48" s="938">
        <f t="shared" si="57"/>
        <v>1156855870.3500001</v>
      </c>
      <c r="CM48" s="356">
        <f t="shared" si="15"/>
        <v>736633202.98773825</v>
      </c>
      <c r="CN48" s="721"/>
      <c r="CO48" s="721"/>
      <c r="CP48" s="721"/>
      <c r="CQ48" s="721"/>
      <c r="CR48" s="721"/>
      <c r="CS48" s="721"/>
      <c r="CT48" s="721"/>
      <c r="CU48" s="721"/>
      <c r="CV48" s="721"/>
      <c r="CW48" s="721"/>
      <c r="CX48" s="721"/>
      <c r="CY48" s="721"/>
      <c r="CZ48" s="721"/>
      <c r="DA48" s="721"/>
      <c r="DB48" s="721"/>
      <c r="DC48" s="721"/>
      <c r="DD48" s="721"/>
      <c r="DE48" s="721"/>
      <c r="DF48" s="721"/>
      <c r="DG48" s="721"/>
      <c r="DH48" s="721"/>
      <c r="DI48" s="721"/>
      <c r="DJ48" s="721"/>
      <c r="DK48" s="721"/>
      <c r="DL48" s="721"/>
      <c r="DM48" s="721"/>
      <c r="DN48" s="721"/>
      <c r="DO48" s="721"/>
      <c r="DP48" s="721"/>
      <c r="DQ48" s="721"/>
      <c r="DR48" s="721"/>
      <c r="DS48" s="721"/>
      <c r="DT48" s="721"/>
      <c r="DU48" s="721"/>
      <c r="DV48" s="721"/>
      <c r="DW48" s="721"/>
      <c r="DX48" s="721"/>
      <c r="DY48" s="721"/>
      <c r="DZ48" s="721"/>
      <c r="EA48" s="721"/>
      <c r="EB48" s="721"/>
      <c r="EC48" s="721"/>
      <c r="ED48" s="721"/>
      <c r="EE48" s="721"/>
      <c r="EF48" s="721"/>
      <c r="EG48" s="721"/>
      <c r="EH48" s="721"/>
      <c r="EI48" s="721"/>
      <c r="EJ48" s="721"/>
      <c r="EK48" s="721"/>
      <c r="EL48" s="721"/>
      <c r="EM48" s="721"/>
      <c r="EN48" s="721"/>
      <c r="EO48" s="721"/>
      <c r="EP48" s="721"/>
      <c r="EQ48" s="721"/>
      <c r="ER48" s="721"/>
      <c r="ES48" s="721"/>
      <c r="ET48" s="721"/>
      <c r="EU48" s="721"/>
      <c r="EV48" s="721"/>
      <c r="EW48" s="721"/>
      <c r="EX48" s="721"/>
      <c r="EY48" s="721"/>
      <c r="EZ48" s="721"/>
      <c r="FA48" s="721"/>
      <c r="FB48" s="721"/>
      <c r="FC48" s="721"/>
      <c r="FD48" s="721"/>
      <c r="FE48" s="721"/>
      <c r="FF48" s="721"/>
      <c r="FG48" s="721"/>
      <c r="FH48" s="721"/>
      <c r="FI48" s="721"/>
      <c r="FJ48" s="721"/>
      <c r="FK48" s="721"/>
      <c r="FL48" s="721"/>
      <c r="FM48" s="721"/>
      <c r="FN48" s="721"/>
      <c r="FO48" s="721"/>
      <c r="FP48" s="721"/>
      <c r="FQ48" s="721"/>
      <c r="FR48" s="721"/>
      <c r="FS48" s="721"/>
      <c r="FT48" s="721"/>
      <c r="FU48" s="721"/>
      <c r="FV48" s="721"/>
    </row>
    <row r="49" spans="1:178">
      <c r="A49" s="940" t="s">
        <v>412</v>
      </c>
      <c r="B49" s="66" t="s">
        <v>403</v>
      </c>
      <c r="C49" s="581" t="s">
        <v>352</v>
      </c>
      <c r="D49" s="581"/>
      <c r="E49" s="347"/>
      <c r="F49" s="885" t="s">
        <v>398</v>
      </c>
      <c r="G49" s="941">
        <f t="shared" ref="G49:BR50" si="58">G5*G15</f>
        <v>683503476.49976957</v>
      </c>
      <c r="H49" s="941">
        <f t="shared" si="58"/>
        <v>538864213.79637992</v>
      </c>
      <c r="I49" s="941">
        <f t="shared" si="58"/>
        <v>520618206.27205974</v>
      </c>
      <c r="J49" s="941">
        <f t="shared" si="58"/>
        <v>425021122.92146957</v>
      </c>
      <c r="K49" s="941">
        <f t="shared" si="58"/>
        <v>433589161.67983598</v>
      </c>
      <c r="L49" s="941">
        <f t="shared" si="58"/>
        <v>418517302.84053636</v>
      </c>
      <c r="M49" s="941">
        <f t="shared" si="58"/>
        <v>429270124.30965066</v>
      </c>
      <c r="N49" s="941">
        <f t="shared" si="58"/>
        <v>440987129.52896464</v>
      </c>
      <c r="O49" s="941">
        <f t="shared" si="58"/>
        <v>408868158.21571499</v>
      </c>
      <c r="P49" s="941">
        <f t="shared" si="58"/>
        <v>393789033.22715813</v>
      </c>
      <c r="Q49" s="941">
        <f t="shared" si="58"/>
        <v>379049365.15474671</v>
      </c>
      <c r="R49" s="941">
        <f t="shared" si="58"/>
        <v>332500508.43352795</v>
      </c>
      <c r="S49" s="941">
        <f t="shared" si="58"/>
        <v>345729135.13295448</v>
      </c>
      <c r="T49" s="941">
        <f t="shared" si="58"/>
        <v>418987570.52982098</v>
      </c>
      <c r="U49" s="941">
        <f t="shared" si="58"/>
        <v>460097874.6054889</v>
      </c>
      <c r="V49" s="941">
        <f t="shared" si="58"/>
        <v>383237166.66666663</v>
      </c>
      <c r="W49" s="941">
        <f t="shared" si="58"/>
        <v>312930166.66666663</v>
      </c>
      <c r="X49" s="941">
        <f t="shared" si="58"/>
        <v>310592166.66666663</v>
      </c>
      <c r="Y49" s="941">
        <f t="shared" si="58"/>
        <v>339107416.66666663</v>
      </c>
      <c r="Z49" s="941">
        <f t="shared" si="58"/>
        <v>370545166.66666663</v>
      </c>
      <c r="AA49" s="941">
        <f t="shared" si="58"/>
        <v>357240833.33333331</v>
      </c>
      <c r="AB49" s="941">
        <f t="shared" si="58"/>
        <v>302423083.33333331</v>
      </c>
      <c r="AC49" s="941">
        <f t="shared" si="58"/>
        <v>282731000</v>
      </c>
      <c r="AD49" s="941">
        <f t="shared" si="58"/>
        <v>311107083.33333331</v>
      </c>
      <c r="AE49" s="941">
        <f t="shared" si="58"/>
        <v>359523166.66666663</v>
      </c>
      <c r="AF49" s="941">
        <f t="shared" si="58"/>
        <v>434520083.33333331</v>
      </c>
      <c r="AG49" s="941">
        <f t="shared" si="58"/>
        <v>414452250</v>
      </c>
      <c r="AH49" s="941">
        <f t="shared" si="58"/>
        <v>490451166.66666663</v>
      </c>
      <c r="AI49" s="941">
        <f t="shared" si="58"/>
        <v>584263416.66666663</v>
      </c>
      <c r="AJ49" s="941">
        <f t="shared" si="58"/>
        <v>574090333.33333325</v>
      </c>
      <c r="AK49" s="941">
        <f t="shared" si="58"/>
        <v>459444833.33333331</v>
      </c>
      <c r="AL49" s="941">
        <f t="shared" si="58"/>
        <v>365702166.66666663</v>
      </c>
      <c r="AM49" s="941">
        <f t="shared" si="58"/>
        <v>365841333.33333331</v>
      </c>
      <c r="AN49" s="941">
        <f t="shared" si="58"/>
        <v>341890750</v>
      </c>
      <c r="AO49" s="941">
        <f t="shared" si="58"/>
        <v>428466333.33333331</v>
      </c>
      <c r="AP49" s="941">
        <f t="shared" si="58"/>
        <v>469409166.66666663</v>
      </c>
      <c r="AQ49" s="941">
        <f t="shared" si="58"/>
        <v>548734166.66666663</v>
      </c>
      <c r="AR49" s="941">
        <f t="shared" si="58"/>
        <v>547272916.66666663</v>
      </c>
      <c r="AS49" s="941">
        <f t="shared" si="58"/>
        <v>532131583.33333331</v>
      </c>
      <c r="AT49" s="941">
        <f t="shared" si="58"/>
        <v>528304500</v>
      </c>
      <c r="AU49" s="868">
        <f t="shared" si="58"/>
        <v>474377416.66666663</v>
      </c>
      <c r="AV49" s="868">
        <f t="shared" si="58"/>
        <v>440392916.66666663</v>
      </c>
      <c r="AW49" s="868">
        <f t="shared" si="58"/>
        <v>450176333.33333331</v>
      </c>
      <c r="AX49" s="868">
        <f t="shared" si="58"/>
        <v>495934333.33333331</v>
      </c>
      <c r="AY49" s="868">
        <f t="shared" si="58"/>
        <v>553674583.33333325</v>
      </c>
      <c r="AZ49" s="868">
        <f t="shared" si="58"/>
        <v>569581333.33333325</v>
      </c>
      <c r="BA49" s="868">
        <f t="shared" si="58"/>
        <v>604832250</v>
      </c>
      <c r="BB49" s="868">
        <f t="shared" si="58"/>
        <v>666441333.33333325</v>
      </c>
      <c r="BC49" s="868">
        <f t="shared" si="58"/>
        <v>699869166.66666663</v>
      </c>
      <c r="BD49" s="868">
        <f t="shared" si="58"/>
        <v>544461750</v>
      </c>
      <c r="BE49" s="868">
        <f t="shared" si="58"/>
        <v>427673083.33333331</v>
      </c>
      <c r="BF49" s="868">
        <f t="shared" si="58"/>
        <v>432641333.33333331</v>
      </c>
      <c r="BG49" s="868">
        <f t="shared" si="58"/>
        <v>486777166.66666663</v>
      </c>
      <c r="BH49" s="868">
        <f t="shared" si="58"/>
        <v>525368083.33333331</v>
      </c>
      <c r="BI49" s="868">
        <f t="shared" si="58"/>
        <v>540231083.33333325</v>
      </c>
      <c r="BJ49" s="868">
        <f t="shared" si="58"/>
        <v>538199250</v>
      </c>
      <c r="BK49" s="868">
        <f t="shared" si="58"/>
        <v>419462250</v>
      </c>
      <c r="BL49" s="868">
        <f t="shared" si="58"/>
        <v>355598666.66666663</v>
      </c>
      <c r="BM49" s="868">
        <f t="shared" si="58"/>
        <v>372702250</v>
      </c>
      <c r="BN49" s="868">
        <f t="shared" si="58"/>
        <v>372256916.66666663</v>
      </c>
      <c r="BO49" s="868">
        <f t="shared" si="58"/>
        <v>448896000</v>
      </c>
      <c r="BP49" s="868">
        <f t="shared" si="58"/>
        <v>463745083.33333331</v>
      </c>
      <c r="BQ49" s="868">
        <f t="shared" si="58"/>
        <v>471496666.66666663</v>
      </c>
      <c r="BR49" s="868">
        <f t="shared" si="58"/>
        <v>612013250</v>
      </c>
      <c r="BS49" s="868">
        <f t="shared" ref="BS49:CL50" si="59">BS5*BS15</f>
        <v>570082333.33333325</v>
      </c>
      <c r="BT49" s="868">
        <f t="shared" si="59"/>
        <v>522737833.33333331</v>
      </c>
      <c r="BU49" s="868">
        <f t="shared" si="59"/>
        <v>266044916.66666666</v>
      </c>
      <c r="BV49" s="868">
        <f t="shared" si="59"/>
        <v>374859333.33333331</v>
      </c>
      <c r="BW49" s="868">
        <f t="shared" si="59"/>
        <v>363893000</v>
      </c>
      <c r="BX49" s="868">
        <f t="shared" si="59"/>
        <v>370600833.33333331</v>
      </c>
      <c r="BY49" s="868">
        <f t="shared" si="59"/>
        <v>373606833.33333331</v>
      </c>
      <c r="BZ49" s="868">
        <f t="shared" si="59"/>
        <v>379604916.66666663</v>
      </c>
      <c r="CA49" s="868">
        <f t="shared" si="59"/>
        <v>407480000</v>
      </c>
      <c r="CB49" s="868">
        <f t="shared" si="59"/>
        <v>474739250</v>
      </c>
      <c r="CC49" s="868">
        <f t="shared" si="59"/>
        <v>492496916.66666663</v>
      </c>
      <c r="CD49" s="868">
        <f t="shared" si="59"/>
        <v>563736333.33333325</v>
      </c>
      <c r="CE49" s="868">
        <f t="shared" si="59"/>
        <v>621462666.66666663</v>
      </c>
      <c r="CF49" s="868">
        <f t="shared" si="59"/>
        <v>630508500</v>
      </c>
      <c r="CG49" s="868">
        <f t="shared" si="59"/>
        <v>574716583.33333325</v>
      </c>
      <c r="CH49" s="868">
        <f t="shared" si="59"/>
        <v>504340000</v>
      </c>
      <c r="CI49" s="868">
        <f t="shared" si="59"/>
        <v>563652833.33333325</v>
      </c>
      <c r="CJ49" s="868">
        <f t="shared" si="59"/>
        <v>672035833.33333325</v>
      </c>
      <c r="CK49" s="868">
        <f t="shared" si="59"/>
        <v>705143583.33333325</v>
      </c>
      <c r="CL49" s="885">
        <f t="shared" si="59"/>
        <v>712895166.66666663</v>
      </c>
      <c r="CM49" s="356">
        <f t="shared" si="15"/>
        <v>466133866.66446126</v>
      </c>
      <c r="CN49" s="347"/>
      <c r="CO49" s="347"/>
      <c r="CP49" s="347"/>
      <c r="CQ49" s="347"/>
      <c r="CR49" s="347"/>
      <c r="CS49" s="347"/>
      <c r="CT49" s="347"/>
      <c r="CU49" s="347"/>
      <c r="CV49" s="347"/>
      <c r="CW49" s="347"/>
      <c r="CX49" s="347"/>
      <c r="CY49" s="347"/>
      <c r="CZ49" s="347"/>
      <c r="DA49" s="347"/>
      <c r="DB49" s="347"/>
      <c r="DC49" s="347"/>
      <c r="DD49" s="347"/>
      <c r="DE49" s="347"/>
      <c r="DF49" s="347"/>
      <c r="DG49" s="347"/>
      <c r="DH49" s="347"/>
      <c r="DI49" s="347"/>
      <c r="DJ49" s="347"/>
      <c r="DK49" s="347"/>
      <c r="DL49" s="347"/>
      <c r="DM49" s="347"/>
      <c r="DN49" s="347"/>
      <c r="DO49" s="347"/>
      <c r="DP49" s="347"/>
      <c r="DQ49" s="347"/>
      <c r="DR49" s="347"/>
      <c r="DS49" s="347"/>
      <c r="DT49" s="347"/>
      <c r="DU49" s="347"/>
      <c r="DV49" s="347"/>
      <c r="DW49" s="347"/>
      <c r="DX49" s="347"/>
      <c r="DY49" s="347"/>
      <c r="DZ49" s="347"/>
      <c r="EA49" s="347"/>
      <c r="EB49" s="347"/>
      <c r="EC49" s="347"/>
      <c r="ED49" s="347"/>
      <c r="EE49" s="347"/>
      <c r="EF49" s="347"/>
      <c r="EG49" s="347"/>
      <c r="EH49" s="347"/>
      <c r="EI49" s="347"/>
      <c r="EJ49" s="347"/>
      <c r="EK49" s="347"/>
      <c r="EL49" s="347"/>
      <c r="EM49" s="347"/>
      <c r="EN49" s="347"/>
      <c r="EO49" s="347"/>
      <c r="EP49" s="347"/>
      <c r="EQ49" s="347"/>
      <c r="ER49" s="347"/>
      <c r="ES49" s="347"/>
      <c r="ET49" s="347"/>
      <c r="EU49" s="347"/>
      <c r="EV49" s="347"/>
      <c r="EW49" s="347"/>
      <c r="EX49" s="347"/>
      <c r="EY49" s="347"/>
      <c r="EZ49" s="347"/>
      <c r="FA49" s="347"/>
      <c r="FB49" s="347"/>
      <c r="FC49" s="347"/>
      <c r="FD49" s="347"/>
      <c r="FE49" s="347"/>
      <c r="FF49" s="347"/>
      <c r="FG49" s="347"/>
      <c r="FH49" s="347"/>
      <c r="FI49" s="347"/>
      <c r="FJ49" s="347"/>
      <c r="FK49" s="347"/>
      <c r="FL49" s="347"/>
      <c r="FM49" s="347"/>
      <c r="FN49" s="347"/>
      <c r="FO49" s="347"/>
      <c r="FP49" s="347"/>
      <c r="FQ49" s="347"/>
      <c r="FR49" s="347"/>
      <c r="FS49" s="347"/>
      <c r="FT49" s="347"/>
      <c r="FU49" s="347"/>
      <c r="FV49" s="347"/>
    </row>
    <row r="50" spans="1:178">
      <c r="A50" s="940" t="s">
        <v>412</v>
      </c>
      <c r="B50" s="66" t="s">
        <v>403</v>
      </c>
      <c r="C50" s="581" t="s">
        <v>352</v>
      </c>
      <c r="D50" s="581"/>
      <c r="E50" s="347"/>
      <c r="F50" s="885" t="s">
        <v>1</v>
      </c>
      <c r="G50" s="941">
        <f t="shared" si="58"/>
        <v>5453914136.0292702</v>
      </c>
      <c r="H50" s="941">
        <f t="shared" si="58"/>
        <v>4905444154.721076</v>
      </c>
      <c r="I50" s="941">
        <f t="shared" si="58"/>
        <v>3900695495.7033486</v>
      </c>
      <c r="J50" s="941">
        <f t="shared" si="58"/>
        <v>3067596743.0951667</v>
      </c>
      <c r="K50" s="941">
        <f t="shared" si="58"/>
        <v>3876674954.4495249</v>
      </c>
      <c r="L50" s="941">
        <f t="shared" si="58"/>
        <v>3858336254.0548792</v>
      </c>
      <c r="M50" s="941">
        <f t="shared" si="58"/>
        <v>4067847164.8143959</v>
      </c>
      <c r="N50" s="941">
        <f t="shared" si="58"/>
        <v>4345841855.0471687</v>
      </c>
      <c r="O50" s="941">
        <f t="shared" si="58"/>
        <v>4218013045.6939569</v>
      </c>
      <c r="P50" s="941">
        <f t="shared" si="58"/>
        <v>3630790624.94767</v>
      </c>
      <c r="Q50" s="941">
        <f t="shared" si="58"/>
        <v>3224134649.459631</v>
      </c>
      <c r="R50" s="941">
        <f t="shared" si="58"/>
        <v>3436720561.9541564</v>
      </c>
      <c r="S50" s="941">
        <f t="shared" si="58"/>
        <v>3558358775.2790899</v>
      </c>
      <c r="T50" s="941">
        <f t="shared" si="58"/>
        <v>3586757728.0434222</v>
      </c>
      <c r="U50" s="941">
        <f t="shared" si="58"/>
        <v>3307935770.1831083</v>
      </c>
      <c r="V50" s="941">
        <f t="shared" si="58"/>
        <v>2685210725.7549996</v>
      </c>
      <c r="W50" s="941">
        <f t="shared" si="58"/>
        <v>2559501472.9138155</v>
      </c>
      <c r="X50" s="941">
        <f t="shared" si="58"/>
        <v>2896627040.0403409</v>
      </c>
      <c r="Y50" s="941">
        <f t="shared" si="58"/>
        <v>3137323740.1857142</v>
      </c>
      <c r="Z50" s="941">
        <f t="shared" si="58"/>
        <v>3306797040.0799994</v>
      </c>
      <c r="AA50" s="941">
        <f t="shared" si="58"/>
        <v>3428381855.6414771</v>
      </c>
      <c r="AB50" s="941">
        <f t="shared" si="58"/>
        <v>3124217557.0450001</v>
      </c>
      <c r="AC50" s="941">
        <f t="shared" si="58"/>
        <v>3001539999.6045451</v>
      </c>
      <c r="AD50" s="941">
        <f t="shared" si="58"/>
        <v>3198572030.5437498</v>
      </c>
      <c r="AE50" s="941">
        <f t="shared" si="58"/>
        <v>3578945559.9192858</v>
      </c>
      <c r="AF50" s="941">
        <f t="shared" si="58"/>
        <v>3547090769.8147721</v>
      </c>
      <c r="AG50" s="941">
        <f t="shared" si="58"/>
        <v>3916722744.0544639</v>
      </c>
      <c r="AH50" s="941">
        <f t="shared" si="58"/>
        <v>4212146933.0049996</v>
      </c>
      <c r="AI50" s="941">
        <f t="shared" si="58"/>
        <v>4190381552.5062499</v>
      </c>
      <c r="AJ50" s="941">
        <f t="shared" si="58"/>
        <v>3711023030.5855975</v>
      </c>
      <c r="AK50" s="941">
        <f t="shared" si="58"/>
        <v>3740725655.3171053</v>
      </c>
      <c r="AL50" s="941">
        <f t="shared" si="58"/>
        <v>3482865709.5616074</v>
      </c>
      <c r="AM50" s="941">
        <f t="shared" si="58"/>
        <v>3220953463.3526788</v>
      </c>
      <c r="AN50" s="941">
        <f t="shared" si="58"/>
        <v>3306134940.3228569</v>
      </c>
      <c r="AO50" s="941">
        <f t="shared" si="58"/>
        <v>3600354474.252841</v>
      </c>
      <c r="AP50" s="941">
        <f t="shared" si="58"/>
        <v>3966743475</v>
      </c>
      <c r="AQ50" s="941">
        <f t="shared" si="58"/>
        <v>4172253780.0142856</v>
      </c>
      <c r="AR50" s="941">
        <f t="shared" si="58"/>
        <v>4633721435.082387</v>
      </c>
      <c r="AS50" s="941">
        <f t="shared" si="58"/>
        <v>4611895920.7000008</v>
      </c>
      <c r="AT50" s="941">
        <f t="shared" si="58"/>
        <v>4695092303.772727</v>
      </c>
      <c r="AU50" s="868">
        <f t="shared" si="58"/>
        <v>4413047736.2894735</v>
      </c>
      <c r="AV50" s="868">
        <f t="shared" si="58"/>
        <v>4536975490.2321415</v>
      </c>
      <c r="AW50" s="868">
        <f t="shared" si="58"/>
        <v>4851720214.7892857</v>
      </c>
      <c r="AX50" s="868">
        <f t="shared" si="58"/>
        <v>5529782889.7098227</v>
      </c>
      <c r="AY50" s="868">
        <f t="shared" si="58"/>
        <v>5301154049.250001</v>
      </c>
      <c r="AZ50" s="868">
        <f t="shared" si="58"/>
        <v>5480085542.1159086</v>
      </c>
      <c r="BA50" s="868">
        <f t="shared" si="58"/>
        <v>5585856504.8616076</v>
      </c>
      <c r="BB50" s="868">
        <f t="shared" si="58"/>
        <v>6070028497.0500002</v>
      </c>
      <c r="BC50" s="868">
        <f t="shared" si="58"/>
        <v>6123482499.686141</v>
      </c>
      <c r="BD50" s="868">
        <f t="shared" si="58"/>
        <v>4523333794.5044641</v>
      </c>
      <c r="BE50" s="868">
        <f t="shared" si="58"/>
        <v>4003700447.585</v>
      </c>
      <c r="BF50" s="868">
        <f t="shared" si="58"/>
        <v>4013095905.3272724</v>
      </c>
      <c r="BG50" s="868">
        <f t="shared" si="58"/>
        <v>4432019025.375001</v>
      </c>
      <c r="BH50" s="868">
        <f t="shared" si="58"/>
        <v>4613015941.6071415</v>
      </c>
      <c r="BI50" s="868">
        <f t="shared" si="58"/>
        <v>4906176217.2910719</v>
      </c>
      <c r="BJ50" s="868">
        <f t="shared" si="58"/>
        <v>4660164889.8348217</v>
      </c>
      <c r="BK50" s="868">
        <f t="shared" si="58"/>
        <v>3984847144.1771054</v>
      </c>
      <c r="BL50" s="868">
        <f t="shared" si="58"/>
        <v>4267416052.9891305</v>
      </c>
      <c r="BM50" s="868">
        <f t="shared" si="58"/>
        <v>3976574785.96875</v>
      </c>
      <c r="BN50" s="868">
        <f t="shared" si="58"/>
        <v>4239359042.6407146</v>
      </c>
      <c r="BO50" s="868">
        <f t="shared" si="58"/>
        <v>4238805489.9011359</v>
      </c>
      <c r="BP50" s="868">
        <f t="shared" si="58"/>
        <v>4549263022.8776789</v>
      </c>
      <c r="BQ50" s="868">
        <f t="shared" si="58"/>
        <v>4741876996.3342857</v>
      </c>
      <c r="BR50" s="868">
        <f t="shared" si="58"/>
        <v>4638839430.4035721</v>
      </c>
      <c r="BS50" s="868">
        <f t="shared" si="59"/>
        <v>4091385563.8625002</v>
      </c>
      <c r="BT50" s="868">
        <f t="shared" si="59"/>
        <v>2335317260.2022724</v>
      </c>
      <c r="BU50" s="868">
        <f t="shared" si="59"/>
        <v>1064039875.8071429</v>
      </c>
      <c r="BV50" s="868">
        <f t="shared" si="59"/>
        <v>1874676662.3499999</v>
      </c>
      <c r="BW50" s="868">
        <f t="shared" si="59"/>
        <v>3235605643.9852271</v>
      </c>
      <c r="BX50" s="868">
        <f t="shared" si="59"/>
        <v>3561789797.5571427</v>
      </c>
      <c r="BY50" s="868">
        <f t="shared" si="59"/>
        <v>3543766263.3800001</v>
      </c>
      <c r="BZ50" s="868">
        <f t="shared" si="59"/>
        <v>3498713090.2909088</v>
      </c>
      <c r="CA50" s="868">
        <f t="shared" si="59"/>
        <v>3467250821.713068</v>
      </c>
      <c r="CB50" s="868">
        <f t="shared" si="59"/>
        <v>3408647090.8607144</v>
      </c>
      <c r="CC50" s="868">
        <f t="shared" si="59"/>
        <v>3910696446.8625002</v>
      </c>
      <c r="CD50" s="868">
        <f t="shared" si="59"/>
        <v>4560981456.9399996</v>
      </c>
      <c r="CE50" s="868">
        <f t="shared" si="59"/>
        <v>5025259579.7467108</v>
      </c>
      <c r="CF50" s="868">
        <f t="shared" si="59"/>
        <v>5206368192.8035326</v>
      </c>
      <c r="CG50" s="868">
        <f t="shared" si="59"/>
        <v>5102634523.2196436</v>
      </c>
      <c r="CH50" s="868">
        <f t="shared" si="59"/>
        <v>5339362051.5865784</v>
      </c>
      <c r="CI50" s="868">
        <f t="shared" si="59"/>
        <v>5801633536.2488642</v>
      </c>
      <c r="CJ50" s="868">
        <f t="shared" si="59"/>
        <v>6239286753.0973196</v>
      </c>
      <c r="CK50" s="868">
        <f t="shared" si="59"/>
        <v>5821626795.3528566</v>
      </c>
      <c r="CL50" s="885">
        <f t="shared" si="59"/>
        <v>6157013065.3005676</v>
      </c>
      <c r="CM50" s="356">
        <f t="shared" si="15"/>
        <v>4110606681.0061455</v>
      </c>
      <c r="CN50" s="347"/>
      <c r="CO50" s="347"/>
      <c r="CP50" s="347"/>
      <c r="CQ50" s="347"/>
      <c r="CR50" s="347"/>
      <c r="CS50" s="347"/>
      <c r="CT50" s="347"/>
      <c r="CU50" s="347"/>
      <c r="CV50" s="347"/>
      <c r="CW50" s="347"/>
      <c r="CX50" s="347"/>
      <c r="CY50" s="347"/>
      <c r="CZ50" s="347"/>
      <c r="DA50" s="347"/>
      <c r="DB50" s="347"/>
      <c r="DC50" s="347"/>
      <c r="DD50" s="347"/>
      <c r="DE50" s="347"/>
      <c r="DF50" s="347"/>
      <c r="DG50" s="347"/>
      <c r="DH50" s="347"/>
      <c r="DI50" s="347"/>
      <c r="DJ50" s="347"/>
      <c r="DK50" s="347"/>
      <c r="DL50" s="347"/>
      <c r="DM50" s="347"/>
      <c r="DN50" s="347"/>
      <c r="DO50" s="347"/>
      <c r="DP50" s="347"/>
      <c r="DQ50" s="347"/>
      <c r="DR50" s="347"/>
      <c r="DS50" s="347"/>
      <c r="DT50" s="347"/>
      <c r="DU50" s="347"/>
      <c r="DV50" s="347"/>
      <c r="DW50" s="347"/>
      <c r="DX50" s="942"/>
      <c r="DY50" s="347"/>
      <c r="DZ50" s="347"/>
      <c r="EA50" s="347"/>
      <c r="EB50" s="347"/>
      <c r="EC50" s="347"/>
      <c r="ED50" s="347"/>
      <c r="EE50" s="347"/>
      <c r="EF50" s="347"/>
      <c r="EG50" s="347"/>
      <c r="EH50" s="347"/>
      <c r="EI50" s="347"/>
      <c r="EJ50" s="347"/>
      <c r="EK50" s="347"/>
      <c r="EL50" s="347"/>
      <c r="EM50" s="347"/>
      <c r="EN50" s="347"/>
      <c r="EO50" s="347"/>
      <c r="EP50" s="347"/>
      <c r="EQ50" s="347"/>
      <c r="ER50" s="347"/>
      <c r="ES50" s="347"/>
      <c r="ET50" s="347"/>
      <c r="EU50" s="347"/>
      <c r="EV50" s="347"/>
      <c r="EW50" s="347"/>
      <c r="EX50" s="347"/>
      <c r="EY50" s="347"/>
      <c r="EZ50" s="347"/>
      <c r="FA50" s="347"/>
      <c r="FB50" s="347"/>
      <c r="FC50" s="347"/>
      <c r="FD50" s="347"/>
      <c r="FE50" s="347"/>
      <c r="FF50" s="347"/>
      <c r="FG50" s="347"/>
      <c r="FH50" s="347"/>
      <c r="FI50" s="347"/>
      <c r="FJ50" s="347"/>
      <c r="FK50" s="347"/>
      <c r="FL50" s="347"/>
      <c r="FM50" s="347"/>
      <c r="FN50" s="347"/>
      <c r="FO50" s="347"/>
      <c r="FP50" s="347"/>
      <c r="FQ50" s="347"/>
      <c r="FR50" s="347"/>
      <c r="FS50" s="347"/>
      <c r="FT50" s="347"/>
      <c r="FU50" s="347"/>
      <c r="FV50" s="347"/>
    </row>
    <row r="51" spans="1:178">
      <c r="A51" s="940" t="s">
        <v>413</v>
      </c>
      <c r="B51" s="66" t="s">
        <v>403</v>
      </c>
      <c r="C51" s="581" t="s">
        <v>352</v>
      </c>
      <c r="D51" s="581"/>
      <c r="E51" s="347"/>
      <c r="F51" s="885" t="s">
        <v>421</v>
      </c>
      <c r="G51" s="941">
        <f t="shared" ref="G51:BR51" si="60">G47*$CO$5+G48*$CP$5+G49*$CQ$5+G50*$CR$5</f>
        <v>5594282374.3176212</v>
      </c>
      <c r="H51" s="941">
        <f t="shared" si="60"/>
        <v>5173563357.4122429</v>
      </c>
      <c r="I51" s="941">
        <f t="shared" si="60"/>
        <v>4499563346.4549847</v>
      </c>
      <c r="J51" s="941">
        <f t="shared" si="60"/>
        <v>3791206306.3406239</v>
      </c>
      <c r="K51" s="941">
        <f t="shared" si="60"/>
        <v>4323782384.9218655</v>
      </c>
      <c r="L51" s="941">
        <f t="shared" si="60"/>
        <v>4360509442.5437088</v>
      </c>
      <c r="M51" s="941">
        <f t="shared" si="60"/>
        <v>4462992943.4774351</v>
      </c>
      <c r="N51" s="941">
        <f t="shared" si="60"/>
        <v>4667359984.0741329</v>
      </c>
      <c r="O51" s="941">
        <f t="shared" si="60"/>
        <v>4454210585.0342875</v>
      </c>
      <c r="P51" s="941">
        <f t="shared" si="60"/>
        <v>4066167872.3315058</v>
      </c>
      <c r="Q51" s="941">
        <f t="shared" si="60"/>
        <v>3797702169.0856609</v>
      </c>
      <c r="R51" s="941">
        <f t="shared" si="60"/>
        <v>3869807508.529511</v>
      </c>
      <c r="S51" s="941">
        <f t="shared" si="60"/>
        <v>3981360802.4064398</v>
      </c>
      <c r="T51" s="941">
        <f t="shared" si="60"/>
        <v>4095268304.2977943</v>
      </c>
      <c r="U51" s="941">
        <f t="shared" si="60"/>
        <v>3892367900.7203512</v>
      </c>
      <c r="V51" s="941">
        <f t="shared" si="60"/>
        <v>3353245869.6776018</v>
      </c>
      <c r="W51" s="941">
        <f t="shared" si="60"/>
        <v>3178934759.169457</v>
      </c>
      <c r="X51" s="941">
        <f t="shared" si="60"/>
        <v>3373516241.3028793</v>
      </c>
      <c r="Y51" s="941">
        <f t="shared" si="60"/>
        <v>3455822086.85496</v>
      </c>
      <c r="Z51" s="941">
        <f t="shared" si="60"/>
        <v>3589878723.4430246</v>
      </c>
      <c r="AA51" s="941">
        <f t="shared" si="60"/>
        <v>3666541486.6940279</v>
      </c>
      <c r="AB51" s="941">
        <f t="shared" si="60"/>
        <v>3405542238.0561752</v>
      </c>
      <c r="AC51" s="941">
        <f t="shared" si="60"/>
        <v>3307085725.5323453</v>
      </c>
      <c r="AD51" s="941">
        <f t="shared" si="60"/>
        <v>3454664532.0207701</v>
      </c>
      <c r="AE51" s="941">
        <f t="shared" si="60"/>
        <v>3681623481.3937283</v>
      </c>
      <c r="AF51" s="941">
        <f t="shared" si="60"/>
        <v>3770997895.1783848</v>
      </c>
      <c r="AG51" s="941">
        <f t="shared" si="60"/>
        <v>3977420039.2125702</v>
      </c>
      <c r="AH51" s="941">
        <f t="shared" si="60"/>
        <v>4266304459.5690961</v>
      </c>
      <c r="AI51" s="941">
        <f t="shared" si="60"/>
        <v>4370840803.2461662</v>
      </c>
      <c r="AJ51" s="941">
        <f t="shared" si="60"/>
        <v>4018982038.4353666</v>
      </c>
      <c r="AK51" s="941">
        <f t="shared" si="60"/>
        <v>3901765050.0365887</v>
      </c>
      <c r="AL51" s="941">
        <f t="shared" si="60"/>
        <v>3641843692.4946337</v>
      </c>
      <c r="AM51" s="941">
        <f t="shared" si="60"/>
        <v>3478846357.8117657</v>
      </c>
      <c r="AN51" s="941">
        <f t="shared" si="60"/>
        <v>3476404075.0547767</v>
      </c>
      <c r="AO51" s="941">
        <f t="shared" si="60"/>
        <v>3781618417.4022398</v>
      </c>
      <c r="AP51" s="941">
        <f t="shared" si="60"/>
        <v>4099675179.4050322</v>
      </c>
      <c r="AQ51" s="941">
        <f t="shared" si="60"/>
        <v>4436048510.6458359</v>
      </c>
      <c r="AR51" s="941">
        <f t="shared" si="60"/>
        <v>4720888962.9012012</v>
      </c>
      <c r="AS51" s="941">
        <f t="shared" si="60"/>
        <v>4701435321.9240646</v>
      </c>
      <c r="AT51" s="941">
        <f t="shared" si="60"/>
        <v>4745835924.6629524</v>
      </c>
      <c r="AU51" s="868">
        <f t="shared" si="60"/>
        <v>4486923886.8557119</v>
      </c>
      <c r="AV51" s="868">
        <f t="shared" si="60"/>
        <v>4506211810.4702911</v>
      </c>
      <c r="AW51" s="868">
        <f t="shared" si="60"/>
        <v>4739885114.7518253</v>
      </c>
      <c r="AX51" s="868">
        <f t="shared" si="60"/>
        <v>5238519297.3539562</v>
      </c>
      <c r="AY51" s="868">
        <f t="shared" si="60"/>
        <v>5199344284.8259525</v>
      </c>
      <c r="AZ51" s="868">
        <f t="shared" si="60"/>
        <v>5325703404.1026039</v>
      </c>
      <c r="BA51" s="868">
        <f t="shared" si="60"/>
        <v>5458756555.372776</v>
      </c>
      <c r="BB51" s="868">
        <f t="shared" si="60"/>
        <v>5856158453.1712103</v>
      </c>
      <c r="BC51" s="868">
        <f t="shared" si="60"/>
        <v>6038736307.0417175</v>
      </c>
      <c r="BD51" s="868">
        <f t="shared" si="60"/>
        <v>4786055819.7204552</v>
      </c>
      <c r="BE51" s="868">
        <f t="shared" si="60"/>
        <v>4280751678.7648573</v>
      </c>
      <c r="BF51" s="868">
        <f t="shared" si="60"/>
        <v>4276641211.1479983</v>
      </c>
      <c r="BG51" s="868">
        <f t="shared" si="60"/>
        <v>4584043640.8679075</v>
      </c>
      <c r="BH51" s="868">
        <f t="shared" si="60"/>
        <v>4747323026.0497227</v>
      </c>
      <c r="BI51" s="868">
        <f t="shared" si="60"/>
        <v>5017833990.5048256</v>
      </c>
      <c r="BJ51" s="868">
        <f t="shared" si="60"/>
        <v>4880726027.8952904</v>
      </c>
      <c r="BK51" s="868">
        <f t="shared" si="60"/>
        <v>4280917416.4015627</v>
      </c>
      <c r="BL51" s="868">
        <f t="shared" si="60"/>
        <v>4355289119.4054499</v>
      </c>
      <c r="BM51" s="868">
        <f t="shared" si="60"/>
        <v>4210545392.0537095</v>
      </c>
      <c r="BN51" s="868">
        <f t="shared" si="60"/>
        <v>4349556269.2561655</v>
      </c>
      <c r="BO51" s="868">
        <f t="shared" si="60"/>
        <v>4395197291.0926237</v>
      </c>
      <c r="BP51" s="868">
        <f t="shared" si="60"/>
        <v>4618510187.4915981</v>
      </c>
      <c r="BQ51" s="868">
        <f t="shared" si="60"/>
        <v>4748851741.0613098</v>
      </c>
      <c r="BR51" s="868">
        <f t="shared" si="60"/>
        <v>4904401523.92309</v>
      </c>
      <c r="BS51" s="868">
        <f t="shared" ref="BS51:CL51" si="61">BS47*$CO$5+BS48*$CP$5+BS49*$CQ$5+BS50*$CR$5</f>
        <v>4481583234.818491</v>
      </c>
      <c r="BT51" s="868">
        <f t="shared" si="61"/>
        <v>3317654451.0860386</v>
      </c>
      <c r="BU51" s="868">
        <f t="shared" si="61"/>
        <v>2012234453.5714238</v>
      </c>
      <c r="BV51" s="868">
        <f t="shared" si="61"/>
        <v>2706497274.4883175</v>
      </c>
      <c r="BW51" s="868">
        <f t="shared" si="61"/>
        <v>3560603996.9947805</v>
      </c>
      <c r="BX51" s="868">
        <f t="shared" si="61"/>
        <v>3771052562.3817701</v>
      </c>
      <c r="BY51" s="868">
        <f t="shared" si="61"/>
        <v>3760825404.2989883</v>
      </c>
      <c r="BZ51" s="868">
        <f t="shared" si="61"/>
        <v>3726781780.0208316</v>
      </c>
      <c r="CA51" s="868">
        <f t="shared" si="61"/>
        <v>3637178006.4173012</v>
      </c>
      <c r="CB51" s="868">
        <f t="shared" si="61"/>
        <v>3706931532.4413023</v>
      </c>
      <c r="CC51" s="868">
        <f t="shared" si="61"/>
        <v>4047114336.8817959</v>
      </c>
      <c r="CD51" s="868">
        <f t="shared" si="61"/>
        <v>4602148082.2619419</v>
      </c>
      <c r="CE51" s="868">
        <f t="shared" si="61"/>
        <v>4986842577.2352552</v>
      </c>
      <c r="CF51" s="868">
        <f t="shared" si="61"/>
        <v>5124761616.9736929</v>
      </c>
      <c r="CG51" s="868">
        <f t="shared" si="61"/>
        <v>4976278553.0529375</v>
      </c>
      <c r="CH51" s="868">
        <f t="shared" si="61"/>
        <v>4989506880.9188747</v>
      </c>
      <c r="CI51" s="868">
        <f t="shared" si="61"/>
        <v>5362951372.9011879</v>
      </c>
      <c r="CJ51" s="868">
        <f t="shared" si="61"/>
        <v>5810373283.5208158</v>
      </c>
      <c r="CK51" s="868">
        <f t="shared" si="61"/>
        <v>5607593086.7550402</v>
      </c>
      <c r="CL51" s="885">
        <f t="shared" si="61"/>
        <v>5823493600.0839357</v>
      </c>
      <c r="CM51" s="356">
        <f t="shared" si="15"/>
        <v>4311728532.0328703</v>
      </c>
      <c r="CN51" s="347"/>
      <c r="CO51" s="347"/>
      <c r="CP51" s="347"/>
      <c r="CQ51" s="347"/>
      <c r="CR51" s="347"/>
      <c r="CS51" s="347"/>
      <c r="CT51" s="347"/>
      <c r="CU51" s="347"/>
      <c r="CV51" s="347"/>
      <c r="CW51" s="347"/>
      <c r="CX51" s="347"/>
      <c r="CY51" s="347"/>
      <c r="CZ51" s="347"/>
      <c r="DA51" s="347"/>
      <c r="DB51" s="347"/>
      <c r="DC51" s="347"/>
      <c r="DD51" s="347"/>
      <c r="DE51" s="347"/>
      <c r="DF51" s="347"/>
      <c r="DG51" s="347"/>
      <c r="DH51" s="347"/>
      <c r="DI51" s="347"/>
      <c r="DJ51" s="347"/>
      <c r="DK51" s="347"/>
      <c r="DL51" s="347"/>
      <c r="DM51" s="347"/>
      <c r="DN51" s="347"/>
      <c r="DO51" s="347"/>
      <c r="DP51" s="347"/>
      <c r="DQ51" s="347"/>
      <c r="DR51" s="347"/>
      <c r="DS51" s="347"/>
      <c r="DT51" s="347"/>
      <c r="DU51" s="347"/>
      <c r="DV51" s="347"/>
      <c r="DW51" s="347"/>
      <c r="DX51" s="347"/>
      <c r="DY51" s="347"/>
      <c r="DZ51" s="347"/>
      <c r="EA51" s="347"/>
      <c r="EB51" s="347"/>
      <c r="EC51" s="347"/>
      <c r="ED51" s="347"/>
      <c r="EE51" s="347"/>
      <c r="EF51" s="347"/>
      <c r="EG51" s="347"/>
      <c r="EH51" s="347"/>
      <c r="EI51" s="347"/>
      <c r="EJ51" s="347"/>
      <c r="EK51" s="347"/>
      <c r="EL51" s="347"/>
      <c r="EM51" s="347"/>
      <c r="EN51" s="347"/>
      <c r="EO51" s="347"/>
      <c r="EP51" s="347"/>
      <c r="EQ51" s="347"/>
      <c r="ER51" s="347"/>
      <c r="ES51" s="347"/>
      <c r="ET51" s="347"/>
      <c r="EU51" s="347"/>
      <c r="EV51" s="347"/>
      <c r="EW51" s="347"/>
      <c r="EX51" s="347"/>
      <c r="EY51" s="347"/>
      <c r="EZ51" s="347"/>
      <c r="FA51" s="347"/>
      <c r="FB51" s="347"/>
      <c r="FC51" s="347"/>
      <c r="FD51" s="347"/>
      <c r="FE51" s="347"/>
      <c r="FF51" s="347"/>
      <c r="FG51" s="347"/>
      <c r="FH51" s="347"/>
      <c r="FI51" s="347"/>
      <c r="FJ51" s="347"/>
      <c r="FK51" s="347"/>
      <c r="FL51" s="347"/>
      <c r="FM51" s="347"/>
      <c r="FN51" s="347"/>
      <c r="FO51" s="347"/>
      <c r="FP51" s="347"/>
      <c r="FQ51" s="347"/>
      <c r="FR51" s="347"/>
      <c r="FS51" s="347"/>
      <c r="FT51" s="347"/>
      <c r="FU51" s="347"/>
      <c r="FV51" s="347"/>
    </row>
    <row r="52" spans="1:178">
      <c r="A52" s="940" t="s">
        <v>414</v>
      </c>
      <c r="B52" s="66" t="s">
        <v>403</v>
      </c>
      <c r="C52" s="581" t="s">
        <v>352</v>
      </c>
      <c r="D52" s="581"/>
      <c r="E52" s="347"/>
      <c r="F52" s="885" t="s">
        <v>422</v>
      </c>
      <c r="G52" s="941">
        <f t="shared" ref="G52:BR52" si="62">$CO$6*G47+G48*$CP$6+G49*$CQ$6+G50*$CR$6</f>
        <v>2719449412.2546101</v>
      </c>
      <c r="H52" s="941">
        <f t="shared" si="62"/>
        <v>2392943758.0030341</v>
      </c>
      <c r="I52" s="941">
        <f t="shared" si="62"/>
        <v>1982015424.1228628</v>
      </c>
      <c r="J52" s="941">
        <f t="shared" si="62"/>
        <v>1562390716.7049241</v>
      </c>
      <c r="K52" s="941">
        <f t="shared" si="62"/>
        <v>1882745908.7608635</v>
      </c>
      <c r="L52" s="941">
        <f t="shared" si="62"/>
        <v>1896582339.1168604</v>
      </c>
      <c r="M52" s="941">
        <f t="shared" si="62"/>
        <v>1960561033.7437599</v>
      </c>
      <c r="N52" s="941">
        <f t="shared" si="62"/>
        <v>2076679512.0642092</v>
      </c>
      <c r="O52" s="941">
        <f t="shared" si="62"/>
        <v>1983494703.2530849</v>
      </c>
      <c r="P52" s="941">
        <f t="shared" si="62"/>
        <v>1750421218.8174043</v>
      </c>
      <c r="Q52" s="941">
        <f t="shared" si="62"/>
        <v>1580187864.148921</v>
      </c>
      <c r="R52" s="941">
        <f t="shared" si="62"/>
        <v>1617107936.1716404</v>
      </c>
      <c r="S52" s="941">
        <f t="shared" si="62"/>
        <v>1689167417.3447528</v>
      </c>
      <c r="T52" s="941">
        <f t="shared" si="62"/>
        <v>1752861736.5507257</v>
      </c>
      <c r="U52" s="941">
        <f t="shared" si="62"/>
        <v>1700112534.9154286</v>
      </c>
      <c r="V52" s="941">
        <f t="shared" si="62"/>
        <v>1373564937.8245227</v>
      </c>
      <c r="W52" s="941">
        <f t="shared" si="62"/>
        <v>1265616456.0618873</v>
      </c>
      <c r="X52" s="941">
        <f t="shared" si="62"/>
        <v>1390396043.7893007</v>
      </c>
      <c r="Y52" s="941">
        <f t="shared" si="62"/>
        <v>1507445765.1164412</v>
      </c>
      <c r="Z52" s="941">
        <f t="shared" si="62"/>
        <v>1588306290.8638322</v>
      </c>
      <c r="AA52" s="941">
        <f t="shared" si="62"/>
        <v>1631848878.2408819</v>
      </c>
      <c r="AB52" s="941">
        <f t="shared" si="62"/>
        <v>1474729578.7147505</v>
      </c>
      <c r="AC52" s="941">
        <f t="shared" si="62"/>
        <v>1414762278.6811533</v>
      </c>
      <c r="AD52" s="941">
        <f t="shared" si="62"/>
        <v>1505793824.4488356</v>
      </c>
      <c r="AE52" s="941">
        <f t="shared" si="62"/>
        <v>1692494900.286974</v>
      </c>
      <c r="AF52" s="941">
        <f t="shared" si="62"/>
        <v>1742652383.0486789</v>
      </c>
      <c r="AG52" s="941">
        <f t="shared" si="62"/>
        <v>1867583927.3867893</v>
      </c>
      <c r="AH52" s="941">
        <f t="shared" si="62"/>
        <v>2041908157.3656535</v>
      </c>
      <c r="AI52" s="941">
        <f t="shared" si="62"/>
        <v>2109651194.0139375</v>
      </c>
      <c r="AJ52" s="941">
        <f t="shared" si="62"/>
        <v>1904157314.6611683</v>
      </c>
      <c r="AK52" s="941">
        <f t="shared" si="62"/>
        <v>1835740960.9380231</v>
      </c>
      <c r="AL52" s="941">
        <f t="shared" si="62"/>
        <v>1675792191.5914035</v>
      </c>
      <c r="AM52" s="941">
        <f t="shared" si="62"/>
        <v>1577397327.5837631</v>
      </c>
      <c r="AN52" s="941">
        <f t="shared" si="62"/>
        <v>1578208634.8215792</v>
      </c>
      <c r="AO52" s="941">
        <f t="shared" si="62"/>
        <v>1763199425.1270843</v>
      </c>
      <c r="AP52" s="941">
        <f t="shared" si="62"/>
        <v>1951375591.4416351</v>
      </c>
      <c r="AQ52" s="941">
        <f t="shared" si="62"/>
        <v>2114799157.345376</v>
      </c>
      <c r="AR52" s="941">
        <f t="shared" si="62"/>
        <v>2286987047.4626584</v>
      </c>
      <c r="AS52" s="941">
        <f t="shared" si="62"/>
        <v>2276920666.4795094</v>
      </c>
      <c r="AT52" s="941">
        <f t="shared" si="62"/>
        <v>2304393636.6116586</v>
      </c>
      <c r="AU52" s="868">
        <f t="shared" si="62"/>
        <v>2145777714.7147787</v>
      </c>
      <c r="AV52" s="868">
        <f t="shared" si="62"/>
        <v>2156673923.3969927</v>
      </c>
      <c r="AW52" s="868">
        <f t="shared" si="62"/>
        <v>2279782112.2117043</v>
      </c>
      <c r="AX52" s="868">
        <f t="shared" si="62"/>
        <v>2574338501.3820534</v>
      </c>
      <c r="AY52" s="868">
        <f t="shared" si="62"/>
        <v>2547537715.8744478</v>
      </c>
      <c r="AZ52" s="868">
        <f t="shared" si="62"/>
        <v>2622118375.2397747</v>
      </c>
      <c r="BA52" s="868">
        <f t="shared" si="62"/>
        <v>2696336101.1449442</v>
      </c>
      <c r="BB52" s="868">
        <f t="shared" si="62"/>
        <v>2926964404.0568633</v>
      </c>
      <c r="BC52" s="868">
        <f t="shared" si="62"/>
        <v>3000854789.7024574</v>
      </c>
      <c r="BD52" s="868">
        <f t="shared" si="62"/>
        <v>2255410689.9339762</v>
      </c>
      <c r="BE52" s="868">
        <f t="shared" si="62"/>
        <v>1954246474.8520045</v>
      </c>
      <c r="BF52" s="868">
        <f t="shared" si="62"/>
        <v>1951214297.407954</v>
      </c>
      <c r="BG52" s="868">
        <f t="shared" si="62"/>
        <v>2138730855.13256</v>
      </c>
      <c r="BH52" s="868">
        <f t="shared" si="62"/>
        <v>2244801748.9080849</v>
      </c>
      <c r="BI52" s="868">
        <f t="shared" si="62"/>
        <v>2375887785.7800608</v>
      </c>
      <c r="BJ52" s="868">
        <f t="shared" si="62"/>
        <v>2289802196.3781495</v>
      </c>
      <c r="BK52" s="868">
        <f t="shared" si="62"/>
        <v>1930881577.1832635</v>
      </c>
      <c r="BL52" s="868">
        <f t="shared" si="62"/>
        <v>1977452552.1136813</v>
      </c>
      <c r="BM52" s="868">
        <f t="shared" si="62"/>
        <v>1879594351.8781304</v>
      </c>
      <c r="BN52" s="868">
        <f t="shared" si="62"/>
        <v>1966486651.6041799</v>
      </c>
      <c r="BO52" s="868">
        <f t="shared" si="62"/>
        <v>2037416034.0033569</v>
      </c>
      <c r="BP52" s="868">
        <f t="shared" si="62"/>
        <v>2168705047.7365303</v>
      </c>
      <c r="BQ52" s="868">
        <f t="shared" si="62"/>
        <v>2248766280.9170475</v>
      </c>
      <c r="BR52" s="868">
        <f t="shared" si="62"/>
        <v>2341569272.2051468</v>
      </c>
      <c r="BS52" s="868">
        <f t="shared" ref="BS52:CL52" si="63">$CO$6*BS47+BS48*$CP$6+BS49*$CQ$6+BS50*$CR$6</f>
        <v>2085826001.7917588</v>
      </c>
      <c r="BT52" s="868">
        <f t="shared" si="63"/>
        <v>1372147962.4409654</v>
      </c>
      <c r="BU52" s="868">
        <f t="shared" si="63"/>
        <v>665438392.58882618</v>
      </c>
      <c r="BV52" s="868">
        <f t="shared" si="63"/>
        <v>1082909317.1692023</v>
      </c>
      <c r="BW52" s="868">
        <f t="shared" si="63"/>
        <v>1596465613.0554061</v>
      </c>
      <c r="BX52" s="868">
        <f t="shared" si="63"/>
        <v>1725547864.2143292</v>
      </c>
      <c r="BY52" s="868">
        <f t="shared" si="63"/>
        <v>1721581992.7869358</v>
      </c>
      <c r="BZ52" s="868">
        <f t="shared" si="63"/>
        <v>1704338015.0813341</v>
      </c>
      <c r="CA52" s="868">
        <f t="shared" si="63"/>
        <v>1709617999.6308484</v>
      </c>
      <c r="CB52" s="868">
        <f t="shared" si="63"/>
        <v>1750300848.378644</v>
      </c>
      <c r="CC52" s="868">
        <f t="shared" si="63"/>
        <v>1956566288.0774102</v>
      </c>
      <c r="CD52" s="868">
        <f t="shared" si="63"/>
        <v>2288612396.1291871</v>
      </c>
      <c r="CE52" s="868">
        <f t="shared" si="63"/>
        <v>2519691320.204751</v>
      </c>
      <c r="CF52" s="868">
        <f t="shared" si="63"/>
        <v>2602522301.6545215</v>
      </c>
      <c r="CG52" s="868">
        <f t="shared" si="63"/>
        <v>2509457095.5634456</v>
      </c>
      <c r="CH52" s="868">
        <f t="shared" si="63"/>
        <v>2523366271.3621449</v>
      </c>
      <c r="CI52" s="868">
        <f t="shared" si="63"/>
        <v>2746482252.1657815</v>
      </c>
      <c r="CJ52" s="868">
        <f t="shared" si="63"/>
        <v>3014111894.7936287</v>
      </c>
      <c r="CK52" s="868">
        <f t="shared" si="63"/>
        <v>2892302473.9612589</v>
      </c>
      <c r="CL52" s="885">
        <f t="shared" si="63"/>
        <v>3023060809.7565975</v>
      </c>
      <c r="CM52" s="356">
        <f t="shared" si="15"/>
        <v>2007430293.4576867</v>
      </c>
      <c r="CN52" s="347"/>
      <c r="CO52" s="347"/>
      <c r="CP52" s="347"/>
      <c r="CQ52" s="347"/>
      <c r="CR52" s="347"/>
      <c r="CS52" s="347"/>
      <c r="CT52" s="347"/>
      <c r="CU52" s="347"/>
      <c r="CV52" s="347"/>
      <c r="CW52" s="347"/>
      <c r="CX52" s="347"/>
      <c r="CY52" s="347"/>
      <c r="CZ52" s="347"/>
      <c r="DA52" s="347"/>
      <c r="DB52" s="347"/>
      <c r="DC52" s="347"/>
      <c r="DD52" s="347"/>
      <c r="DE52" s="347"/>
      <c r="DF52" s="347"/>
      <c r="DG52" s="347"/>
      <c r="DH52" s="347"/>
      <c r="DI52" s="347"/>
      <c r="DJ52" s="347"/>
      <c r="DK52" s="347"/>
      <c r="DL52" s="347"/>
      <c r="DM52" s="347"/>
      <c r="DN52" s="347"/>
      <c r="DO52" s="347"/>
      <c r="DP52" s="347"/>
      <c r="DQ52" s="347"/>
      <c r="DR52" s="347"/>
      <c r="DS52" s="347"/>
      <c r="DT52" s="347"/>
      <c r="DU52" s="347"/>
      <c r="DV52" s="347"/>
      <c r="DW52" s="347"/>
      <c r="DX52" s="347"/>
      <c r="DY52" s="347"/>
      <c r="DZ52" s="347"/>
      <c r="EA52" s="347"/>
      <c r="EB52" s="347"/>
      <c r="EC52" s="347"/>
      <c r="ED52" s="347"/>
      <c r="EE52" s="347"/>
      <c r="EF52" s="347"/>
      <c r="EG52" s="347"/>
      <c r="EH52" s="347"/>
      <c r="EI52" s="347"/>
      <c r="EJ52" s="347"/>
      <c r="EK52" s="347"/>
      <c r="EL52" s="347"/>
      <c r="EM52" s="347"/>
      <c r="EN52" s="347"/>
      <c r="EO52" s="347"/>
      <c r="EP52" s="347"/>
      <c r="EQ52" s="347"/>
      <c r="ER52" s="347"/>
      <c r="ES52" s="347"/>
      <c r="ET52" s="347"/>
      <c r="EU52" s="347"/>
      <c r="EV52" s="347"/>
      <c r="EW52" s="347"/>
      <c r="EX52" s="347"/>
      <c r="EY52" s="347"/>
      <c r="EZ52" s="347"/>
      <c r="FA52" s="347"/>
      <c r="FB52" s="347"/>
      <c r="FC52" s="347"/>
      <c r="FD52" s="347"/>
      <c r="FE52" s="347"/>
      <c r="FF52" s="347"/>
      <c r="FG52" s="347"/>
      <c r="FH52" s="347"/>
      <c r="FI52" s="347"/>
      <c r="FJ52" s="347"/>
      <c r="FK52" s="347"/>
      <c r="FL52" s="347"/>
      <c r="FM52" s="347"/>
      <c r="FN52" s="347"/>
      <c r="FO52" s="347"/>
      <c r="FP52" s="347"/>
      <c r="FQ52" s="347"/>
      <c r="FR52" s="347"/>
      <c r="FS52" s="347"/>
      <c r="FT52" s="347"/>
      <c r="FU52" s="347"/>
      <c r="FV52" s="347"/>
    </row>
    <row r="53" spans="1:178" s="75" customFormat="1">
      <c r="A53" s="940" t="s">
        <v>415</v>
      </c>
      <c r="B53" s="66" t="s">
        <v>403</v>
      </c>
      <c r="C53" s="940"/>
      <c r="D53" s="940"/>
      <c r="E53" s="721"/>
      <c r="F53" s="885" t="s">
        <v>423</v>
      </c>
      <c r="G53" s="943">
        <f t="shared" ref="G53:BR53" si="64">G51/(G3*G13+G14*G4+G5*G15+G16*G6)</f>
        <v>0.67289666276618654</v>
      </c>
      <c r="H53" s="943">
        <f t="shared" si="64"/>
        <v>0.68374525768595662</v>
      </c>
      <c r="I53" s="943">
        <f t="shared" si="64"/>
        <v>0.6942079246001106</v>
      </c>
      <c r="J53" s="943">
        <f t="shared" si="64"/>
        <v>0.7081605675624586</v>
      </c>
      <c r="K53" s="943">
        <f t="shared" si="64"/>
        <v>0.69665071684645297</v>
      </c>
      <c r="L53" s="943">
        <f t="shared" si="64"/>
        <v>0.69689075927003163</v>
      </c>
      <c r="M53" s="943">
        <f t="shared" si="64"/>
        <v>0.69478562168292213</v>
      </c>
      <c r="N53" s="943">
        <f t="shared" si="64"/>
        <v>0.6920718638653699</v>
      </c>
      <c r="O53" s="943">
        <f t="shared" si="64"/>
        <v>0.69189414326533183</v>
      </c>
      <c r="P53" s="943">
        <f t="shared" si="64"/>
        <v>0.69906397179044055</v>
      </c>
      <c r="Q53" s="943">
        <f t="shared" si="64"/>
        <v>0.70616954709308144</v>
      </c>
      <c r="R53" s="943">
        <f t="shared" si="64"/>
        <v>0.70527923157020389</v>
      </c>
      <c r="S53" s="943">
        <f t="shared" si="64"/>
        <v>0.70211462638327748</v>
      </c>
      <c r="T53" s="943">
        <f t="shared" si="64"/>
        <v>0.70026970599025895</v>
      </c>
      <c r="U53" s="943">
        <f t="shared" si="64"/>
        <v>0.69600027134969278</v>
      </c>
      <c r="V53" s="943">
        <f t="shared" si="64"/>
        <v>0.70940979155660744</v>
      </c>
      <c r="W53" s="943">
        <f t="shared" si="64"/>
        <v>0.71524313822177199</v>
      </c>
      <c r="X53" s="943">
        <f t="shared" si="64"/>
        <v>0.70813987315839144</v>
      </c>
      <c r="Y53" s="943">
        <f t="shared" si="64"/>
        <v>0.6962795863379232</v>
      </c>
      <c r="Z53" s="943">
        <f t="shared" si="64"/>
        <v>0.6932696907361392</v>
      </c>
      <c r="AA53" s="943">
        <f t="shared" si="64"/>
        <v>0.69201044735386741</v>
      </c>
      <c r="AB53" s="943">
        <f t="shared" si="64"/>
        <v>0.697818147414068</v>
      </c>
      <c r="AC53" s="943">
        <f t="shared" si="64"/>
        <v>0.70037953838863443</v>
      </c>
      <c r="AD53" s="943">
        <f t="shared" si="64"/>
        <v>0.69644058749431381</v>
      </c>
      <c r="AE53" s="943">
        <f t="shared" si="64"/>
        <v>0.68506557167472315</v>
      </c>
      <c r="AF53" s="943">
        <f t="shared" si="64"/>
        <v>0.68393853525127168</v>
      </c>
      <c r="AG53" s="943">
        <f t="shared" si="64"/>
        <v>0.68048200855655616</v>
      </c>
      <c r="AH53" s="943">
        <f t="shared" si="64"/>
        <v>0.67630955369449075</v>
      </c>
      <c r="AI53" s="943">
        <f t="shared" si="64"/>
        <v>0.67446126082620272</v>
      </c>
      <c r="AJ53" s="943">
        <f t="shared" si="64"/>
        <v>0.67852228334528353</v>
      </c>
      <c r="AK53" s="943">
        <f t="shared" si="64"/>
        <v>0.680045483625351</v>
      </c>
      <c r="AL53" s="943">
        <f t="shared" si="64"/>
        <v>0.68486142561838304</v>
      </c>
      <c r="AM53" s="943">
        <f t="shared" si="64"/>
        <v>0.68802980518128054</v>
      </c>
      <c r="AN53" s="943">
        <f t="shared" si="64"/>
        <v>0.68776863324506121</v>
      </c>
      <c r="AO53" s="943">
        <f t="shared" si="64"/>
        <v>0.68200949513559073</v>
      </c>
      <c r="AP53" s="943">
        <f t="shared" si="64"/>
        <v>0.67751458955803856</v>
      </c>
      <c r="AQ53" s="943">
        <f t="shared" si="64"/>
        <v>0.67717167845640491</v>
      </c>
      <c r="AR53" s="943">
        <f t="shared" si="64"/>
        <v>0.67365475015818455</v>
      </c>
      <c r="AS53" s="943">
        <f t="shared" si="64"/>
        <v>0.6737167507270726</v>
      </c>
      <c r="AT53" s="943">
        <f t="shared" si="64"/>
        <v>0.67314629735332376</v>
      </c>
      <c r="AU53" s="944">
        <f t="shared" si="64"/>
        <v>0.67648511215901808</v>
      </c>
      <c r="AV53" s="944">
        <f t="shared" si="64"/>
        <v>0.67631533699660018</v>
      </c>
      <c r="AW53" s="944">
        <f t="shared" si="64"/>
        <v>0.67522931807155473</v>
      </c>
      <c r="AX53" s="944">
        <f t="shared" si="64"/>
        <v>0.67049976235347086</v>
      </c>
      <c r="AY53" s="944">
        <f t="shared" si="64"/>
        <v>0.67115315353401228</v>
      </c>
      <c r="AZ53" s="944">
        <f t="shared" si="64"/>
        <v>0.67008339542098605</v>
      </c>
      <c r="BA53" s="944">
        <f t="shared" si="64"/>
        <v>0.66936781533806655</v>
      </c>
      <c r="BB53" s="944">
        <f t="shared" si="64"/>
        <v>0.66675128520511162</v>
      </c>
      <c r="BC53" s="944">
        <f t="shared" si="64"/>
        <v>0.66803202074225598</v>
      </c>
      <c r="BD53" s="944">
        <f t="shared" si="64"/>
        <v>0.67969588624164845</v>
      </c>
      <c r="BE53" s="944">
        <f t="shared" si="64"/>
        <v>0.68656823519372423</v>
      </c>
      <c r="BF53" s="944">
        <f t="shared" si="64"/>
        <v>0.6866956378921546</v>
      </c>
      <c r="BG53" s="944">
        <f t="shared" si="64"/>
        <v>0.68186782757551367</v>
      </c>
      <c r="BH53" s="944">
        <f t="shared" si="64"/>
        <v>0.67895284750240581</v>
      </c>
      <c r="BI53" s="944">
        <f t="shared" si="64"/>
        <v>0.67866145661571409</v>
      </c>
      <c r="BJ53" s="944">
        <f t="shared" si="64"/>
        <v>0.68066478162281185</v>
      </c>
      <c r="BK53" s="944">
        <f t="shared" si="64"/>
        <v>0.68915903763509379</v>
      </c>
      <c r="BL53" s="944">
        <f t="shared" si="64"/>
        <v>0.6877414783857243</v>
      </c>
      <c r="BM53" s="944">
        <f t="shared" si="64"/>
        <v>0.69137089937042229</v>
      </c>
      <c r="BN53" s="944">
        <f t="shared" si="64"/>
        <v>0.68865210761799045</v>
      </c>
      <c r="BO53" s="944">
        <f t="shared" si="64"/>
        <v>0.68326775899078995</v>
      </c>
      <c r="BP53" s="944">
        <f t="shared" si="64"/>
        <v>0.68047203859394967</v>
      </c>
      <c r="BQ53" s="944">
        <f t="shared" si="64"/>
        <v>0.67863832037501248</v>
      </c>
      <c r="BR53" s="944">
        <f t="shared" si="64"/>
        <v>0.67684533403635505</v>
      </c>
      <c r="BS53" s="944">
        <f t="shared" ref="BS53:CL53" si="65">BS51/(BS3*BS13+BS14*BS4+BS5*BS15+BS16*BS6)</f>
        <v>0.68239743761295557</v>
      </c>
      <c r="BT53" s="944">
        <f t="shared" si="65"/>
        <v>0.7074188118281447</v>
      </c>
      <c r="BU53" s="944">
        <f t="shared" si="65"/>
        <v>0.75148629768455233</v>
      </c>
      <c r="BV53" s="944">
        <f t="shared" si="65"/>
        <v>0.71422720392336458</v>
      </c>
      <c r="BW53" s="944">
        <f t="shared" si="65"/>
        <v>0.69043163389840889</v>
      </c>
      <c r="BX53" s="944">
        <f t="shared" si="65"/>
        <v>0.68606998320907309</v>
      </c>
      <c r="BY53" s="944">
        <f t="shared" si="65"/>
        <v>0.6859806526413903</v>
      </c>
      <c r="BZ53" s="944">
        <f t="shared" si="65"/>
        <v>0.6861903107682652</v>
      </c>
      <c r="CA53" s="944">
        <f t="shared" si="65"/>
        <v>0.68025374491621249</v>
      </c>
      <c r="CB53" s="944">
        <f t="shared" si="65"/>
        <v>0.67926950398332453</v>
      </c>
      <c r="CC53" s="944">
        <f t="shared" si="65"/>
        <v>0.67410553453770627</v>
      </c>
      <c r="CD53" s="944">
        <f t="shared" si="65"/>
        <v>0.66787230476141324</v>
      </c>
      <c r="CE53" s="944">
        <f t="shared" si="65"/>
        <v>0.66433358529639697</v>
      </c>
      <c r="CF53" s="944">
        <f t="shared" si="65"/>
        <v>0.6632034840365314</v>
      </c>
      <c r="CG53" s="944">
        <f t="shared" si="65"/>
        <v>0.66476813858270856</v>
      </c>
      <c r="CH53" s="944">
        <f t="shared" si="65"/>
        <v>0.66412766191906047</v>
      </c>
      <c r="CI53" s="944">
        <f t="shared" si="65"/>
        <v>0.6613225560320064</v>
      </c>
      <c r="CJ53" s="944">
        <f t="shared" si="65"/>
        <v>0.65843765002851395</v>
      </c>
      <c r="CK53" s="944">
        <f t="shared" si="65"/>
        <v>0.65972493975943391</v>
      </c>
      <c r="CL53" s="945">
        <f t="shared" si="65"/>
        <v>0.65827816461583355</v>
      </c>
      <c r="CM53" s="946">
        <f t="shared" si="15"/>
        <v>0.68474952669400468</v>
      </c>
      <c r="CN53" s="721"/>
      <c r="CO53" s="721"/>
      <c r="CP53" s="721"/>
      <c r="CQ53" s="721"/>
      <c r="CR53" s="721"/>
      <c r="CS53" s="721"/>
      <c r="CT53" s="721"/>
      <c r="CU53" s="721"/>
      <c r="CV53" s="721"/>
      <c r="CW53" s="721"/>
      <c r="CX53" s="721"/>
      <c r="CY53" s="721"/>
      <c r="CZ53" s="721"/>
      <c r="DA53" s="721"/>
      <c r="DB53" s="721"/>
      <c r="DC53" s="721"/>
      <c r="DD53" s="721"/>
      <c r="DE53" s="721"/>
      <c r="DF53" s="721"/>
      <c r="DG53" s="721"/>
      <c r="DH53" s="721"/>
      <c r="DI53" s="721"/>
      <c r="DJ53" s="721"/>
      <c r="DK53" s="721"/>
      <c r="DL53" s="721"/>
      <c r="DM53" s="721"/>
      <c r="DN53" s="721"/>
      <c r="DO53" s="721"/>
      <c r="DP53" s="721"/>
      <c r="DQ53" s="721"/>
      <c r="DR53" s="721"/>
      <c r="DS53" s="721"/>
      <c r="DT53" s="721"/>
      <c r="DU53" s="721"/>
      <c r="DV53" s="721"/>
      <c r="DW53" s="721"/>
      <c r="DX53" s="721"/>
      <c r="DY53" s="721"/>
      <c r="DZ53" s="721"/>
      <c r="EA53" s="721"/>
      <c r="EB53" s="721"/>
      <c r="EC53" s="721"/>
      <c r="ED53" s="721"/>
      <c r="EE53" s="721"/>
      <c r="EF53" s="721"/>
      <c r="EG53" s="721"/>
      <c r="EH53" s="721"/>
      <c r="EI53" s="721"/>
      <c r="EJ53" s="721"/>
      <c r="EK53" s="721"/>
      <c r="EL53" s="721"/>
      <c r="EM53" s="721"/>
      <c r="EN53" s="721"/>
      <c r="EO53" s="721"/>
      <c r="EP53" s="721"/>
      <c r="EQ53" s="721"/>
      <c r="ER53" s="721"/>
      <c r="ES53" s="721"/>
      <c r="ET53" s="721"/>
      <c r="EU53" s="721"/>
      <c r="EV53" s="721"/>
      <c r="EW53" s="721"/>
      <c r="EX53" s="721"/>
      <c r="EY53" s="721"/>
      <c r="EZ53" s="721"/>
      <c r="FA53" s="721"/>
      <c r="FB53" s="721"/>
      <c r="FC53" s="721"/>
      <c r="FD53" s="721"/>
      <c r="FE53" s="721"/>
      <c r="FF53" s="721"/>
      <c r="FG53" s="721"/>
      <c r="FH53" s="721"/>
      <c r="FI53" s="721"/>
      <c r="FJ53" s="721"/>
      <c r="FK53" s="721"/>
      <c r="FL53" s="721"/>
      <c r="FM53" s="721"/>
      <c r="FN53" s="721"/>
      <c r="FO53" s="721"/>
      <c r="FP53" s="721"/>
      <c r="FQ53" s="721"/>
      <c r="FR53" s="721"/>
      <c r="FS53" s="721"/>
      <c r="FT53" s="721"/>
      <c r="FU53" s="721"/>
      <c r="FV53" s="721"/>
    </row>
    <row r="54" spans="1:178">
      <c r="A54" s="940" t="s">
        <v>415</v>
      </c>
      <c r="B54" s="66" t="s">
        <v>403</v>
      </c>
      <c r="C54" s="581"/>
      <c r="D54" s="581"/>
      <c r="E54" s="347"/>
      <c r="F54" s="885" t="s">
        <v>424</v>
      </c>
      <c r="G54" s="943">
        <f t="shared" ref="G54:BR54" si="66">G52/(G3*G13+G14*G4+G5*G15+G16*G6)</f>
        <v>0.3271033372338133</v>
      </c>
      <c r="H54" s="943">
        <f t="shared" si="66"/>
        <v>0.31625474231404338</v>
      </c>
      <c r="I54" s="943">
        <f t="shared" si="66"/>
        <v>0.30579207539988923</v>
      </c>
      <c r="J54" s="943">
        <f t="shared" si="66"/>
        <v>0.29183943243754146</v>
      </c>
      <c r="K54" s="943">
        <f t="shared" si="66"/>
        <v>0.30334928315354709</v>
      </c>
      <c r="L54" s="943">
        <f t="shared" si="66"/>
        <v>0.30310924072996842</v>
      </c>
      <c r="M54" s="943">
        <f t="shared" si="66"/>
        <v>0.30521437831707782</v>
      </c>
      <c r="N54" s="943">
        <f t="shared" si="66"/>
        <v>0.30792813613462999</v>
      </c>
      <c r="O54" s="943">
        <f t="shared" si="66"/>
        <v>0.30810585673466817</v>
      </c>
      <c r="P54" s="943">
        <f t="shared" si="66"/>
        <v>0.3009360282095595</v>
      </c>
      <c r="Q54" s="943">
        <f t="shared" si="66"/>
        <v>0.29383045290691873</v>
      </c>
      <c r="R54" s="943">
        <f t="shared" si="66"/>
        <v>0.29472076842979628</v>
      </c>
      <c r="S54" s="943">
        <f t="shared" si="66"/>
        <v>0.29788537361672263</v>
      </c>
      <c r="T54" s="943">
        <f t="shared" si="66"/>
        <v>0.29973029400974099</v>
      </c>
      <c r="U54" s="943">
        <f t="shared" si="66"/>
        <v>0.30399972865030711</v>
      </c>
      <c r="V54" s="943">
        <f t="shared" si="66"/>
        <v>0.29059020844339245</v>
      </c>
      <c r="W54" s="943">
        <f t="shared" si="66"/>
        <v>0.28475686177822801</v>
      </c>
      <c r="X54" s="943">
        <f t="shared" si="66"/>
        <v>0.2918601268416085</v>
      </c>
      <c r="Y54" s="943">
        <f t="shared" si="66"/>
        <v>0.3037204136620768</v>
      </c>
      <c r="Z54" s="943">
        <f t="shared" si="66"/>
        <v>0.30673030926386097</v>
      </c>
      <c r="AA54" s="943">
        <f t="shared" si="66"/>
        <v>0.30798955264613254</v>
      </c>
      <c r="AB54" s="943">
        <f t="shared" si="66"/>
        <v>0.30218185258593205</v>
      </c>
      <c r="AC54" s="943">
        <f t="shared" si="66"/>
        <v>0.29962046161136546</v>
      </c>
      <c r="AD54" s="943">
        <f t="shared" si="66"/>
        <v>0.3035594125056863</v>
      </c>
      <c r="AE54" s="943">
        <f t="shared" si="66"/>
        <v>0.31493442832527685</v>
      </c>
      <c r="AF54" s="943">
        <f t="shared" si="66"/>
        <v>0.31606146474872826</v>
      </c>
      <c r="AG54" s="943">
        <f t="shared" si="66"/>
        <v>0.31951799144344384</v>
      </c>
      <c r="AH54" s="943">
        <f t="shared" si="66"/>
        <v>0.32369044630550925</v>
      </c>
      <c r="AI54" s="943">
        <f t="shared" si="66"/>
        <v>0.32553873917379728</v>
      </c>
      <c r="AJ54" s="943">
        <f t="shared" si="66"/>
        <v>0.32147771665471647</v>
      </c>
      <c r="AK54" s="943">
        <f t="shared" si="66"/>
        <v>0.31995451637464889</v>
      </c>
      <c r="AL54" s="943">
        <f t="shared" si="66"/>
        <v>0.31513857438161708</v>
      </c>
      <c r="AM54" s="943">
        <f t="shared" si="66"/>
        <v>0.31197019481871946</v>
      </c>
      <c r="AN54" s="943">
        <f t="shared" si="66"/>
        <v>0.31223136675493873</v>
      </c>
      <c r="AO54" s="943">
        <f t="shared" si="66"/>
        <v>0.31799050486440922</v>
      </c>
      <c r="AP54" s="943">
        <f t="shared" si="66"/>
        <v>0.32248541044196155</v>
      </c>
      <c r="AQ54" s="943">
        <f t="shared" si="66"/>
        <v>0.32282832154359486</v>
      </c>
      <c r="AR54" s="943">
        <f t="shared" si="66"/>
        <v>0.3263452498418154</v>
      </c>
      <c r="AS54" s="943">
        <f t="shared" si="66"/>
        <v>0.32628324927292746</v>
      </c>
      <c r="AT54" s="943">
        <f t="shared" si="66"/>
        <v>0.32685370264667629</v>
      </c>
      <c r="AU54" s="944">
        <f t="shared" si="66"/>
        <v>0.32351488784098198</v>
      </c>
      <c r="AV54" s="944">
        <f t="shared" si="66"/>
        <v>0.32368466300339999</v>
      </c>
      <c r="AW54" s="944">
        <f t="shared" si="66"/>
        <v>0.32477068192844533</v>
      </c>
      <c r="AX54" s="944">
        <f t="shared" si="66"/>
        <v>0.32950023764652908</v>
      </c>
      <c r="AY54" s="944">
        <f t="shared" si="66"/>
        <v>0.32884684646598761</v>
      </c>
      <c r="AZ54" s="944">
        <f t="shared" si="66"/>
        <v>0.32991660457901395</v>
      </c>
      <c r="BA54" s="944">
        <f t="shared" si="66"/>
        <v>0.33063218466193345</v>
      </c>
      <c r="BB54" s="944">
        <f t="shared" si="66"/>
        <v>0.33324871479488838</v>
      </c>
      <c r="BC54" s="944">
        <f t="shared" si="66"/>
        <v>0.33196797925774396</v>
      </c>
      <c r="BD54" s="944">
        <f t="shared" si="66"/>
        <v>0.32030411375835166</v>
      </c>
      <c r="BE54" s="944">
        <f t="shared" si="66"/>
        <v>0.31343176480627588</v>
      </c>
      <c r="BF54" s="944">
        <f t="shared" si="66"/>
        <v>0.31330436210784546</v>
      </c>
      <c r="BG54" s="944">
        <f t="shared" si="66"/>
        <v>0.31813217242448638</v>
      </c>
      <c r="BH54" s="944">
        <f t="shared" si="66"/>
        <v>0.32104715249759402</v>
      </c>
      <c r="BI54" s="944">
        <f t="shared" si="66"/>
        <v>0.32133854338428597</v>
      </c>
      <c r="BJ54" s="944">
        <f t="shared" si="66"/>
        <v>0.31933521837718803</v>
      </c>
      <c r="BK54" s="944">
        <f t="shared" si="66"/>
        <v>0.31084096236490627</v>
      </c>
      <c r="BL54" s="944">
        <f t="shared" si="66"/>
        <v>0.31225852161427575</v>
      </c>
      <c r="BM54" s="944">
        <f t="shared" si="66"/>
        <v>0.30862910062957771</v>
      </c>
      <c r="BN54" s="944">
        <f t="shared" si="66"/>
        <v>0.31134789238200949</v>
      </c>
      <c r="BO54" s="944">
        <f t="shared" si="66"/>
        <v>0.31673224100921021</v>
      </c>
      <c r="BP54" s="944">
        <f t="shared" si="66"/>
        <v>0.31952796140605033</v>
      </c>
      <c r="BQ54" s="944">
        <f t="shared" si="66"/>
        <v>0.32136167962498746</v>
      </c>
      <c r="BR54" s="944">
        <f t="shared" si="66"/>
        <v>0.32315466596364495</v>
      </c>
      <c r="BS54" s="944">
        <f t="shared" ref="BS54:CL54" si="67">BS52/(BS3*BS13+BS14*BS4+BS5*BS15+BS16*BS6)</f>
        <v>0.31760256238704443</v>
      </c>
      <c r="BT54" s="944">
        <f t="shared" si="67"/>
        <v>0.29258118817185524</v>
      </c>
      <c r="BU54" s="944">
        <f t="shared" si="67"/>
        <v>0.24851370231544781</v>
      </c>
      <c r="BV54" s="944">
        <f t="shared" si="67"/>
        <v>0.28577279607663536</v>
      </c>
      <c r="BW54" s="944">
        <f t="shared" si="67"/>
        <v>0.30956836610159116</v>
      </c>
      <c r="BX54" s="944">
        <f t="shared" si="67"/>
        <v>0.31393001679092686</v>
      </c>
      <c r="BY54" s="944">
        <f t="shared" si="67"/>
        <v>0.31401934735860965</v>
      </c>
      <c r="BZ54" s="944">
        <f t="shared" si="67"/>
        <v>0.31380968923173491</v>
      </c>
      <c r="CA54" s="944">
        <f t="shared" si="67"/>
        <v>0.31974625508378762</v>
      </c>
      <c r="CB54" s="944">
        <f t="shared" si="67"/>
        <v>0.32073049601667541</v>
      </c>
      <c r="CC54" s="944">
        <f t="shared" si="67"/>
        <v>0.32589446546229378</v>
      </c>
      <c r="CD54" s="944">
        <f t="shared" si="67"/>
        <v>0.33212769523858671</v>
      </c>
      <c r="CE54" s="944">
        <f t="shared" si="67"/>
        <v>0.33566641470360309</v>
      </c>
      <c r="CF54" s="944">
        <f t="shared" si="67"/>
        <v>0.33679651596346855</v>
      </c>
      <c r="CG54" s="944">
        <f t="shared" si="67"/>
        <v>0.33523186141729144</v>
      </c>
      <c r="CH54" s="944">
        <f t="shared" si="67"/>
        <v>0.33587233808093958</v>
      </c>
      <c r="CI54" s="944">
        <f t="shared" si="67"/>
        <v>0.33867744396799354</v>
      </c>
      <c r="CJ54" s="944">
        <f t="shared" si="67"/>
        <v>0.34156234997148588</v>
      </c>
      <c r="CK54" s="944">
        <f t="shared" si="67"/>
        <v>0.34027506024056609</v>
      </c>
      <c r="CL54" s="945">
        <f t="shared" si="67"/>
        <v>0.34172183538416628</v>
      </c>
      <c r="CM54" s="947">
        <f t="shared" si="15"/>
        <v>0.31525047330599532</v>
      </c>
      <c r="CN54" s="347"/>
      <c r="CO54" s="347"/>
      <c r="CP54" s="347"/>
      <c r="CQ54" s="347"/>
      <c r="CR54" s="347"/>
      <c r="CS54" s="347"/>
      <c r="CT54" s="347"/>
      <c r="CU54" s="347"/>
      <c r="CV54" s="347"/>
      <c r="CW54" s="347"/>
      <c r="CX54" s="347"/>
      <c r="CY54" s="347"/>
      <c r="CZ54" s="347"/>
      <c r="DA54" s="347"/>
      <c r="DB54" s="347"/>
      <c r="DC54" s="347"/>
      <c r="DD54" s="347"/>
      <c r="DE54" s="347"/>
      <c r="DF54" s="347"/>
      <c r="DG54" s="347"/>
      <c r="DH54" s="347"/>
      <c r="DI54" s="347"/>
      <c r="DJ54" s="347"/>
      <c r="DK54" s="347"/>
      <c r="DL54" s="347"/>
      <c r="DM54" s="347"/>
      <c r="DN54" s="347"/>
      <c r="DO54" s="347"/>
      <c r="DP54" s="347"/>
      <c r="DQ54" s="347"/>
      <c r="DR54" s="347"/>
      <c r="DS54" s="347"/>
      <c r="DT54" s="347"/>
      <c r="DU54" s="347"/>
      <c r="DV54" s="347"/>
      <c r="DW54" s="347"/>
      <c r="DX54" s="347"/>
      <c r="DY54" s="347"/>
      <c r="DZ54" s="347"/>
      <c r="EA54" s="347"/>
      <c r="EB54" s="347"/>
      <c r="EC54" s="347"/>
      <c r="ED54" s="347"/>
      <c r="EE54" s="347"/>
      <c r="EF54" s="347"/>
      <c r="EG54" s="347"/>
      <c r="EH54" s="347"/>
      <c r="EI54" s="347"/>
      <c r="EJ54" s="347"/>
      <c r="EK54" s="347"/>
      <c r="EL54" s="347"/>
      <c r="EM54" s="347"/>
      <c r="EN54" s="347"/>
      <c r="EO54" s="347"/>
      <c r="EP54" s="347"/>
      <c r="EQ54" s="347"/>
      <c r="ER54" s="347"/>
      <c r="ES54" s="347"/>
      <c r="ET54" s="347"/>
      <c r="EU54" s="347"/>
      <c r="EV54" s="347"/>
      <c r="EW54" s="347"/>
      <c r="EX54" s="347"/>
      <c r="EY54" s="347"/>
      <c r="EZ54" s="347"/>
      <c r="FA54" s="347"/>
      <c r="FB54" s="347"/>
      <c r="FC54" s="347"/>
      <c r="FD54" s="347"/>
      <c r="FE54" s="347"/>
      <c r="FF54" s="347"/>
      <c r="FG54" s="347"/>
      <c r="FH54" s="347"/>
      <c r="FI54" s="347"/>
      <c r="FJ54" s="347"/>
      <c r="FK54" s="347"/>
      <c r="FL54" s="347"/>
      <c r="FM54" s="347"/>
      <c r="FN54" s="347"/>
      <c r="FO54" s="347"/>
      <c r="FP54" s="347"/>
      <c r="FQ54" s="347"/>
      <c r="FR54" s="347"/>
      <c r="FS54" s="347"/>
      <c r="FT54" s="347"/>
      <c r="FU54" s="347"/>
      <c r="FV54" s="347"/>
    </row>
    <row r="55" spans="1:178">
      <c r="A55" s="940" t="s">
        <v>416</v>
      </c>
      <c r="B55" s="66" t="s">
        <v>403</v>
      </c>
      <c r="C55" s="581" t="s">
        <v>352</v>
      </c>
      <c r="D55" s="581"/>
      <c r="E55" s="347"/>
      <c r="F55" s="885" t="s">
        <v>405</v>
      </c>
      <c r="G55" s="941">
        <f t="shared" ref="G55:BR55" si="68">G8*G19+G9*G20+G10*G21+G11*G22+G12*G23</f>
        <v>2037708901.7233338</v>
      </c>
      <c r="H55" s="941">
        <f t="shared" si="68"/>
        <v>2004487187.8326516</v>
      </c>
      <c r="I55" s="941">
        <f t="shared" si="68"/>
        <v>2014653441.6044705</v>
      </c>
      <c r="J55" s="941">
        <f t="shared" si="68"/>
        <v>2026887380.0679541</v>
      </c>
      <c r="K55" s="941">
        <f t="shared" si="68"/>
        <v>2000927324.3897731</v>
      </c>
      <c r="L55" s="941">
        <f t="shared" si="68"/>
        <v>2047278060.2657576</v>
      </c>
      <c r="M55" s="941">
        <f t="shared" si="68"/>
        <v>2012872747.8584099</v>
      </c>
      <c r="N55" s="941">
        <f t="shared" si="68"/>
        <v>2057459927.7427278</v>
      </c>
      <c r="O55" s="941">
        <f t="shared" si="68"/>
        <v>1971801348.4187121</v>
      </c>
      <c r="P55" s="941">
        <f t="shared" si="68"/>
        <v>2015806801.7613637</v>
      </c>
      <c r="Q55" s="941">
        <f t="shared" si="68"/>
        <v>1966507222.504015</v>
      </c>
      <c r="R55" s="941">
        <f t="shared" si="68"/>
        <v>1874677230.9008334</v>
      </c>
      <c r="S55" s="941">
        <f t="shared" si="68"/>
        <v>1895889517.9911253</v>
      </c>
      <c r="T55" s="941">
        <f t="shared" si="68"/>
        <v>1887912148.5953751</v>
      </c>
      <c r="U55" s="941">
        <f t="shared" si="68"/>
        <v>1789885710.7045832</v>
      </c>
      <c r="V55" s="941">
        <f t="shared" si="68"/>
        <v>1861827036.9979165</v>
      </c>
      <c r="W55" s="941">
        <f t="shared" si="68"/>
        <v>1715154407.09375</v>
      </c>
      <c r="X55" s="941">
        <f t="shared" si="68"/>
        <v>1726058726.0041666</v>
      </c>
      <c r="Y55" s="941">
        <f t="shared" si="68"/>
        <v>1798306415.1297085</v>
      </c>
      <c r="Z55" s="941">
        <f t="shared" si="68"/>
        <v>1786976779.0999999</v>
      </c>
      <c r="AA55" s="941">
        <f t="shared" si="68"/>
        <v>1807355196.8125</v>
      </c>
      <c r="AB55" s="941">
        <f t="shared" si="68"/>
        <v>1845387679.1031668</v>
      </c>
      <c r="AC55" s="941">
        <f t="shared" si="68"/>
        <v>1858262636.1089582</v>
      </c>
      <c r="AD55" s="941">
        <f t="shared" si="68"/>
        <v>1814898549.0958333</v>
      </c>
      <c r="AE55" s="941">
        <f t="shared" si="68"/>
        <v>1817404128.0766251</v>
      </c>
      <c r="AF55" s="941">
        <f t="shared" si="68"/>
        <v>1813467216.3273752</v>
      </c>
      <c r="AG55" s="941">
        <f t="shared" si="68"/>
        <v>1867648981.0604167</v>
      </c>
      <c r="AH55" s="941">
        <f t="shared" si="68"/>
        <v>1927196753.0917497</v>
      </c>
      <c r="AI55" s="941">
        <f t="shared" si="68"/>
        <v>2042528163.8791666</v>
      </c>
      <c r="AJ55" s="941">
        <f t="shared" si="68"/>
        <v>2003527361.9104166</v>
      </c>
      <c r="AK55" s="941">
        <f t="shared" si="68"/>
        <v>2103634511.3818753</v>
      </c>
      <c r="AL55" s="941">
        <f t="shared" si="68"/>
        <v>2057631198.8333333</v>
      </c>
      <c r="AM55" s="941">
        <f t="shared" si="68"/>
        <v>2022839562.8458335</v>
      </c>
      <c r="AN55" s="941">
        <f t="shared" si="68"/>
        <v>2049292912.8553333</v>
      </c>
      <c r="AO55" s="941">
        <f t="shared" si="68"/>
        <v>1984243761.354167</v>
      </c>
      <c r="AP55" s="941">
        <f t="shared" si="68"/>
        <v>1981677279.1391666</v>
      </c>
      <c r="AQ55" s="941">
        <f t="shared" si="68"/>
        <v>2015557808.8287921</v>
      </c>
      <c r="AR55" s="941">
        <f t="shared" si="68"/>
        <v>1934825852.9572918</v>
      </c>
      <c r="AS55" s="941">
        <f t="shared" si="68"/>
        <v>2027939760.5647502</v>
      </c>
      <c r="AT55" s="941">
        <f t="shared" si="68"/>
        <v>2072400390.4855831</v>
      </c>
      <c r="AU55" s="868">
        <f t="shared" si="68"/>
        <v>2207206555.3305416</v>
      </c>
      <c r="AV55" s="868">
        <f t="shared" si="68"/>
        <v>2265637505.8129997</v>
      </c>
      <c r="AW55" s="868">
        <f t="shared" si="68"/>
        <v>2301275085.3630829</v>
      </c>
      <c r="AX55" s="868">
        <f t="shared" si="68"/>
        <v>2330775518.9318748</v>
      </c>
      <c r="AY55" s="868">
        <f t="shared" si="68"/>
        <v>2702390177.356833</v>
      </c>
      <c r="AZ55" s="868">
        <f t="shared" si="68"/>
        <v>2678390885.2727499</v>
      </c>
      <c r="BA55" s="868">
        <f t="shared" si="68"/>
        <v>2682186994.5336246</v>
      </c>
      <c r="BB55" s="868">
        <f t="shared" si="68"/>
        <v>2817850150.9139166</v>
      </c>
      <c r="BC55" s="868">
        <f t="shared" si="68"/>
        <v>2770368737.7904162</v>
      </c>
      <c r="BD55" s="868">
        <f t="shared" si="68"/>
        <v>2524376986.7148333</v>
      </c>
      <c r="BE55" s="868">
        <f t="shared" si="68"/>
        <v>2128510585.4711249</v>
      </c>
      <c r="BF55" s="868">
        <f t="shared" si="68"/>
        <v>1978039677.6408331</v>
      </c>
      <c r="BG55" s="868">
        <f t="shared" si="68"/>
        <v>1972876626.4758747</v>
      </c>
      <c r="BH55" s="868">
        <f t="shared" si="68"/>
        <v>2031401552.5521665</v>
      </c>
      <c r="BI55" s="868">
        <f t="shared" si="68"/>
        <v>2014901611.4142499</v>
      </c>
      <c r="BJ55" s="868">
        <f t="shared" si="68"/>
        <v>1988620048.1518748</v>
      </c>
      <c r="BK55" s="868">
        <f t="shared" si="68"/>
        <v>2038945434.3624997</v>
      </c>
      <c r="BL55" s="868">
        <f t="shared" si="68"/>
        <v>2005691562.9541664</v>
      </c>
      <c r="BM55" s="868">
        <f t="shared" si="68"/>
        <v>2105875756.5999999</v>
      </c>
      <c r="BN55" s="868">
        <f t="shared" si="68"/>
        <v>2150303613.958333</v>
      </c>
      <c r="BO55" s="868">
        <f t="shared" si="68"/>
        <v>2263927349.9499998</v>
      </c>
      <c r="BP55" s="868">
        <f t="shared" si="68"/>
        <v>2148390801.5458331</v>
      </c>
      <c r="BQ55" s="868">
        <f t="shared" si="68"/>
        <v>1952333974.1083331</v>
      </c>
      <c r="BR55" s="868">
        <f t="shared" si="68"/>
        <v>2080553192.2583332</v>
      </c>
      <c r="BS55" s="868">
        <f t="shared" ref="BS55:CL55" si="69">BS8*BS19+BS9*BS20+BS10*BS21+BS11*BS22+BS12*BS23</f>
        <v>2095757397.1374998</v>
      </c>
      <c r="BT55" s="868">
        <f t="shared" si="69"/>
        <v>1892485148.6666665</v>
      </c>
      <c r="BU55" s="868">
        <f t="shared" si="69"/>
        <v>1461954475.2624998</v>
      </c>
      <c r="BV55" s="868">
        <f t="shared" si="69"/>
        <v>935025666.21666658</v>
      </c>
      <c r="BW55" s="868">
        <f t="shared" si="69"/>
        <v>1030553266.6999999</v>
      </c>
      <c r="BX55" s="868">
        <f t="shared" si="69"/>
        <v>1264661862.5041666</v>
      </c>
      <c r="BY55" s="868">
        <f t="shared" si="69"/>
        <v>1365135990.9083333</v>
      </c>
      <c r="BZ55" s="868">
        <f t="shared" si="69"/>
        <v>1508754913.0249999</v>
      </c>
      <c r="CA55" s="868">
        <f t="shared" si="69"/>
        <v>1588397759.3374999</v>
      </c>
      <c r="CB55" s="868">
        <f t="shared" si="69"/>
        <v>1752964189.3625</v>
      </c>
      <c r="CC55" s="868">
        <f t="shared" si="69"/>
        <v>2084897173.8499999</v>
      </c>
      <c r="CD55" s="868">
        <f t="shared" si="69"/>
        <v>2130776409.7624998</v>
      </c>
      <c r="CE55" s="868">
        <f t="shared" si="69"/>
        <v>1945053026.6958332</v>
      </c>
      <c r="CF55" s="868">
        <f t="shared" si="69"/>
        <v>2094339516.5083332</v>
      </c>
      <c r="CG55" s="868">
        <f t="shared" si="69"/>
        <v>2420797427.7791662</v>
      </c>
      <c r="CH55" s="868">
        <f t="shared" si="69"/>
        <v>2396454181.3458333</v>
      </c>
      <c r="CI55" s="868">
        <f t="shared" si="69"/>
        <v>2504668061.5333333</v>
      </c>
      <c r="CJ55" s="868">
        <f t="shared" si="69"/>
        <v>2673180238.7716665</v>
      </c>
      <c r="CK55" s="868">
        <f t="shared" si="69"/>
        <v>2998788117.4987497</v>
      </c>
      <c r="CL55" s="885">
        <f t="shared" si="69"/>
        <v>2972134784.3033333</v>
      </c>
      <c r="CM55" s="856">
        <f t="shared" si="15"/>
        <v>2033314381.1194408</v>
      </c>
      <c r="CN55" s="347"/>
      <c r="CO55" s="347"/>
      <c r="CP55" s="347"/>
      <c r="CQ55" s="347"/>
      <c r="CR55" s="347"/>
      <c r="CS55" s="347"/>
      <c r="CT55" s="347"/>
      <c r="CU55" s="347"/>
      <c r="CV55" s="347"/>
      <c r="CW55" s="347"/>
      <c r="CX55" s="347"/>
      <c r="CY55" s="347"/>
      <c r="CZ55" s="347"/>
      <c r="DA55" s="347"/>
      <c r="DB55" s="347"/>
      <c r="DC55" s="347"/>
      <c r="DD55" s="347"/>
      <c r="DE55" s="347"/>
      <c r="DF55" s="347"/>
      <c r="DG55" s="347"/>
      <c r="DH55" s="347"/>
      <c r="DI55" s="347"/>
      <c r="DJ55" s="347"/>
      <c r="DK55" s="347"/>
      <c r="DL55" s="347"/>
      <c r="DM55" s="347"/>
      <c r="DN55" s="347"/>
      <c r="DO55" s="347"/>
      <c r="DP55" s="347"/>
      <c r="DQ55" s="347"/>
      <c r="DR55" s="347"/>
      <c r="DS55" s="347"/>
      <c r="DT55" s="347"/>
      <c r="DU55" s="347"/>
      <c r="DV55" s="347"/>
      <c r="DW55" s="347"/>
      <c r="DX55" s="347"/>
      <c r="DY55" s="347"/>
      <c r="DZ55" s="347"/>
      <c r="EA55" s="347"/>
      <c r="EB55" s="347"/>
      <c r="EC55" s="347"/>
      <c r="ED55" s="347"/>
      <c r="EE55" s="347"/>
      <c r="EF55" s="347"/>
      <c r="EG55" s="347"/>
      <c r="EH55" s="347"/>
      <c r="EI55" s="347"/>
      <c r="EJ55" s="347"/>
      <c r="EK55" s="347"/>
      <c r="EL55" s="347"/>
      <c r="EM55" s="347"/>
      <c r="EN55" s="347"/>
      <c r="EO55" s="347"/>
      <c r="EP55" s="347"/>
      <c r="EQ55" s="347"/>
      <c r="ER55" s="347"/>
      <c r="ES55" s="347"/>
      <c r="ET55" s="347"/>
      <c r="EU55" s="347"/>
      <c r="EV55" s="347"/>
      <c r="EW55" s="347"/>
      <c r="EX55" s="347"/>
      <c r="EY55" s="347"/>
      <c r="EZ55" s="347"/>
      <c r="FA55" s="347"/>
      <c r="FB55" s="347"/>
      <c r="FC55" s="347"/>
      <c r="FD55" s="347"/>
      <c r="FE55" s="347"/>
      <c r="FF55" s="347"/>
      <c r="FG55" s="347"/>
      <c r="FH55" s="347"/>
      <c r="FI55" s="347"/>
      <c r="FJ55" s="347"/>
      <c r="FK55" s="347"/>
      <c r="FL55" s="347"/>
      <c r="FM55" s="347"/>
      <c r="FN55" s="347"/>
      <c r="FO55" s="347"/>
      <c r="FP55" s="347"/>
      <c r="FQ55" s="347"/>
      <c r="FR55" s="347"/>
      <c r="FS55" s="347"/>
      <c r="FT55" s="347"/>
      <c r="FU55" s="347"/>
      <c r="FV55" s="347"/>
    </row>
    <row r="56" spans="1:178">
      <c r="A56" s="934" t="s">
        <v>417</v>
      </c>
      <c r="B56" s="68" t="s">
        <v>403</v>
      </c>
      <c r="C56" s="860" t="s">
        <v>352</v>
      </c>
      <c r="D56" s="860"/>
      <c r="E56" s="861"/>
      <c r="F56" s="948" t="s">
        <v>210</v>
      </c>
      <c r="G56" s="949">
        <f t="shared" ref="G56:BR56" si="70">G24*G3+G4*G25+G26*G5+G6*G27+G28*CP42</f>
        <v>1480297946.6571167</v>
      </c>
      <c r="H56" s="949">
        <f t="shared" si="70"/>
        <v>1309260149.3203483</v>
      </c>
      <c r="I56" s="949">
        <f t="shared" si="70"/>
        <v>1106730267.510704</v>
      </c>
      <c r="J56" s="949">
        <f t="shared" si="70"/>
        <v>886430306.58601081</v>
      </c>
      <c r="K56" s="949">
        <f t="shared" si="70"/>
        <v>1042990728.9439415</v>
      </c>
      <c r="L56" s="949">
        <f t="shared" si="70"/>
        <v>1054107747.5141746</v>
      </c>
      <c r="M56" s="949">
        <f t="shared" si="70"/>
        <v>1081916746.4922471</v>
      </c>
      <c r="N56" s="949">
        <f t="shared" si="70"/>
        <v>1140329779.2405026</v>
      </c>
      <c r="O56" s="949">
        <f t="shared" si="70"/>
        <v>1084685768.3746762</v>
      </c>
      <c r="P56" s="949">
        <f t="shared" si="70"/>
        <v>970825111.39034438</v>
      </c>
      <c r="Q56" s="949">
        <f t="shared" si="70"/>
        <v>886988990.40104043</v>
      </c>
      <c r="R56" s="949">
        <f t="shared" si="70"/>
        <v>897985753.3918308</v>
      </c>
      <c r="S56" s="949">
        <f t="shared" si="70"/>
        <v>936872068.88884044</v>
      </c>
      <c r="T56" s="949">
        <f t="shared" si="70"/>
        <v>975909614.14789748</v>
      </c>
      <c r="U56" s="949">
        <f t="shared" si="70"/>
        <v>953857936.99247766</v>
      </c>
      <c r="V56" s="949">
        <f t="shared" si="70"/>
        <v>781438223.41050291</v>
      </c>
      <c r="W56" s="949">
        <f t="shared" si="70"/>
        <v>719602632.67118502</v>
      </c>
      <c r="X56" s="949">
        <f t="shared" si="70"/>
        <v>778587098.18634713</v>
      </c>
      <c r="Y56" s="949">
        <f t="shared" si="70"/>
        <v>833697763.61532259</v>
      </c>
      <c r="Z56" s="949">
        <f t="shared" si="70"/>
        <v>875446924.78195345</v>
      </c>
      <c r="AA56" s="949">
        <f t="shared" si="70"/>
        <v>896347948.20670223</v>
      </c>
      <c r="AB56" s="949">
        <f t="shared" si="70"/>
        <v>813764370.67943895</v>
      </c>
      <c r="AC56" s="949">
        <f t="shared" si="70"/>
        <v>782797285.08247745</v>
      </c>
      <c r="AD56" s="949">
        <f t="shared" si="70"/>
        <v>829238957.64032674</v>
      </c>
      <c r="AE56" s="949">
        <f t="shared" si="70"/>
        <v>922177591.06140268</v>
      </c>
      <c r="AF56" s="949">
        <f t="shared" si="70"/>
        <v>957270769.69381487</v>
      </c>
      <c r="AG56" s="949">
        <f t="shared" si="70"/>
        <v>1014873251.2062478</v>
      </c>
      <c r="AH56" s="949">
        <f t="shared" si="70"/>
        <v>1109393447.5626111</v>
      </c>
      <c r="AI56" s="949">
        <f t="shared" si="70"/>
        <v>1154554329.9287071</v>
      </c>
      <c r="AJ56" s="949">
        <f t="shared" si="70"/>
        <v>1051078197.7961265</v>
      </c>
      <c r="AK56" s="949">
        <f t="shared" si="70"/>
        <v>1004669358.1472921</v>
      </c>
      <c r="AL56" s="949">
        <f t="shared" si="70"/>
        <v>917647195.32985914</v>
      </c>
      <c r="AM56" s="949">
        <f t="shared" si="70"/>
        <v>870568026.85302162</v>
      </c>
      <c r="AN56" s="949">
        <f t="shared" si="70"/>
        <v>865444420.05069625</v>
      </c>
      <c r="AO56" s="949">
        <f t="shared" si="70"/>
        <v>966929443.37380373</v>
      </c>
      <c r="AP56" s="949">
        <f t="shared" si="70"/>
        <v>1066331015.4062269</v>
      </c>
      <c r="AQ56" s="949">
        <f t="shared" si="70"/>
        <v>1163018097.6888816</v>
      </c>
      <c r="AR56" s="949">
        <f t="shared" si="70"/>
        <v>1245447871.6928008</v>
      </c>
      <c r="AS56" s="949">
        <f t="shared" si="70"/>
        <v>1240332588.9446185</v>
      </c>
      <c r="AT56" s="949">
        <f t="shared" si="70"/>
        <v>1252277586.9926729</v>
      </c>
      <c r="AU56" s="870">
        <f t="shared" si="70"/>
        <v>1167546650.3466859</v>
      </c>
      <c r="AV56" s="870">
        <f t="shared" si="70"/>
        <v>1166443401.4162042</v>
      </c>
      <c r="AW56" s="870">
        <f t="shared" si="70"/>
        <v>1228318599.7083216</v>
      </c>
      <c r="AX56" s="870">
        <f t="shared" si="70"/>
        <v>1377984089.9813073</v>
      </c>
      <c r="AY56" s="870">
        <f t="shared" si="70"/>
        <v>1376973083.4679663</v>
      </c>
      <c r="AZ56" s="870">
        <f t="shared" si="70"/>
        <v>1414751652.0323691</v>
      </c>
      <c r="BA56" s="870">
        <f t="shared" si="70"/>
        <v>1455345702.2825675</v>
      </c>
      <c r="BB56" s="870">
        <f t="shared" si="70"/>
        <v>1574380009.9732449</v>
      </c>
      <c r="BC56" s="870">
        <f t="shared" si="70"/>
        <v>1620395867.6986353</v>
      </c>
      <c r="BD56" s="870">
        <f t="shared" si="70"/>
        <v>1238809381.3459601</v>
      </c>
      <c r="BE56" s="870">
        <f t="shared" si="70"/>
        <v>1075336826.0467706</v>
      </c>
      <c r="BF56" s="870">
        <f t="shared" si="70"/>
        <v>1072578625.8330224</v>
      </c>
      <c r="BG56" s="870">
        <f t="shared" si="70"/>
        <v>1167275673.0765469</v>
      </c>
      <c r="BH56" s="870">
        <f t="shared" si="70"/>
        <v>1223931966.6065125</v>
      </c>
      <c r="BI56" s="870">
        <f t="shared" si="70"/>
        <v>1295694245.6189618</v>
      </c>
      <c r="BJ56" s="870">
        <f t="shared" si="70"/>
        <v>1256342354.9904211</v>
      </c>
      <c r="BK56" s="870">
        <f t="shared" si="70"/>
        <v>1066078635.1541312</v>
      </c>
      <c r="BL56" s="870">
        <f t="shared" si="70"/>
        <v>1080329658.1293931</v>
      </c>
      <c r="BM56" s="870">
        <f t="shared" si="70"/>
        <v>1032801121.4341869</v>
      </c>
      <c r="BN56" s="870">
        <f t="shared" si="70"/>
        <v>1072586178.544825</v>
      </c>
      <c r="BO56" s="870">
        <f t="shared" si="70"/>
        <v>1114963205.9637833</v>
      </c>
      <c r="BP56" s="870">
        <f t="shared" si="70"/>
        <v>1181415847.6095707</v>
      </c>
      <c r="BQ56" s="870">
        <f t="shared" si="70"/>
        <v>1220450345.0211871</v>
      </c>
      <c r="BR56" s="870">
        <f t="shared" si="70"/>
        <v>1287334322.0070837</v>
      </c>
      <c r="BS56" s="870">
        <f t="shared" ref="BS56:CL56" si="71">BS24*BS3+BS4*BS25+BS26*BS5+BS6*BS27+BS28*FB42</f>
        <v>1155024892.8429847</v>
      </c>
      <c r="BT56" s="870">
        <f t="shared" si="71"/>
        <v>804170508.83886802</v>
      </c>
      <c r="BU56" s="870">
        <f t="shared" si="71"/>
        <v>421702605.55437338</v>
      </c>
      <c r="BV56" s="870">
        <f t="shared" si="71"/>
        <v>640618789.10071194</v>
      </c>
      <c r="BW56" s="870">
        <f t="shared" si="71"/>
        <v>886625356.74275696</v>
      </c>
      <c r="BX56" s="870">
        <f t="shared" si="71"/>
        <v>949101598.82912922</v>
      </c>
      <c r="BY56" s="870">
        <f t="shared" si="71"/>
        <v>947616715.33853126</v>
      </c>
      <c r="BZ56" s="870">
        <f t="shared" si="71"/>
        <v>939222131.49965191</v>
      </c>
      <c r="CA56" s="870">
        <f t="shared" si="71"/>
        <v>941089161.22928882</v>
      </c>
      <c r="CB56" s="870">
        <f t="shared" si="71"/>
        <v>972234239.33545339</v>
      </c>
      <c r="CC56" s="870">
        <f t="shared" si="71"/>
        <v>1073005515.81776</v>
      </c>
      <c r="CD56" s="870">
        <f t="shared" si="71"/>
        <v>1248826902.018378</v>
      </c>
      <c r="CE56" s="870">
        <f t="shared" si="71"/>
        <v>1371128609.0743182</v>
      </c>
      <c r="CF56" s="870">
        <f t="shared" si="71"/>
        <v>1413393774.8073974</v>
      </c>
      <c r="CG56" s="870">
        <f t="shared" si="71"/>
        <v>1359513036.7565446</v>
      </c>
      <c r="CH56" s="870">
        <f t="shared" si="71"/>
        <v>1350369065.5237668</v>
      </c>
      <c r="CI56" s="870">
        <f t="shared" si="71"/>
        <v>1467158597.7988193</v>
      </c>
      <c r="CJ56" s="870">
        <f t="shared" si="71"/>
        <v>1613581087.4221108</v>
      </c>
      <c r="CK56" s="870">
        <f t="shared" si="71"/>
        <v>1561701737.333288</v>
      </c>
      <c r="CL56" s="948">
        <f t="shared" si="71"/>
        <v>1625030552.9895782</v>
      </c>
      <c r="CM56" s="856">
        <f t="shared" si="15"/>
        <v>1100372686.1309352</v>
      </c>
      <c r="CN56" s="347"/>
      <c r="CO56" s="347"/>
      <c r="CP56" s="347"/>
      <c r="CQ56" s="347"/>
      <c r="CR56" s="347"/>
      <c r="CS56" s="347"/>
      <c r="CT56" s="347"/>
      <c r="CU56" s="347"/>
      <c r="CV56" s="347"/>
      <c r="CW56" s="347"/>
      <c r="CX56" s="347"/>
      <c r="CY56" s="347"/>
      <c r="CZ56" s="347"/>
      <c r="DA56" s="347"/>
      <c r="DB56" s="347"/>
      <c r="DC56" s="347"/>
      <c r="DD56" s="347"/>
      <c r="DE56" s="347"/>
      <c r="DF56" s="347"/>
      <c r="DG56" s="347"/>
      <c r="DH56" s="347"/>
      <c r="DI56" s="347"/>
      <c r="DJ56" s="347"/>
      <c r="DK56" s="347"/>
      <c r="DL56" s="347"/>
      <c r="DM56" s="347"/>
      <c r="DN56" s="347"/>
      <c r="DO56" s="347"/>
      <c r="DP56" s="347"/>
      <c r="DQ56" s="347"/>
      <c r="DR56" s="347"/>
      <c r="DS56" s="347"/>
      <c r="DT56" s="347"/>
      <c r="DU56" s="347"/>
      <c r="DV56" s="347"/>
      <c r="DW56" s="347"/>
      <c r="DX56" s="347"/>
      <c r="DY56" s="347"/>
      <c r="DZ56" s="347"/>
      <c r="EA56" s="347"/>
      <c r="EB56" s="347"/>
      <c r="EC56" s="347"/>
      <c r="ED56" s="347"/>
      <c r="EE56" s="347"/>
      <c r="EF56" s="347"/>
      <c r="EG56" s="347"/>
      <c r="EH56" s="347"/>
      <c r="EI56" s="347"/>
      <c r="EJ56" s="347"/>
      <c r="EK56" s="347"/>
      <c r="EL56" s="347"/>
      <c r="EM56" s="347"/>
      <c r="EN56" s="347"/>
      <c r="EO56" s="347"/>
      <c r="EP56" s="347"/>
      <c r="EQ56" s="347"/>
      <c r="ER56" s="347"/>
      <c r="ES56" s="347"/>
      <c r="ET56" s="347"/>
      <c r="EU56" s="347"/>
      <c r="EV56" s="347"/>
      <c r="EW56" s="347"/>
      <c r="EX56" s="347"/>
      <c r="EY56" s="347"/>
      <c r="EZ56" s="347"/>
      <c r="FA56" s="347"/>
      <c r="FB56" s="347"/>
      <c r="FC56" s="347"/>
      <c r="FD56" s="347"/>
      <c r="FE56" s="347"/>
      <c r="FF56" s="347"/>
      <c r="FG56" s="347"/>
      <c r="FH56" s="347"/>
      <c r="FI56" s="347"/>
      <c r="FJ56" s="347"/>
      <c r="FK56" s="347"/>
      <c r="FL56" s="347"/>
      <c r="FM56" s="347"/>
      <c r="FN56" s="347"/>
      <c r="FO56" s="347"/>
      <c r="FP56" s="347"/>
      <c r="FQ56" s="347"/>
      <c r="FR56" s="347"/>
      <c r="FS56" s="347"/>
      <c r="FT56" s="347"/>
      <c r="FU56" s="347"/>
      <c r="FV56" s="347"/>
    </row>
    <row r="57" spans="1:178">
      <c r="A57" s="1400" t="s">
        <v>543</v>
      </c>
      <c r="B57" s="313" t="s">
        <v>403</v>
      </c>
      <c r="C57" s="583" t="s">
        <v>418</v>
      </c>
      <c r="D57" s="950"/>
      <c r="E57" s="850" t="s">
        <v>544</v>
      </c>
      <c r="F57" s="951" t="s">
        <v>545</v>
      </c>
      <c r="G57" s="583">
        <v>61200</v>
      </c>
      <c r="H57" s="583">
        <v>59900</v>
      </c>
      <c r="I57" s="583">
        <v>56300</v>
      </c>
      <c r="J57" s="583">
        <v>55700</v>
      </c>
      <c r="K57" s="583">
        <v>56300</v>
      </c>
      <c r="L57" s="583">
        <v>58150</v>
      </c>
      <c r="M57" s="583">
        <v>53250</v>
      </c>
      <c r="N57" s="583">
        <v>56120</v>
      </c>
      <c r="O57" s="583">
        <v>54550</v>
      </c>
      <c r="P57" s="583">
        <v>53770</v>
      </c>
      <c r="Q57" s="583">
        <v>49150</v>
      </c>
      <c r="R57" s="850">
        <v>50422</v>
      </c>
      <c r="S57" s="952">
        <v>63830</v>
      </c>
      <c r="T57" s="952">
        <v>65270</v>
      </c>
      <c r="U57" s="952">
        <v>63660</v>
      </c>
      <c r="V57" s="952">
        <v>62890</v>
      </c>
      <c r="W57" s="952">
        <v>59990</v>
      </c>
      <c r="X57" s="952">
        <v>61910</v>
      </c>
      <c r="Y57" s="952">
        <v>63893.9</v>
      </c>
      <c r="Z57" s="952">
        <v>65649.599999999991</v>
      </c>
      <c r="AA57" s="952">
        <v>65504.1</v>
      </c>
      <c r="AB57" s="952">
        <v>65533.2</v>
      </c>
      <c r="AC57" s="952">
        <v>66086.099999999991</v>
      </c>
      <c r="AD57" s="952">
        <v>66018.2</v>
      </c>
      <c r="AE57" s="952">
        <v>67706</v>
      </c>
      <c r="AF57" s="952">
        <v>69975.8</v>
      </c>
      <c r="AG57" s="952">
        <v>72653</v>
      </c>
      <c r="AH57" s="952">
        <v>72400.800000000003</v>
      </c>
      <c r="AI57" s="952">
        <v>72526.899999999994</v>
      </c>
      <c r="AJ57" s="952">
        <v>73943.099999999991</v>
      </c>
      <c r="AK57" s="952">
        <v>74253.5</v>
      </c>
      <c r="AL57" s="952">
        <v>70616</v>
      </c>
      <c r="AM57" s="952">
        <v>68452.899999999994</v>
      </c>
      <c r="AN57" s="952">
        <v>69209.5</v>
      </c>
      <c r="AO57" s="952">
        <v>68404.399999999994</v>
      </c>
      <c r="AP57" s="952">
        <v>68520.800000000003</v>
      </c>
      <c r="AQ57" s="952">
        <v>70034</v>
      </c>
      <c r="AR57" s="952">
        <v>70257.099999999991</v>
      </c>
      <c r="AS57" s="952">
        <v>66367.399999999994</v>
      </c>
      <c r="AT57" s="953">
        <v>66823.3</v>
      </c>
      <c r="AU57" s="952">
        <v>68191</v>
      </c>
      <c r="AV57" s="952">
        <v>74650</v>
      </c>
      <c r="AW57" s="952">
        <v>74650</v>
      </c>
      <c r="AX57" s="952">
        <v>74038</v>
      </c>
      <c r="AY57" s="952">
        <v>77038</v>
      </c>
      <c r="AZ57" s="952">
        <v>85370</v>
      </c>
      <c r="BA57" s="952">
        <v>86820</v>
      </c>
      <c r="BB57" s="952">
        <v>87660</v>
      </c>
      <c r="BC57" s="952">
        <v>84450</v>
      </c>
      <c r="BD57" s="952">
        <v>87130</v>
      </c>
      <c r="BE57" s="952">
        <v>85840</v>
      </c>
      <c r="BF57" s="954">
        <v>69920</v>
      </c>
      <c r="BG57" s="954">
        <v>73060</v>
      </c>
      <c r="BH57" s="954">
        <v>73390</v>
      </c>
      <c r="BI57" s="954">
        <v>71080</v>
      </c>
      <c r="BJ57" s="954">
        <v>71100</v>
      </c>
      <c r="BK57" s="954">
        <v>69220</v>
      </c>
      <c r="BL57" s="954">
        <v>73140</v>
      </c>
      <c r="BM57" s="954">
        <v>75100</v>
      </c>
      <c r="BN57" s="954">
        <v>76560</v>
      </c>
      <c r="BO57" s="954">
        <v>75820</v>
      </c>
      <c r="BP57" s="954">
        <v>74240</v>
      </c>
      <c r="BQ57" s="954">
        <v>74180</v>
      </c>
      <c r="BR57" s="954">
        <v>74790</v>
      </c>
      <c r="BS57" s="954">
        <v>76180</v>
      </c>
      <c r="BT57" s="954">
        <v>75130</v>
      </c>
      <c r="BU57" s="954">
        <v>70280</v>
      </c>
      <c r="BV57" s="954">
        <v>65840</v>
      </c>
      <c r="BW57" s="954">
        <v>73050</v>
      </c>
      <c r="BX57" s="954">
        <v>75370</v>
      </c>
      <c r="BY57" s="954">
        <v>78360</v>
      </c>
      <c r="BZ57" s="954">
        <v>85450</v>
      </c>
      <c r="CA57" s="954">
        <v>93490</v>
      </c>
      <c r="CB57" s="954">
        <v>98520</v>
      </c>
      <c r="CC57" s="954">
        <v>110130</v>
      </c>
      <c r="CD57" s="954">
        <v>118350</v>
      </c>
      <c r="CE57" s="954">
        <v>118720</v>
      </c>
      <c r="CF57" s="954">
        <v>122550</v>
      </c>
      <c r="CG57" s="954">
        <v>127300</v>
      </c>
      <c r="CH57" s="954">
        <v>129000</v>
      </c>
      <c r="CI57" s="954">
        <v>124550</v>
      </c>
      <c r="CJ57" s="954">
        <v>118450</v>
      </c>
      <c r="CK57" s="954">
        <v>112300</v>
      </c>
      <c r="CL57" s="955">
        <v>115700</v>
      </c>
      <c r="CM57" s="856">
        <f t="shared" si="15"/>
        <v>75992.245238095231</v>
      </c>
      <c r="CN57" s="347"/>
      <c r="CO57" s="347"/>
      <c r="CP57" s="347"/>
      <c r="CQ57" s="347"/>
      <c r="CR57" s="347"/>
      <c r="CS57" s="347"/>
      <c r="CT57" s="347"/>
      <c r="CU57" s="347"/>
      <c r="CV57" s="347"/>
      <c r="CW57" s="347"/>
      <c r="CX57" s="347"/>
      <c r="CY57" s="347"/>
      <c r="CZ57" s="347"/>
      <c r="DA57" s="347"/>
      <c r="DB57" s="347"/>
      <c r="DC57" s="347"/>
      <c r="DD57" s="347"/>
      <c r="DE57" s="347"/>
      <c r="DF57" s="347"/>
      <c r="DG57" s="347"/>
      <c r="DH57" s="347"/>
      <c r="DI57" s="347"/>
      <c r="DJ57" s="347"/>
      <c r="DK57" s="347"/>
      <c r="DL57" s="347"/>
      <c r="DM57" s="347"/>
      <c r="DN57" s="347"/>
      <c r="DO57" s="347"/>
      <c r="DP57" s="347"/>
      <c r="DQ57" s="347"/>
      <c r="DR57" s="347"/>
      <c r="DS57" s="347"/>
      <c r="DT57" s="347"/>
      <c r="DU57" s="347"/>
      <c r="DV57" s="347"/>
      <c r="DW57" s="347"/>
      <c r="DX57" s="347"/>
      <c r="DY57" s="347"/>
      <c r="DZ57" s="347"/>
      <c r="EA57" s="347"/>
      <c r="EB57" s="347"/>
      <c r="EC57" s="347"/>
      <c r="ED57" s="347"/>
      <c r="EE57" s="347"/>
      <c r="EF57" s="347"/>
      <c r="EG57" s="347"/>
      <c r="EH57" s="347"/>
      <c r="EI57" s="347"/>
      <c r="EJ57" s="347"/>
      <c r="EK57" s="347"/>
      <c r="EL57" s="347"/>
      <c r="EM57" s="347"/>
      <c r="EN57" s="347"/>
      <c r="EO57" s="347"/>
      <c r="EP57" s="347"/>
      <c r="EQ57" s="347"/>
      <c r="ER57" s="347"/>
      <c r="ES57" s="347"/>
      <c r="ET57" s="347"/>
      <c r="EU57" s="347"/>
      <c r="EV57" s="347"/>
      <c r="EW57" s="347"/>
      <c r="EX57" s="347"/>
      <c r="EY57" s="347"/>
      <c r="EZ57" s="347"/>
      <c r="FA57" s="347"/>
      <c r="FB57" s="347"/>
      <c r="FC57" s="347"/>
      <c r="FD57" s="347"/>
      <c r="FE57" s="347"/>
      <c r="FF57" s="347"/>
      <c r="FG57" s="347"/>
      <c r="FH57" s="347"/>
      <c r="FI57" s="347"/>
      <c r="FJ57" s="347"/>
      <c r="FK57" s="347"/>
      <c r="FL57" s="347"/>
      <c r="FM57" s="347"/>
      <c r="FN57" s="347"/>
      <c r="FO57" s="347"/>
      <c r="FP57" s="347"/>
      <c r="FQ57" s="347"/>
      <c r="FR57" s="347"/>
      <c r="FS57" s="347"/>
      <c r="FT57" s="347"/>
      <c r="FU57" s="347"/>
      <c r="FV57" s="347"/>
    </row>
    <row r="58" spans="1:178">
      <c r="A58" s="1401"/>
      <c r="B58" s="859" t="s">
        <v>403</v>
      </c>
      <c r="C58" s="860" t="s">
        <v>418</v>
      </c>
      <c r="D58" s="956"/>
      <c r="E58" s="861" t="s">
        <v>462</v>
      </c>
      <c r="F58" s="957" t="s">
        <v>546</v>
      </c>
      <c r="G58" s="860">
        <v>77300</v>
      </c>
      <c r="H58" s="860">
        <v>75200</v>
      </c>
      <c r="I58" s="860">
        <v>72150</v>
      </c>
      <c r="J58" s="860">
        <v>70700</v>
      </c>
      <c r="K58" s="860">
        <v>71399</v>
      </c>
      <c r="L58" s="860">
        <v>74500</v>
      </c>
      <c r="M58" s="860">
        <v>72800</v>
      </c>
      <c r="N58" s="860">
        <v>69900</v>
      </c>
      <c r="O58" s="860">
        <v>65300</v>
      </c>
      <c r="P58" s="860">
        <v>67800</v>
      </c>
      <c r="Q58" s="860">
        <v>65900</v>
      </c>
      <c r="R58" s="861">
        <v>63400</v>
      </c>
      <c r="S58" s="958">
        <f t="shared" ref="S58:AS58" si="72">S57*0.95</f>
        <v>60638.5</v>
      </c>
      <c r="T58" s="958">
        <f t="shared" si="72"/>
        <v>62006.5</v>
      </c>
      <c r="U58" s="958">
        <f t="shared" si="72"/>
        <v>60477</v>
      </c>
      <c r="V58" s="958">
        <f t="shared" si="72"/>
        <v>59745.5</v>
      </c>
      <c r="W58" s="958">
        <f t="shared" si="72"/>
        <v>56990.5</v>
      </c>
      <c r="X58" s="958">
        <f t="shared" si="72"/>
        <v>58814.5</v>
      </c>
      <c r="Y58" s="958">
        <f t="shared" si="72"/>
        <v>60699.205000000002</v>
      </c>
      <c r="Z58" s="958">
        <f t="shared" si="72"/>
        <v>62367.119999999988</v>
      </c>
      <c r="AA58" s="958">
        <f t="shared" si="72"/>
        <v>62228.894999999997</v>
      </c>
      <c r="AB58" s="958">
        <f t="shared" si="72"/>
        <v>62256.539999999994</v>
      </c>
      <c r="AC58" s="958">
        <f t="shared" si="72"/>
        <v>62781.794999999991</v>
      </c>
      <c r="AD58" s="958">
        <f t="shared" si="72"/>
        <v>62717.289999999994</v>
      </c>
      <c r="AE58" s="958">
        <f t="shared" si="72"/>
        <v>64320.7</v>
      </c>
      <c r="AF58" s="958">
        <f t="shared" si="72"/>
        <v>66477.009999999995</v>
      </c>
      <c r="AG58" s="958">
        <f t="shared" si="72"/>
        <v>69020.349999999991</v>
      </c>
      <c r="AH58" s="958">
        <f t="shared" si="72"/>
        <v>68780.759999999995</v>
      </c>
      <c r="AI58" s="958">
        <f t="shared" si="72"/>
        <v>68900.554999999993</v>
      </c>
      <c r="AJ58" s="958">
        <f t="shared" si="72"/>
        <v>70245.944999999992</v>
      </c>
      <c r="AK58" s="958">
        <f t="shared" si="72"/>
        <v>70540.824999999997</v>
      </c>
      <c r="AL58" s="958">
        <f t="shared" si="72"/>
        <v>67085.2</v>
      </c>
      <c r="AM58" s="958">
        <f t="shared" si="72"/>
        <v>65030.25499999999</v>
      </c>
      <c r="AN58" s="958">
        <f t="shared" si="72"/>
        <v>65749.024999999994</v>
      </c>
      <c r="AO58" s="958">
        <f t="shared" si="72"/>
        <v>64984.179999999993</v>
      </c>
      <c r="AP58" s="958">
        <f t="shared" si="72"/>
        <v>65094.76</v>
      </c>
      <c r="AQ58" s="958">
        <f t="shared" si="72"/>
        <v>66532.3</v>
      </c>
      <c r="AR58" s="958">
        <f t="shared" si="72"/>
        <v>66744.244999999995</v>
      </c>
      <c r="AS58" s="958">
        <f t="shared" si="72"/>
        <v>63049.029999999992</v>
      </c>
      <c r="AT58" s="958">
        <f>AT57*0.95</f>
        <v>63482.135000000002</v>
      </c>
      <c r="AU58" s="958">
        <f t="shared" ref="AU58:CL58" si="73">AU57*0.95</f>
        <v>64781.45</v>
      </c>
      <c r="AV58" s="958">
        <f t="shared" si="73"/>
        <v>70917.5</v>
      </c>
      <c r="AW58" s="958">
        <f t="shared" si="73"/>
        <v>70917.5</v>
      </c>
      <c r="AX58" s="958">
        <f t="shared" si="73"/>
        <v>70336.099999999991</v>
      </c>
      <c r="AY58" s="958">
        <f t="shared" si="73"/>
        <v>73186.099999999991</v>
      </c>
      <c r="AZ58" s="958">
        <f t="shared" si="73"/>
        <v>81101.5</v>
      </c>
      <c r="BA58" s="958">
        <f t="shared" si="73"/>
        <v>82479</v>
      </c>
      <c r="BB58" s="958">
        <f t="shared" si="73"/>
        <v>83277</v>
      </c>
      <c r="BC58" s="958">
        <f t="shared" si="73"/>
        <v>80227.5</v>
      </c>
      <c r="BD58" s="958">
        <f t="shared" si="73"/>
        <v>82773.5</v>
      </c>
      <c r="BE58" s="958">
        <f t="shared" si="73"/>
        <v>81548</v>
      </c>
      <c r="BF58" s="959">
        <f t="shared" si="73"/>
        <v>66424</v>
      </c>
      <c r="BG58" s="959">
        <f t="shared" si="73"/>
        <v>69407</v>
      </c>
      <c r="BH58" s="959">
        <f t="shared" si="73"/>
        <v>69720.5</v>
      </c>
      <c r="BI58" s="959">
        <f t="shared" si="73"/>
        <v>67526</v>
      </c>
      <c r="BJ58" s="959">
        <f t="shared" si="73"/>
        <v>67545</v>
      </c>
      <c r="BK58" s="959">
        <f t="shared" si="73"/>
        <v>65759</v>
      </c>
      <c r="BL58" s="959">
        <f t="shared" si="73"/>
        <v>69483</v>
      </c>
      <c r="BM58" s="959">
        <f t="shared" si="73"/>
        <v>71345</v>
      </c>
      <c r="BN58" s="959">
        <f t="shared" si="73"/>
        <v>72732</v>
      </c>
      <c r="BO58" s="959">
        <f t="shared" si="73"/>
        <v>72029</v>
      </c>
      <c r="BP58" s="959">
        <f t="shared" si="73"/>
        <v>70528</v>
      </c>
      <c r="BQ58" s="959">
        <f t="shared" si="73"/>
        <v>70471</v>
      </c>
      <c r="BR58" s="959">
        <f t="shared" si="73"/>
        <v>71050.5</v>
      </c>
      <c r="BS58" s="959">
        <f t="shared" si="73"/>
        <v>72371</v>
      </c>
      <c r="BT58" s="959">
        <f t="shared" si="73"/>
        <v>71373.5</v>
      </c>
      <c r="BU58" s="959">
        <f t="shared" si="73"/>
        <v>66766</v>
      </c>
      <c r="BV58" s="959">
        <f t="shared" si="73"/>
        <v>62548</v>
      </c>
      <c r="BW58" s="959">
        <f t="shared" si="73"/>
        <v>69397.5</v>
      </c>
      <c r="BX58" s="959">
        <f t="shared" si="73"/>
        <v>71601.5</v>
      </c>
      <c r="BY58" s="959">
        <f t="shared" si="73"/>
        <v>74442</v>
      </c>
      <c r="BZ58" s="959">
        <f t="shared" si="73"/>
        <v>81177.5</v>
      </c>
      <c r="CA58" s="959">
        <f t="shared" si="73"/>
        <v>88815.5</v>
      </c>
      <c r="CB58" s="959">
        <f t="shared" si="73"/>
        <v>93594</v>
      </c>
      <c r="CC58" s="959">
        <f t="shared" si="73"/>
        <v>104623.5</v>
      </c>
      <c r="CD58" s="959">
        <f t="shared" si="73"/>
        <v>112432.5</v>
      </c>
      <c r="CE58" s="959">
        <f t="shared" si="73"/>
        <v>112784</v>
      </c>
      <c r="CF58" s="959">
        <f t="shared" si="73"/>
        <v>116422.5</v>
      </c>
      <c r="CG58" s="959">
        <f t="shared" si="73"/>
        <v>120935</v>
      </c>
      <c r="CH58" s="959">
        <f t="shared" si="73"/>
        <v>122550</v>
      </c>
      <c r="CI58" s="959">
        <f t="shared" si="73"/>
        <v>118322.5</v>
      </c>
      <c r="CJ58" s="959">
        <f t="shared" si="73"/>
        <v>112527.5</v>
      </c>
      <c r="CK58" s="959">
        <f t="shared" si="73"/>
        <v>106685</v>
      </c>
      <c r="CL58" s="960">
        <f t="shared" si="73"/>
        <v>109915</v>
      </c>
      <c r="CM58" s="856">
        <f t="shared" si="15"/>
        <v>74749.509166666656</v>
      </c>
      <c r="CN58" s="347"/>
      <c r="CO58" s="347"/>
      <c r="CP58" s="347"/>
      <c r="CQ58" s="347"/>
      <c r="CR58" s="347"/>
      <c r="CS58" s="347"/>
      <c r="CT58" s="347"/>
      <c r="CU58" s="347"/>
      <c r="CV58" s="347"/>
      <c r="CW58" s="347"/>
      <c r="CX58" s="347"/>
      <c r="CY58" s="347"/>
      <c r="CZ58" s="347"/>
      <c r="DA58" s="347"/>
      <c r="DB58" s="347"/>
      <c r="DC58" s="347"/>
      <c r="DD58" s="347"/>
      <c r="DE58" s="347"/>
      <c r="DF58" s="347"/>
      <c r="DG58" s="347"/>
      <c r="DH58" s="347"/>
      <c r="DI58" s="347"/>
      <c r="DJ58" s="347"/>
      <c r="DK58" s="347"/>
      <c r="DL58" s="347"/>
      <c r="DM58" s="347"/>
      <c r="DN58" s="347"/>
      <c r="DO58" s="347"/>
      <c r="DP58" s="347"/>
      <c r="DQ58" s="347"/>
      <c r="DR58" s="347"/>
      <c r="DS58" s="347"/>
      <c r="DT58" s="347"/>
      <c r="DU58" s="347"/>
      <c r="DV58" s="347"/>
      <c r="DW58" s="347"/>
      <c r="DX58" s="347"/>
      <c r="DY58" s="347"/>
      <c r="DZ58" s="347"/>
      <c r="EA58" s="347"/>
      <c r="EB58" s="347"/>
      <c r="EC58" s="347"/>
      <c r="ED58" s="347"/>
      <c r="EE58" s="347"/>
      <c r="EF58" s="347"/>
      <c r="EG58" s="347"/>
      <c r="EH58" s="347"/>
      <c r="EI58" s="347"/>
      <c r="EJ58" s="347"/>
      <c r="EK58" s="347"/>
      <c r="EL58" s="347"/>
      <c r="EM58" s="347"/>
      <c r="EN58" s="347"/>
      <c r="EO58" s="347"/>
      <c r="EP58" s="347"/>
      <c r="EQ58" s="347"/>
      <c r="ER58" s="347"/>
      <c r="ES58" s="347"/>
      <c r="ET58" s="347"/>
      <c r="EU58" s="347"/>
      <c r="EV58" s="347"/>
      <c r="EW58" s="347"/>
      <c r="EX58" s="347"/>
      <c r="EY58" s="347"/>
      <c r="EZ58" s="347"/>
      <c r="FA58" s="347"/>
      <c r="FB58" s="347"/>
      <c r="FC58" s="347"/>
      <c r="FD58" s="347"/>
      <c r="FE58" s="347"/>
      <c r="FF58" s="347"/>
      <c r="FG58" s="347"/>
      <c r="FH58" s="347"/>
      <c r="FI58" s="347"/>
      <c r="FJ58" s="347"/>
      <c r="FK58" s="347"/>
      <c r="FL58" s="347"/>
      <c r="FM58" s="347"/>
      <c r="FN58" s="347"/>
      <c r="FO58" s="347"/>
      <c r="FP58" s="347"/>
      <c r="FQ58" s="347"/>
      <c r="FR58" s="347"/>
      <c r="FS58" s="347"/>
      <c r="FT58" s="347"/>
      <c r="FU58" s="347"/>
      <c r="FV58" s="347"/>
    </row>
    <row r="59" spans="1:178">
      <c r="A59" s="347"/>
      <c r="B59" s="347"/>
      <c r="C59" s="347"/>
      <c r="D59" s="347"/>
      <c r="E59" s="347"/>
      <c r="F59" s="961"/>
      <c r="G59" s="961"/>
      <c r="H59" s="961"/>
      <c r="I59" s="961"/>
      <c r="J59" s="961"/>
      <c r="K59" s="961"/>
      <c r="L59" s="961"/>
      <c r="M59" s="961"/>
      <c r="N59" s="961"/>
      <c r="O59" s="961"/>
      <c r="P59" s="961"/>
      <c r="Q59" s="961"/>
      <c r="R59" s="961"/>
      <c r="S59" s="962"/>
      <c r="T59" s="962"/>
      <c r="U59" s="962"/>
      <c r="V59" s="962"/>
      <c r="W59" s="962"/>
      <c r="X59" s="962"/>
      <c r="Y59" s="962"/>
      <c r="Z59" s="962"/>
      <c r="AA59" s="962"/>
      <c r="AB59" s="962"/>
      <c r="AC59" s="962"/>
      <c r="AD59" s="962"/>
      <c r="AE59" s="962"/>
      <c r="AF59" s="962"/>
      <c r="AG59" s="962"/>
      <c r="AH59" s="962"/>
      <c r="AI59" s="962"/>
      <c r="AJ59" s="962"/>
      <c r="AK59" s="962"/>
      <c r="AL59" s="962"/>
      <c r="AM59" s="962"/>
      <c r="AN59" s="962"/>
      <c r="AO59" s="962"/>
      <c r="AP59" s="962"/>
      <c r="AQ59" s="962"/>
      <c r="AR59" s="962"/>
      <c r="AS59" s="962"/>
      <c r="AT59" s="963">
        <v>8000</v>
      </c>
      <c r="AU59" s="962"/>
      <c r="AV59" s="962"/>
      <c r="AW59" s="962"/>
      <c r="AX59" s="962"/>
      <c r="AY59" s="962"/>
      <c r="AZ59" s="962"/>
      <c r="BA59" s="962"/>
      <c r="BB59" s="962"/>
      <c r="BC59" s="962"/>
      <c r="BD59" s="962"/>
      <c r="BE59" s="962"/>
      <c r="BF59" s="962"/>
      <c r="BG59" s="962"/>
      <c r="BH59" s="962"/>
      <c r="BI59" s="962"/>
      <c r="BJ59" s="962"/>
      <c r="BK59" s="962"/>
      <c r="BL59" s="962"/>
      <c r="BM59" s="962"/>
      <c r="BN59" s="962"/>
      <c r="BO59" s="962"/>
      <c r="BP59" s="962"/>
      <c r="BQ59" s="962"/>
      <c r="BR59" s="962"/>
      <c r="BS59" s="962"/>
      <c r="BT59" s="962"/>
      <c r="BU59" s="962"/>
      <c r="BV59" s="962"/>
      <c r="BW59" s="962"/>
      <c r="BX59" s="962"/>
      <c r="BY59" s="962"/>
      <c r="BZ59" s="962"/>
      <c r="CA59" s="962"/>
      <c r="CB59" s="962"/>
      <c r="CC59" s="962"/>
      <c r="CD59" s="962"/>
      <c r="CE59" s="962"/>
      <c r="CF59" s="962"/>
      <c r="CG59" s="962"/>
      <c r="CH59" s="962"/>
      <c r="CI59" s="962"/>
      <c r="CJ59" s="962"/>
      <c r="CK59" s="962"/>
      <c r="CL59" s="962"/>
      <c r="CM59" s="964"/>
      <c r="CN59" s="347"/>
      <c r="CO59" s="347"/>
      <c r="CP59" s="347"/>
      <c r="CQ59" s="347"/>
      <c r="CR59" s="347"/>
      <c r="CS59" s="347"/>
      <c r="CT59" s="347"/>
      <c r="CU59" s="347"/>
      <c r="CV59" s="347"/>
      <c r="CW59" s="347"/>
      <c r="CX59" s="347"/>
      <c r="CY59" s="347"/>
      <c r="CZ59" s="347"/>
      <c r="DA59" s="347"/>
      <c r="DB59" s="347"/>
      <c r="DC59" s="347"/>
      <c r="DD59" s="347"/>
      <c r="DE59" s="347"/>
      <c r="DF59" s="347"/>
      <c r="DG59" s="347"/>
      <c r="DH59" s="347"/>
      <c r="DI59" s="347"/>
      <c r="DJ59" s="347"/>
      <c r="DK59" s="347"/>
      <c r="DL59" s="347"/>
      <c r="DM59" s="347"/>
      <c r="DN59" s="347"/>
      <c r="DO59" s="347"/>
      <c r="DP59" s="347"/>
      <c r="DQ59" s="347"/>
      <c r="DR59" s="347"/>
      <c r="DS59" s="347"/>
      <c r="DT59" s="347"/>
      <c r="DU59" s="347"/>
      <c r="DV59" s="347"/>
      <c r="DW59" s="347"/>
      <c r="DX59" s="347"/>
      <c r="DY59" s="347"/>
      <c r="DZ59" s="347"/>
      <c r="EA59" s="347"/>
      <c r="EB59" s="347"/>
      <c r="EC59" s="347"/>
      <c r="ED59" s="347"/>
      <c r="EE59" s="347"/>
      <c r="EF59" s="347"/>
      <c r="EG59" s="347"/>
      <c r="EH59" s="347"/>
      <c r="EI59" s="347"/>
      <c r="EJ59" s="347"/>
      <c r="EK59" s="347"/>
      <c r="EL59" s="347"/>
      <c r="EM59" s="347"/>
      <c r="EN59" s="347"/>
      <c r="EO59" s="347"/>
      <c r="EP59" s="347"/>
      <c r="EQ59" s="347"/>
      <c r="ER59" s="347"/>
      <c r="ES59" s="347"/>
      <c r="ET59" s="347"/>
      <c r="EU59" s="347"/>
      <c r="EV59" s="347"/>
      <c r="EW59" s="347"/>
      <c r="EX59" s="347"/>
      <c r="EY59" s="347"/>
      <c r="EZ59" s="347"/>
      <c r="FA59" s="347"/>
      <c r="FB59" s="347"/>
      <c r="FC59" s="347"/>
      <c r="FD59" s="347"/>
      <c r="FE59" s="347"/>
      <c r="FF59" s="347"/>
      <c r="FG59" s="347"/>
      <c r="FH59" s="347"/>
      <c r="FI59" s="347"/>
      <c r="FJ59" s="347"/>
      <c r="FK59" s="347"/>
      <c r="FL59" s="347"/>
      <c r="FM59" s="347"/>
      <c r="FN59" s="347"/>
      <c r="FO59" s="347"/>
      <c r="FP59" s="347"/>
      <c r="FQ59" s="347"/>
      <c r="FR59" s="347"/>
      <c r="FS59" s="347"/>
      <c r="FT59" s="347"/>
      <c r="FU59" s="347"/>
      <c r="FV59" s="347"/>
    </row>
    <row r="60" spans="1:178" ht="12.75" customHeight="1">
      <c r="A60" s="1402" t="s">
        <v>652</v>
      </c>
      <c r="B60" s="1402"/>
      <c r="C60" s="1402"/>
      <c r="D60" s="1402"/>
      <c r="E60" s="1403"/>
      <c r="F60" s="965" t="s">
        <v>211</v>
      </c>
      <c r="G60" s="965"/>
      <c r="H60" s="965"/>
      <c r="I60" s="965"/>
      <c r="J60" s="965"/>
      <c r="K60" s="965"/>
      <c r="L60" s="965"/>
      <c r="M60" s="965"/>
      <c r="N60" s="965"/>
      <c r="O60" s="965"/>
      <c r="P60" s="965"/>
      <c r="Q60" s="965"/>
      <c r="R60" s="965"/>
      <c r="S60" s="966"/>
      <c r="T60" s="966"/>
      <c r="U60" s="966"/>
      <c r="V60" s="966"/>
      <c r="W60" s="966"/>
      <c r="X60" s="966"/>
      <c r="Y60" s="966"/>
      <c r="Z60" s="966"/>
      <c r="AA60" s="966"/>
      <c r="AB60" s="966"/>
      <c r="AC60" s="966"/>
      <c r="AD60" s="966"/>
      <c r="AE60" s="966"/>
      <c r="AF60" s="966"/>
      <c r="AG60" s="966"/>
      <c r="AH60" s="966"/>
      <c r="AI60" s="966"/>
      <c r="AJ60" s="966"/>
      <c r="AK60" s="966"/>
      <c r="AL60" s="966"/>
      <c r="AM60" s="966"/>
      <c r="AN60" s="966"/>
      <c r="AO60" s="966"/>
      <c r="AP60" s="966"/>
      <c r="AQ60" s="966"/>
      <c r="AR60" s="966"/>
      <c r="AS60" s="966"/>
      <c r="AT60" s="967"/>
      <c r="AU60" s="598"/>
      <c r="AV60" s="598"/>
      <c r="AW60" s="598"/>
      <c r="AX60" s="598"/>
      <c r="AY60" s="598"/>
      <c r="AZ60" s="598"/>
      <c r="BA60" s="598"/>
      <c r="BB60" s="598"/>
      <c r="BC60" s="598"/>
      <c r="BD60" s="598"/>
      <c r="BE60" s="598"/>
      <c r="BF60" s="598"/>
      <c r="BG60" s="598"/>
      <c r="BH60" s="598"/>
      <c r="BI60" s="598"/>
      <c r="BJ60" s="598"/>
      <c r="BK60" s="598"/>
      <c r="BL60" s="598"/>
      <c r="BM60" s="598"/>
      <c r="BN60" s="598"/>
      <c r="BO60" s="598"/>
      <c r="BP60" s="598"/>
      <c r="BQ60" s="598"/>
      <c r="BR60" s="598"/>
      <c r="BS60" s="598"/>
      <c r="BT60" s="598"/>
      <c r="BU60" s="598"/>
      <c r="BV60" s="598"/>
      <c r="BW60" s="598"/>
      <c r="BX60" s="598"/>
      <c r="BY60" s="598"/>
      <c r="BZ60" s="598"/>
      <c r="CA60" s="598"/>
      <c r="CB60" s="598"/>
      <c r="CC60" s="598"/>
      <c r="CD60" s="598"/>
      <c r="CE60" s="598"/>
      <c r="CF60" s="598"/>
      <c r="CG60" s="598"/>
      <c r="CH60" s="598"/>
      <c r="CI60" s="598"/>
      <c r="CJ60" s="598"/>
      <c r="CK60" s="598"/>
      <c r="CL60" s="598"/>
      <c r="CM60" s="966"/>
      <c r="CN60" s="347"/>
      <c r="CO60" s="347"/>
      <c r="CP60" s="347"/>
      <c r="CQ60" s="347"/>
      <c r="CR60" s="347"/>
      <c r="CS60" s="347"/>
      <c r="CT60" s="347"/>
      <c r="CU60" s="347"/>
      <c r="CV60" s="347"/>
      <c r="CW60" s="347"/>
      <c r="CX60" s="347"/>
      <c r="CY60" s="347"/>
      <c r="CZ60" s="347"/>
      <c r="DA60" s="347"/>
      <c r="DB60" s="347"/>
      <c r="DC60" s="347"/>
      <c r="DD60" s="347"/>
      <c r="DE60" s="347"/>
      <c r="DF60" s="347"/>
      <c r="DG60" s="347"/>
      <c r="DH60" s="347"/>
      <c r="DI60" s="347"/>
      <c r="DJ60" s="347"/>
      <c r="DK60" s="347"/>
      <c r="DL60" s="347"/>
      <c r="DM60" s="347"/>
      <c r="DN60" s="347"/>
      <c r="DO60" s="347"/>
      <c r="DP60" s="347"/>
      <c r="DQ60" s="347"/>
      <c r="DR60" s="347"/>
      <c r="DS60" s="347"/>
      <c r="DT60" s="347"/>
      <c r="DU60" s="347"/>
      <c r="DV60" s="347"/>
      <c r="DW60" s="347"/>
      <c r="DX60" s="347"/>
      <c r="DY60" s="347"/>
      <c r="DZ60" s="347"/>
      <c r="EA60" s="347"/>
      <c r="EB60" s="347"/>
      <c r="EC60" s="347"/>
      <c r="ED60" s="347"/>
      <c r="EE60" s="347"/>
      <c r="EF60" s="347"/>
      <c r="EG60" s="347"/>
      <c r="EH60" s="347"/>
      <c r="EI60" s="347"/>
      <c r="EJ60" s="347"/>
      <c r="EK60" s="347"/>
      <c r="EL60" s="347"/>
      <c r="EM60" s="347"/>
      <c r="EN60" s="347"/>
      <c r="EO60" s="347"/>
      <c r="EP60" s="347"/>
      <c r="EQ60" s="347"/>
      <c r="ER60" s="347"/>
      <c r="ES60" s="347"/>
      <c r="ET60" s="347"/>
      <c r="EU60" s="347"/>
      <c r="EV60" s="347"/>
      <c r="EW60" s="347"/>
      <c r="EX60" s="347"/>
      <c r="EY60" s="347"/>
      <c r="EZ60" s="347"/>
      <c r="FA60" s="347"/>
      <c r="FB60" s="347"/>
      <c r="FC60" s="347"/>
      <c r="FD60" s="347"/>
      <c r="FE60" s="347"/>
      <c r="FF60" s="347"/>
      <c r="FG60" s="347"/>
      <c r="FH60" s="347"/>
      <c r="FI60" s="347"/>
      <c r="FJ60" s="347"/>
      <c r="FK60" s="347"/>
      <c r="FL60" s="347"/>
      <c r="FM60" s="347"/>
      <c r="FN60" s="347"/>
      <c r="FO60" s="347"/>
      <c r="FP60" s="347"/>
      <c r="FQ60" s="347"/>
      <c r="FR60" s="347"/>
      <c r="FS60" s="347"/>
      <c r="FT60" s="347"/>
      <c r="FU60" s="347"/>
      <c r="FV60" s="347"/>
    </row>
    <row r="61" spans="1:178">
      <c r="A61" s="1402"/>
      <c r="B61" s="1402"/>
      <c r="C61" s="1402"/>
      <c r="D61" s="1402"/>
      <c r="E61" s="1403"/>
      <c r="F61" s="854" t="s">
        <v>212</v>
      </c>
      <c r="G61" s="963">
        <f t="shared" ref="G61:BR62" si="74">G43</f>
        <v>5310784.7387895873</v>
      </c>
      <c r="H61" s="963">
        <f t="shared" si="74"/>
        <v>5310784.7387895873</v>
      </c>
      <c r="I61" s="963">
        <f t="shared" si="74"/>
        <v>5310784.7387895873</v>
      </c>
      <c r="J61" s="963">
        <f t="shared" si="74"/>
        <v>5310784.7387895873</v>
      </c>
      <c r="K61" s="963">
        <f t="shared" si="74"/>
        <v>5310784.7387895873</v>
      </c>
      <c r="L61" s="963">
        <f t="shared" si="74"/>
        <v>5310784.7387895873</v>
      </c>
      <c r="M61" s="963">
        <f t="shared" si="74"/>
        <v>5310784.7387895873</v>
      </c>
      <c r="N61" s="963">
        <f t="shared" si="74"/>
        <v>5310784.7387895873</v>
      </c>
      <c r="O61" s="963">
        <f t="shared" si="74"/>
        <v>5310784.7387895873</v>
      </c>
      <c r="P61" s="963">
        <f t="shared" si="74"/>
        <v>5310784.7387895873</v>
      </c>
      <c r="Q61" s="963">
        <f t="shared" si="74"/>
        <v>5310784.7387895873</v>
      </c>
      <c r="R61" s="963">
        <f t="shared" si="74"/>
        <v>5310784.7387895873</v>
      </c>
      <c r="S61" s="963">
        <f t="shared" si="74"/>
        <v>5310784.7387895873</v>
      </c>
      <c r="T61" s="963">
        <f t="shared" si="74"/>
        <v>5310784.7387895873</v>
      </c>
      <c r="U61" s="963">
        <f t="shared" si="74"/>
        <v>5310784.7387895873</v>
      </c>
      <c r="V61" s="963">
        <f t="shared" si="74"/>
        <v>5310784.7387895873</v>
      </c>
      <c r="W61" s="963">
        <f t="shared" si="74"/>
        <v>5310784.7387895873</v>
      </c>
      <c r="X61" s="963">
        <f t="shared" si="74"/>
        <v>5310784.7387895873</v>
      </c>
      <c r="Y61" s="963">
        <f t="shared" si="74"/>
        <v>5310784.7387895873</v>
      </c>
      <c r="Z61" s="963">
        <f t="shared" si="74"/>
        <v>5310784.7387895873</v>
      </c>
      <c r="AA61" s="963">
        <f t="shared" si="74"/>
        <v>5310784.7387895873</v>
      </c>
      <c r="AB61" s="963">
        <f t="shared" si="74"/>
        <v>5310784.7387895873</v>
      </c>
      <c r="AC61" s="963">
        <f t="shared" si="74"/>
        <v>5310784.7387895873</v>
      </c>
      <c r="AD61" s="963">
        <f t="shared" si="74"/>
        <v>5310784.7387895873</v>
      </c>
      <c r="AE61" s="963">
        <f t="shared" si="74"/>
        <v>5310784.7387895873</v>
      </c>
      <c r="AF61" s="963">
        <f t="shared" si="74"/>
        <v>5310784.7387895873</v>
      </c>
      <c r="AG61" s="963">
        <f t="shared" si="74"/>
        <v>5310784.7387895873</v>
      </c>
      <c r="AH61" s="963">
        <f t="shared" si="74"/>
        <v>5310784.7387895873</v>
      </c>
      <c r="AI61" s="963">
        <f t="shared" si="74"/>
        <v>5310784.7387895873</v>
      </c>
      <c r="AJ61" s="963">
        <f t="shared" si="74"/>
        <v>5310784.7387895873</v>
      </c>
      <c r="AK61" s="963">
        <f t="shared" si="74"/>
        <v>5310784.7387895873</v>
      </c>
      <c r="AL61" s="963">
        <f t="shared" si="74"/>
        <v>5310784.7387895873</v>
      </c>
      <c r="AM61" s="963">
        <f t="shared" si="74"/>
        <v>5310784.7387895873</v>
      </c>
      <c r="AN61" s="963">
        <f t="shared" si="74"/>
        <v>5310784.7387895873</v>
      </c>
      <c r="AO61" s="963">
        <f t="shared" si="74"/>
        <v>5310784.7387895873</v>
      </c>
      <c r="AP61" s="963">
        <f t="shared" si="74"/>
        <v>5310784.7387895873</v>
      </c>
      <c r="AQ61" s="963">
        <f t="shared" si="74"/>
        <v>5310784.7387895873</v>
      </c>
      <c r="AR61" s="963">
        <f t="shared" si="74"/>
        <v>5310784.7387895873</v>
      </c>
      <c r="AS61" s="963">
        <f t="shared" si="74"/>
        <v>5310784.7387895873</v>
      </c>
      <c r="AT61" s="963">
        <f t="shared" si="74"/>
        <v>5310784.7387895873</v>
      </c>
      <c r="AU61" s="356">
        <f t="shared" si="74"/>
        <v>5310784.7387895873</v>
      </c>
      <c r="AV61" s="356">
        <f t="shared" si="74"/>
        <v>5310784.7387895873</v>
      </c>
      <c r="AW61" s="356">
        <f t="shared" si="74"/>
        <v>5310784.7387895873</v>
      </c>
      <c r="AX61" s="356">
        <f t="shared" si="74"/>
        <v>5310784.7387895873</v>
      </c>
      <c r="AY61" s="356">
        <f t="shared" si="74"/>
        <v>5310784.7387895873</v>
      </c>
      <c r="AZ61" s="356">
        <f t="shared" si="74"/>
        <v>5310784.7387895873</v>
      </c>
      <c r="BA61" s="356">
        <f t="shared" si="74"/>
        <v>5310784.7387895873</v>
      </c>
      <c r="BB61" s="356">
        <f t="shared" si="74"/>
        <v>5310784.7387895873</v>
      </c>
      <c r="BC61" s="356">
        <f t="shared" si="74"/>
        <v>5310784.7387895873</v>
      </c>
      <c r="BD61" s="356">
        <f t="shared" si="74"/>
        <v>5310784.7387895873</v>
      </c>
      <c r="BE61" s="356">
        <f t="shared" si="74"/>
        <v>5310784.7387895873</v>
      </c>
      <c r="BF61" s="356">
        <f t="shared" si="74"/>
        <v>5310784.7387895873</v>
      </c>
      <c r="BG61" s="356">
        <f t="shared" si="74"/>
        <v>5310784.7387895873</v>
      </c>
      <c r="BH61" s="356">
        <f t="shared" si="74"/>
        <v>5310784.7387895873</v>
      </c>
      <c r="BI61" s="356">
        <f t="shared" si="74"/>
        <v>5310784.7387895873</v>
      </c>
      <c r="BJ61" s="356">
        <f t="shared" si="74"/>
        <v>5310784.7387895873</v>
      </c>
      <c r="BK61" s="356">
        <f t="shared" si="74"/>
        <v>5310784.7387895873</v>
      </c>
      <c r="BL61" s="356">
        <f t="shared" si="74"/>
        <v>5310784.7387895873</v>
      </c>
      <c r="BM61" s="356">
        <f t="shared" si="74"/>
        <v>5310784.7387895873</v>
      </c>
      <c r="BN61" s="356">
        <f t="shared" si="74"/>
        <v>5310784.7387895873</v>
      </c>
      <c r="BO61" s="356">
        <f t="shared" si="74"/>
        <v>5310784.7387895873</v>
      </c>
      <c r="BP61" s="356">
        <f t="shared" si="74"/>
        <v>5310784.7387895873</v>
      </c>
      <c r="BQ61" s="356">
        <f t="shared" si="74"/>
        <v>5310784.7387895873</v>
      </c>
      <c r="BR61" s="356">
        <f t="shared" si="74"/>
        <v>5310784.7387895873</v>
      </c>
      <c r="BS61" s="356">
        <f t="shared" ref="BS61:CL62" si="75">BS43</f>
        <v>5310784.7387895873</v>
      </c>
      <c r="BT61" s="356">
        <f t="shared" si="75"/>
        <v>5310784.7387895873</v>
      </c>
      <c r="BU61" s="356">
        <f t="shared" si="75"/>
        <v>5310784.7387895873</v>
      </c>
      <c r="BV61" s="356">
        <f t="shared" si="75"/>
        <v>5310784.7387895873</v>
      </c>
      <c r="BW61" s="356">
        <f t="shared" si="75"/>
        <v>5310784.7387895873</v>
      </c>
      <c r="BX61" s="356">
        <f t="shared" si="75"/>
        <v>5310784.7387895873</v>
      </c>
      <c r="BY61" s="356">
        <f t="shared" si="75"/>
        <v>5310784.7387895873</v>
      </c>
      <c r="BZ61" s="356">
        <f t="shared" si="75"/>
        <v>5310784.7387895873</v>
      </c>
      <c r="CA61" s="356">
        <f t="shared" si="75"/>
        <v>5310784.7387895873</v>
      </c>
      <c r="CB61" s="356">
        <f t="shared" si="75"/>
        <v>5310784.7387895873</v>
      </c>
      <c r="CC61" s="356">
        <f t="shared" si="75"/>
        <v>5310784.7387895873</v>
      </c>
      <c r="CD61" s="356">
        <f t="shared" si="75"/>
        <v>5310784.7387895873</v>
      </c>
      <c r="CE61" s="356">
        <f t="shared" si="75"/>
        <v>5310784.7387895873</v>
      </c>
      <c r="CF61" s="356">
        <f t="shared" si="75"/>
        <v>5310784.7387895873</v>
      </c>
      <c r="CG61" s="356">
        <f t="shared" si="75"/>
        <v>5310784.7387895873</v>
      </c>
      <c r="CH61" s="356">
        <f t="shared" si="75"/>
        <v>5310784.7387895873</v>
      </c>
      <c r="CI61" s="356">
        <f t="shared" si="75"/>
        <v>5310784.7387895873</v>
      </c>
      <c r="CJ61" s="356">
        <f t="shared" si="75"/>
        <v>5310784.7387895873</v>
      </c>
      <c r="CK61" s="356">
        <f t="shared" si="75"/>
        <v>5310784.7387895873</v>
      </c>
      <c r="CL61" s="356">
        <f t="shared" si="75"/>
        <v>5310784.7387895873</v>
      </c>
      <c r="CM61" s="598">
        <f t="shared" ref="CM61:CM67" si="76">AVERAGE(G61:CL61)</f>
        <v>5310784.7387895761</v>
      </c>
      <c r="CN61" s="347"/>
      <c r="CO61" s="347"/>
      <c r="CP61" s="347"/>
      <c r="CQ61" s="347"/>
      <c r="CR61" s="347"/>
      <c r="CS61" s="347"/>
      <c r="CT61" s="347"/>
      <c r="CU61" s="347"/>
      <c r="CV61" s="347"/>
      <c r="CW61" s="347"/>
      <c r="CX61" s="347"/>
      <c r="CY61" s="347"/>
      <c r="CZ61" s="347"/>
      <c r="DA61" s="347"/>
      <c r="DB61" s="347"/>
      <c r="DC61" s="347"/>
      <c r="DD61" s="347"/>
      <c r="DE61" s="347"/>
      <c r="DF61" s="347"/>
      <c r="DG61" s="347"/>
      <c r="DH61" s="347"/>
      <c r="DI61" s="347"/>
      <c r="DJ61" s="347"/>
      <c r="DK61" s="347"/>
      <c r="DL61" s="347"/>
      <c r="DM61" s="347"/>
      <c r="DN61" s="347"/>
      <c r="DO61" s="347"/>
      <c r="DP61" s="347"/>
      <c r="DQ61" s="347"/>
      <c r="DR61" s="347"/>
      <c r="DS61" s="347"/>
      <c r="DT61" s="347"/>
      <c r="DU61" s="347"/>
      <c r="DV61" s="347"/>
      <c r="DW61" s="347"/>
      <c r="DX61" s="347"/>
      <c r="DY61" s="347"/>
      <c r="DZ61" s="347"/>
      <c r="EA61" s="347"/>
      <c r="EB61" s="347"/>
      <c r="EC61" s="347"/>
      <c r="ED61" s="347"/>
      <c r="EE61" s="347"/>
      <c r="EF61" s="347"/>
      <c r="EG61" s="347"/>
      <c r="EH61" s="347"/>
      <c r="EI61" s="347"/>
      <c r="EJ61" s="347"/>
      <c r="EK61" s="347"/>
      <c r="EL61" s="347"/>
      <c r="EM61" s="347"/>
      <c r="EN61" s="347"/>
      <c r="EO61" s="347"/>
      <c r="EP61" s="347"/>
      <c r="EQ61" s="347"/>
      <c r="ER61" s="347"/>
      <c r="ES61" s="347"/>
      <c r="ET61" s="347"/>
      <c r="EU61" s="347"/>
      <c r="EV61" s="347"/>
      <c r="EW61" s="347"/>
      <c r="EX61" s="347"/>
      <c r="EY61" s="347"/>
      <c r="EZ61" s="347"/>
      <c r="FA61" s="347"/>
      <c r="FB61" s="347"/>
      <c r="FC61" s="347"/>
      <c r="FD61" s="347"/>
      <c r="FE61" s="347"/>
      <c r="FF61" s="347"/>
      <c r="FG61" s="347"/>
      <c r="FH61" s="347"/>
      <c r="FI61" s="347"/>
      <c r="FJ61" s="347"/>
      <c r="FK61" s="347"/>
      <c r="FL61" s="347"/>
      <c r="FM61" s="347"/>
      <c r="FN61" s="347"/>
      <c r="FO61" s="347"/>
      <c r="FP61" s="347"/>
      <c r="FQ61" s="347"/>
      <c r="FR61" s="347"/>
      <c r="FS61" s="347"/>
      <c r="FT61" s="347"/>
      <c r="FU61" s="347"/>
      <c r="FV61" s="347"/>
    </row>
    <row r="62" spans="1:178">
      <c r="A62" s="1402"/>
      <c r="B62" s="1402"/>
      <c r="C62" s="1402"/>
      <c r="D62" s="1402"/>
      <c r="E62" s="1403"/>
      <c r="F62" s="854" t="s">
        <v>213</v>
      </c>
      <c r="G62" s="963">
        <f t="shared" si="74"/>
        <v>10430888.041666668</v>
      </c>
      <c r="H62" s="963">
        <f t="shared" si="74"/>
        <v>10430888.041666668</v>
      </c>
      <c r="I62" s="963">
        <f t="shared" si="74"/>
        <v>10430888.041666668</v>
      </c>
      <c r="J62" s="963">
        <f t="shared" si="74"/>
        <v>10430888.041666668</v>
      </c>
      <c r="K62" s="963">
        <f t="shared" si="74"/>
        <v>10430888.041666668</v>
      </c>
      <c r="L62" s="963">
        <f t="shared" si="74"/>
        <v>10430888.041666668</v>
      </c>
      <c r="M62" s="963">
        <f t="shared" si="74"/>
        <v>10430888.041666668</v>
      </c>
      <c r="N62" s="963">
        <f t="shared" si="74"/>
        <v>10430888.041666668</v>
      </c>
      <c r="O62" s="963">
        <f t="shared" si="74"/>
        <v>10430888.041666668</v>
      </c>
      <c r="P62" s="963">
        <f t="shared" si="74"/>
        <v>10430888.041666668</v>
      </c>
      <c r="Q62" s="963">
        <f t="shared" si="74"/>
        <v>10430888.041666668</v>
      </c>
      <c r="R62" s="963">
        <f t="shared" si="74"/>
        <v>10430888.041666668</v>
      </c>
      <c r="S62" s="963">
        <f t="shared" si="74"/>
        <v>10430888.041666668</v>
      </c>
      <c r="T62" s="963">
        <f t="shared" si="74"/>
        <v>10430888.041666668</v>
      </c>
      <c r="U62" s="963">
        <f t="shared" si="74"/>
        <v>10430888.041666668</v>
      </c>
      <c r="V62" s="963">
        <f t="shared" si="74"/>
        <v>10430888.041666668</v>
      </c>
      <c r="W62" s="963">
        <f t="shared" si="74"/>
        <v>10430888.041666668</v>
      </c>
      <c r="X62" s="963">
        <f t="shared" si="74"/>
        <v>10430888.041666668</v>
      </c>
      <c r="Y62" s="963">
        <f t="shared" si="74"/>
        <v>10430888.041666668</v>
      </c>
      <c r="Z62" s="963">
        <f t="shared" si="74"/>
        <v>10430888.041666668</v>
      </c>
      <c r="AA62" s="963">
        <f t="shared" si="74"/>
        <v>10430888.041666668</v>
      </c>
      <c r="AB62" s="963">
        <f t="shared" si="74"/>
        <v>10430888.041666668</v>
      </c>
      <c r="AC62" s="963">
        <f t="shared" si="74"/>
        <v>10430888.041666668</v>
      </c>
      <c r="AD62" s="963">
        <f t="shared" si="74"/>
        <v>10430888.041666668</v>
      </c>
      <c r="AE62" s="963">
        <f t="shared" si="74"/>
        <v>10430888.041666668</v>
      </c>
      <c r="AF62" s="963">
        <f t="shared" si="74"/>
        <v>10430888.041666668</v>
      </c>
      <c r="AG62" s="963">
        <f t="shared" si="74"/>
        <v>10430888.041666668</v>
      </c>
      <c r="AH62" s="963">
        <f t="shared" si="74"/>
        <v>10430888.041666668</v>
      </c>
      <c r="AI62" s="963">
        <f t="shared" si="74"/>
        <v>10430888.041666668</v>
      </c>
      <c r="AJ62" s="963">
        <f t="shared" si="74"/>
        <v>10430888.041666668</v>
      </c>
      <c r="AK62" s="963">
        <f t="shared" si="74"/>
        <v>10430888.041666668</v>
      </c>
      <c r="AL62" s="963">
        <f t="shared" si="74"/>
        <v>10430888.041666668</v>
      </c>
      <c r="AM62" s="963">
        <f t="shared" si="74"/>
        <v>10430888.041666668</v>
      </c>
      <c r="AN62" s="963">
        <f t="shared" si="74"/>
        <v>10430888.041666668</v>
      </c>
      <c r="AO62" s="963">
        <f t="shared" si="74"/>
        <v>10430888.041666668</v>
      </c>
      <c r="AP62" s="963">
        <f t="shared" si="74"/>
        <v>10430888.041666668</v>
      </c>
      <c r="AQ62" s="963">
        <f t="shared" si="74"/>
        <v>10430888.041666668</v>
      </c>
      <c r="AR62" s="963">
        <f t="shared" si="74"/>
        <v>10430888.041666668</v>
      </c>
      <c r="AS62" s="963">
        <f t="shared" si="74"/>
        <v>10430888.041666668</v>
      </c>
      <c r="AT62" s="963">
        <f t="shared" si="74"/>
        <v>10430888.041666668</v>
      </c>
      <c r="AU62" s="356">
        <f t="shared" si="74"/>
        <v>10430888.041666668</v>
      </c>
      <c r="AV62" s="356">
        <f t="shared" si="74"/>
        <v>10430888.041666668</v>
      </c>
      <c r="AW62" s="356">
        <f t="shared" si="74"/>
        <v>10430888.041666668</v>
      </c>
      <c r="AX62" s="356">
        <f t="shared" si="74"/>
        <v>10430888.041666668</v>
      </c>
      <c r="AY62" s="356">
        <f t="shared" si="74"/>
        <v>10430888.041666668</v>
      </c>
      <c r="AZ62" s="356">
        <f t="shared" si="74"/>
        <v>10430888.041666668</v>
      </c>
      <c r="BA62" s="356">
        <f t="shared" si="74"/>
        <v>10430888.041666668</v>
      </c>
      <c r="BB62" s="356">
        <f t="shared" si="74"/>
        <v>10430888.041666668</v>
      </c>
      <c r="BC62" s="356">
        <f t="shared" si="74"/>
        <v>10430888.041666668</v>
      </c>
      <c r="BD62" s="356">
        <f t="shared" si="74"/>
        <v>10430888.041666668</v>
      </c>
      <c r="BE62" s="356">
        <f t="shared" si="74"/>
        <v>10430888.041666668</v>
      </c>
      <c r="BF62" s="356">
        <f t="shared" si="74"/>
        <v>10430888.041666668</v>
      </c>
      <c r="BG62" s="356">
        <f t="shared" si="74"/>
        <v>10430888.041666668</v>
      </c>
      <c r="BH62" s="356">
        <f t="shared" si="74"/>
        <v>10430888.041666668</v>
      </c>
      <c r="BI62" s="356">
        <f t="shared" si="74"/>
        <v>10430888.041666668</v>
      </c>
      <c r="BJ62" s="356">
        <f t="shared" si="74"/>
        <v>10430888.041666668</v>
      </c>
      <c r="BK62" s="356">
        <f t="shared" si="74"/>
        <v>10430888.041666668</v>
      </c>
      <c r="BL62" s="356">
        <f t="shared" si="74"/>
        <v>10430888.041666668</v>
      </c>
      <c r="BM62" s="356">
        <f t="shared" si="74"/>
        <v>10430888.041666668</v>
      </c>
      <c r="BN62" s="356">
        <f t="shared" si="74"/>
        <v>10430888.041666668</v>
      </c>
      <c r="BO62" s="356">
        <f t="shared" si="74"/>
        <v>10430888.041666668</v>
      </c>
      <c r="BP62" s="356">
        <f t="shared" si="74"/>
        <v>10430888.041666668</v>
      </c>
      <c r="BQ62" s="356">
        <f t="shared" si="74"/>
        <v>10430888.041666668</v>
      </c>
      <c r="BR62" s="356">
        <f t="shared" si="74"/>
        <v>10430888.041666668</v>
      </c>
      <c r="BS62" s="356">
        <f t="shared" si="75"/>
        <v>10430888.041666668</v>
      </c>
      <c r="BT62" s="356">
        <f t="shared" si="75"/>
        <v>10430888.041666668</v>
      </c>
      <c r="BU62" s="356">
        <f t="shared" si="75"/>
        <v>10430888.041666668</v>
      </c>
      <c r="BV62" s="356">
        <f t="shared" si="75"/>
        <v>10430888.041666668</v>
      </c>
      <c r="BW62" s="356">
        <f t="shared" si="75"/>
        <v>10430888.041666668</v>
      </c>
      <c r="BX62" s="356">
        <f t="shared" si="75"/>
        <v>10430888.041666668</v>
      </c>
      <c r="BY62" s="356">
        <f t="shared" si="75"/>
        <v>10430888.041666668</v>
      </c>
      <c r="BZ62" s="356">
        <f t="shared" si="75"/>
        <v>10430888.041666668</v>
      </c>
      <c r="CA62" s="356">
        <f t="shared" si="75"/>
        <v>10430888.041666668</v>
      </c>
      <c r="CB62" s="356">
        <f t="shared" si="75"/>
        <v>10430888.041666668</v>
      </c>
      <c r="CC62" s="356">
        <f t="shared" si="75"/>
        <v>10430888.041666668</v>
      </c>
      <c r="CD62" s="356">
        <f t="shared" si="75"/>
        <v>10430888.041666668</v>
      </c>
      <c r="CE62" s="356">
        <f t="shared" si="75"/>
        <v>10430888.041666668</v>
      </c>
      <c r="CF62" s="356">
        <f t="shared" si="75"/>
        <v>10430888.041666668</v>
      </c>
      <c r="CG62" s="356">
        <f t="shared" si="75"/>
        <v>10430888.041666668</v>
      </c>
      <c r="CH62" s="356">
        <f t="shared" si="75"/>
        <v>10430888.041666668</v>
      </c>
      <c r="CI62" s="356">
        <f t="shared" si="75"/>
        <v>10430888.041666668</v>
      </c>
      <c r="CJ62" s="356">
        <f t="shared" si="75"/>
        <v>10430888.041666668</v>
      </c>
      <c r="CK62" s="356">
        <f t="shared" si="75"/>
        <v>10430888.041666668</v>
      </c>
      <c r="CL62" s="356">
        <f t="shared" si="75"/>
        <v>10430888.041666668</v>
      </c>
      <c r="CM62" s="356">
        <f t="shared" si="76"/>
        <v>10430888.041666657</v>
      </c>
      <c r="CN62" s="347"/>
      <c r="CO62" s="347"/>
      <c r="CP62" s="347"/>
      <c r="CQ62" s="347"/>
      <c r="CR62" s="347"/>
      <c r="CS62" s="347"/>
      <c r="CT62" s="347"/>
      <c r="CU62" s="347"/>
      <c r="CV62" s="347"/>
      <c r="CW62" s="347"/>
      <c r="CX62" s="347"/>
      <c r="CY62" s="347"/>
      <c r="CZ62" s="347"/>
      <c r="DA62" s="347"/>
      <c r="DB62" s="347"/>
      <c r="DC62" s="347"/>
      <c r="DD62" s="347"/>
      <c r="DE62" s="347"/>
      <c r="DF62" s="347"/>
      <c r="DG62" s="347"/>
      <c r="DH62" s="347"/>
      <c r="DI62" s="347"/>
      <c r="DJ62" s="347"/>
      <c r="DK62" s="347"/>
      <c r="DL62" s="347"/>
      <c r="DM62" s="347"/>
      <c r="DN62" s="347"/>
      <c r="DO62" s="347"/>
      <c r="DP62" s="347"/>
      <c r="DQ62" s="347"/>
      <c r="DR62" s="347"/>
      <c r="DS62" s="347"/>
      <c r="DT62" s="347"/>
      <c r="DU62" s="347"/>
      <c r="DV62" s="347"/>
      <c r="DW62" s="347"/>
      <c r="DX62" s="347"/>
      <c r="DY62" s="347"/>
      <c r="DZ62" s="347"/>
      <c r="EA62" s="347"/>
      <c r="EB62" s="347"/>
      <c r="EC62" s="347"/>
      <c r="ED62" s="347"/>
      <c r="EE62" s="347"/>
      <c r="EF62" s="347"/>
      <c r="EG62" s="347"/>
      <c r="EH62" s="347"/>
      <c r="EI62" s="347"/>
      <c r="EJ62" s="347"/>
      <c r="EK62" s="347"/>
      <c r="EL62" s="347"/>
      <c r="EM62" s="347"/>
      <c r="EN62" s="347"/>
      <c r="EO62" s="347"/>
      <c r="EP62" s="347"/>
      <c r="EQ62" s="347"/>
      <c r="ER62" s="347"/>
      <c r="ES62" s="347"/>
      <c r="ET62" s="347"/>
      <c r="EU62" s="347"/>
      <c r="EV62" s="347"/>
      <c r="EW62" s="347"/>
      <c r="EX62" s="347"/>
      <c r="EY62" s="347"/>
      <c r="EZ62" s="347"/>
      <c r="FA62" s="347"/>
      <c r="FB62" s="347"/>
      <c r="FC62" s="347"/>
      <c r="FD62" s="347"/>
      <c r="FE62" s="347"/>
      <c r="FF62" s="347"/>
      <c r="FG62" s="347"/>
      <c r="FH62" s="347"/>
      <c r="FI62" s="347"/>
      <c r="FJ62" s="347"/>
      <c r="FK62" s="347"/>
      <c r="FL62" s="347"/>
      <c r="FM62" s="347"/>
      <c r="FN62" s="347"/>
      <c r="FO62" s="347"/>
      <c r="FP62" s="347"/>
      <c r="FQ62" s="347"/>
      <c r="FR62" s="347"/>
      <c r="FS62" s="347"/>
      <c r="FT62" s="347"/>
      <c r="FU62" s="347"/>
      <c r="FV62" s="347"/>
    </row>
    <row r="63" spans="1:178">
      <c r="A63" s="1402"/>
      <c r="B63" s="1402"/>
      <c r="C63" s="1402"/>
      <c r="D63" s="1402"/>
      <c r="E63" s="1403"/>
      <c r="F63" s="968" t="s">
        <v>214</v>
      </c>
      <c r="G63" s="963">
        <f t="shared" ref="G63:BR63" si="77">G42</f>
        <v>477339859.75181001</v>
      </c>
      <c r="H63" s="963">
        <f t="shared" si="77"/>
        <v>477339859.75181001</v>
      </c>
      <c r="I63" s="963">
        <f t="shared" si="77"/>
        <v>477339859.75181001</v>
      </c>
      <c r="J63" s="963">
        <f t="shared" si="77"/>
        <v>477341397.60980999</v>
      </c>
      <c r="K63" s="963">
        <f t="shared" si="77"/>
        <v>477697942.66397667</v>
      </c>
      <c r="L63" s="963">
        <f t="shared" si="77"/>
        <v>477698455.28331</v>
      </c>
      <c r="M63" s="963">
        <f t="shared" si="77"/>
        <v>477698455.28331</v>
      </c>
      <c r="N63" s="963">
        <f t="shared" si="77"/>
        <v>478699877.0237214</v>
      </c>
      <c r="O63" s="963">
        <f t="shared" si="77"/>
        <v>477698967.90264332</v>
      </c>
      <c r="P63" s="963">
        <f t="shared" si="77"/>
        <v>478701799.34622139</v>
      </c>
      <c r="Q63" s="963">
        <f t="shared" si="77"/>
        <v>479702708.46730095</v>
      </c>
      <c r="R63" s="963">
        <f t="shared" si="77"/>
        <v>480703617.58838046</v>
      </c>
      <c r="S63" s="963">
        <f t="shared" si="77"/>
        <v>481705039.32879186</v>
      </c>
      <c r="T63" s="963">
        <f t="shared" si="77"/>
        <v>482707675.01980197</v>
      </c>
      <c r="U63" s="963">
        <f t="shared" si="77"/>
        <v>483708770.14262933</v>
      </c>
      <c r="V63" s="963">
        <f t="shared" si="77"/>
        <v>484791866.97104126</v>
      </c>
      <c r="W63" s="963">
        <f t="shared" si="77"/>
        <v>485763063.50553155</v>
      </c>
      <c r="X63" s="963">
        <f t="shared" si="77"/>
        <v>486734260.04002035</v>
      </c>
      <c r="Y63" s="963">
        <f t="shared" si="77"/>
        <v>487705456.57451063</v>
      </c>
      <c r="Z63" s="963">
        <f t="shared" si="77"/>
        <v>488676653.10900104</v>
      </c>
      <c r="AA63" s="963">
        <f t="shared" si="77"/>
        <v>489647849.64348972</v>
      </c>
      <c r="AB63" s="963">
        <f t="shared" si="77"/>
        <v>490619046.17798007</v>
      </c>
      <c r="AC63" s="963">
        <f t="shared" si="77"/>
        <v>491590242.71247041</v>
      </c>
      <c r="AD63" s="963">
        <f t="shared" si="77"/>
        <v>492561439.24695915</v>
      </c>
      <c r="AE63" s="963">
        <f t="shared" si="77"/>
        <v>493533989.38562572</v>
      </c>
      <c r="AF63" s="963">
        <f t="shared" si="77"/>
        <v>494503832.31593835</v>
      </c>
      <c r="AG63" s="963">
        <f t="shared" si="77"/>
        <v>495475369.67694241</v>
      </c>
      <c r="AH63" s="963">
        <f t="shared" si="77"/>
        <v>496446225.38491893</v>
      </c>
      <c r="AI63" s="963">
        <f t="shared" si="77"/>
        <v>497417421.91940773</v>
      </c>
      <c r="AJ63" s="963">
        <f t="shared" si="77"/>
        <v>498388618.45389795</v>
      </c>
      <c r="AK63" s="963">
        <f t="shared" si="77"/>
        <v>499359814.98838836</v>
      </c>
      <c r="AL63" s="963">
        <f t="shared" si="77"/>
        <v>500331011.5228771</v>
      </c>
      <c r="AM63" s="963">
        <f t="shared" si="77"/>
        <v>501302208.05736738</v>
      </c>
      <c r="AN63" s="963">
        <f t="shared" si="77"/>
        <v>502273404.59185624</v>
      </c>
      <c r="AO63" s="963">
        <f t="shared" si="77"/>
        <v>503244601.12634659</v>
      </c>
      <c r="AP63" s="963">
        <f t="shared" si="77"/>
        <v>504215797.66083676</v>
      </c>
      <c r="AQ63" s="963">
        <f t="shared" si="77"/>
        <v>505186994.19532567</v>
      </c>
      <c r="AR63" s="963">
        <f t="shared" si="77"/>
        <v>506158190.72981596</v>
      </c>
      <c r="AS63" s="963">
        <f t="shared" si="77"/>
        <v>507129387.26430625</v>
      </c>
      <c r="AT63" s="963">
        <f t="shared" si="77"/>
        <v>397254100.50479406</v>
      </c>
      <c r="AU63" s="356">
        <f t="shared" si="77"/>
        <v>483920683.09937733</v>
      </c>
      <c r="AV63" s="356">
        <f t="shared" si="77"/>
        <v>486492852.50090003</v>
      </c>
      <c r="AW63" s="356">
        <f t="shared" si="77"/>
        <v>470003230.81086928</v>
      </c>
      <c r="AX63" s="356">
        <f t="shared" si="77"/>
        <v>510457950.34473151</v>
      </c>
      <c r="AY63" s="356">
        <f t="shared" si="77"/>
        <v>553162168.22842276</v>
      </c>
      <c r="AZ63" s="356">
        <f t="shared" si="77"/>
        <v>565427599.63092494</v>
      </c>
      <c r="BA63" s="356">
        <f t="shared" si="77"/>
        <v>573239306.3241235</v>
      </c>
      <c r="BB63" s="356">
        <f t="shared" si="77"/>
        <v>564522945.84526408</v>
      </c>
      <c r="BC63" s="356">
        <f t="shared" si="77"/>
        <v>604665574.54017556</v>
      </c>
      <c r="BD63" s="356">
        <f t="shared" si="77"/>
        <v>572421107.51355517</v>
      </c>
      <c r="BE63" s="356">
        <f t="shared" si="77"/>
        <v>539028918.27821779</v>
      </c>
      <c r="BF63" s="356">
        <f t="shared" si="77"/>
        <v>533379218.89280331</v>
      </c>
      <c r="BG63" s="356">
        <f t="shared" si="77"/>
        <v>575250253.40292633</v>
      </c>
      <c r="BH63" s="356">
        <f t="shared" si="77"/>
        <v>517505070.30937654</v>
      </c>
      <c r="BI63" s="356">
        <f t="shared" si="77"/>
        <v>462028288.04331738</v>
      </c>
      <c r="BJ63" s="356">
        <f t="shared" si="77"/>
        <v>452326461.49762744</v>
      </c>
      <c r="BK63" s="356">
        <f t="shared" si="77"/>
        <v>478102151.58679408</v>
      </c>
      <c r="BL63" s="356">
        <f t="shared" si="77"/>
        <v>516531987.22804409</v>
      </c>
      <c r="BM63" s="356">
        <f t="shared" si="77"/>
        <v>477081672.95679414</v>
      </c>
      <c r="BN63" s="356">
        <f t="shared" si="77"/>
        <v>463412733.35696065</v>
      </c>
      <c r="BO63" s="356">
        <f t="shared" si="77"/>
        <v>545296724.03421068</v>
      </c>
      <c r="BP63" s="356">
        <f t="shared" si="77"/>
        <v>536313244.1419608</v>
      </c>
      <c r="BQ63" s="356">
        <f t="shared" si="77"/>
        <v>585625301.68612742</v>
      </c>
      <c r="BR63" s="356">
        <f t="shared" si="77"/>
        <v>507446624.24329406</v>
      </c>
      <c r="BS63" s="356">
        <f t="shared" ref="BS63:CL63" si="78">BS42</f>
        <v>488115950.56946075</v>
      </c>
      <c r="BT63" s="356">
        <f t="shared" si="78"/>
        <v>362489410.71162736</v>
      </c>
      <c r="BU63" s="356">
        <f t="shared" si="78"/>
        <v>435571461.97196072</v>
      </c>
      <c r="BV63" s="356">
        <f t="shared" si="78"/>
        <v>417692269.94046074</v>
      </c>
      <c r="BW63" s="356">
        <f t="shared" si="78"/>
        <v>316219858.75779402</v>
      </c>
      <c r="BX63" s="356">
        <f t="shared" si="78"/>
        <v>304150328.09362733</v>
      </c>
      <c r="BY63" s="356">
        <f t="shared" si="78"/>
        <v>347160133.70679402</v>
      </c>
      <c r="BZ63" s="356">
        <f t="shared" si="78"/>
        <v>399202612.36037743</v>
      </c>
      <c r="CA63" s="356">
        <f t="shared" si="78"/>
        <v>416833751.55804408</v>
      </c>
      <c r="CB63" s="356">
        <f t="shared" si="78"/>
        <v>454482913.72421074</v>
      </c>
      <c r="CC63" s="356">
        <f t="shared" si="78"/>
        <v>487440299.98029405</v>
      </c>
      <c r="CD63" s="356">
        <f t="shared" si="78"/>
        <v>553214450.02462733</v>
      </c>
      <c r="CE63" s="356">
        <f t="shared" si="78"/>
        <v>642408447.31871068</v>
      </c>
      <c r="CF63" s="356">
        <f t="shared" si="78"/>
        <v>575209700.68529415</v>
      </c>
      <c r="CG63" s="356">
        <f t="shared" si="78"/>
        <v>489513662.10529411</v>
      </c>
      <c r="CH63" s="356">
        <f t="shared" si="78"/>
        <v>485062579.28004408</v>
      </c>
      <c r="CI63" s="356">
        <f t="shared" si="78"/>
        <v>524684300.64087737</v>
      </c>
      <c r="CJ63" s="356">
        <f t="shared" si="78"/>
        <v>585379720.40979409</v>
      </c>
      <c r="CK63" s="356">
        <f t="shared" si="78"/>
        <v>667583905.9381274</v>
      </c>
      <c r="CL63" s="356">
        <f t="shared" si="78"/>
        <v>716866908.9507941</v>
      </c>
      <c r="CM63" s="356">
        <f t="shared" si="76"/>
        <v>496777617.45119029</v>
      </c>
      <c r="CN63" s="347"/>
      <c r="CO63" s="347"/>
      <c r="CP63" s="347"/>
      <c r="CQ63" s="347"/>
      <c r="CR63" s="347"/>
      <c r="CS63" s="347"/>
      <c r="CT63" s="347"/>
      <c r="CU63" s="347"/>
      <c r="CV63" s="347"/>
      <c r="CW63" s="347"/>
      <c r="CX63" s="347"/>
      <c r="CY63" s="347"/>
      <c r="CZ63" s="347"/>
      <c r="DA63" s="347"/>
      <c r="DB63" s="347"/>
      <c r="DC63" s="347"/>
      <c r="DD63" s="347"/>
      <c r="DE63" s="347"/>
      <c r="DF63" s="347"/>
      <c r="DG63" s="347"/>
      <c r="DH63" s="347"/>
      <c r="DI63" s="347"/>
      <c r="DJ63" s="347"/>
      <c r="DK63" s="347"/>
      <c r="DL63" s="347"/>
      <c r="DM63" s="347"/>
      <c r="DN63" s="347"/>
      <c r="DO63" s="347"/>
      <c r="DP63" s="347"/>
      <c r="DQ63" s="347"/>
      <c r="DR63" s="347"/>
      <c r="DS63" s="347"/>
      <c r="DT63" s="347"/>
      <c r="DU63" s="347"/>
      <c r="DV63" s="347"/>
      <c r="DW63" s="347"/>
      <c r="DX63" s="347"/>
      <c r="DY63" s="347"/>
      <c r="DZ63" s="347"/>
      <c r="EA63" s="347"/>
      <c r="EB63" s="347"/>
      <c r="EC63" s="347"/>
      <c r="ED63" s="347"/>
      <c r="EE63" s="347"/>
      <c r="EF63" s="347"/>
      <c r="EG63" s="347"/>
      <c r="EH63" s="347"/>
      <c r="EI63" s="347"/>
      <c r="EJ63" s="347"/>
      <c r="EK63" s="347"/>
      <c r="EL63" s="347"/>
      <c r="EM63" s="347"/>
      <c r="EN63" s="347"/>
      <c r="EO63" s="347"/>
      <c r="EP63" s="347"/>
      <c r="EQ63" s="347"/>
      <c r="ER63" s="347"/>
      <c r="ES63" s="347"/>
      <c r="ET63" s="347"/>
      <c r="EU63" s="347"/>
      <c r="EV63" s="347"/>
      <c r="EW63" s="347"/>
      <c r="EX63" s="347"/>
      <c r="EY63" s="347"/>
      <c r="EZ63" s="347"/>
      <c r="FA63" s="347"/>
      <c r="FB63" s="347"/>
      <c r="FC63" s="347"/>
      <c r="FD63" s="347"/>
      <c r="FE63" s="347"/>
      <c r="FF63" s="347"/>
      <c r="FG63" s="347"/>
      <c r="FH63" s="347"/>
      <c r="FI63" s="347"/>
      <c r="FJ63" s="347"/>
      <c r="FK63" s="347"/>
      <c r="FL63" s="347"/>
      <c r="FM63" s="347"/>
      <c r="FN63" s="347"/>
      <c r="FO63" s="347"/>
      <c r="FP63" s="347"/>
      <c r="FQ63" s="347"/>
      <c r="FR63" s="347"/>
      <c r="FS63" s="347"/>
      <c r="FT63" s="347"/>
      <c r="FU63" s="347"/>
      <c r="FV63" s="347"/>
    </row>
    <row r="64" spans="1:178">
      <c r="A64" s="1402"/>
      <c r="B64" s="1402"/>
      <c r="C64" s="1402"/>
      <c r="D64" s="1402"/>
      <c r="E64" s="1403"/>
      <c r="F64" s="854" t="s">
        <v>215</v>
      </c>
      <c r="G64" s="963">
        <f t="shared" ref="G64:BR64" si="79">G46</f>
        <v>286609130.83333337</v>
      </c>
      <c r="H64" s="963">
        <f t="shared" si="79"/>
        <v>286609130.83333337</v>
      </c>
      <c r="I64" s="963">
        <f t="shared" si="79"/>
        <v>286609130.83333337</v>
      </c>
      <c r="J64" s="963">
        <f t="shared" si="79"/>
        <v>286609130.83333337</v>
      </c>
      <c r="K64" s="963">
        <f t="shared" si="79"/>
        <v>286609130.83333337</v>
      </c>
      <c r="L64" s="963">
        <f t="shared" si="79"/>
        <v>286609130.83333337</v>
      </c>
      <c r="M64" s="963">
        <f t="shared" si="79"/>
        <v>286609130.83333337</v>
      </c>
      <c r="N64" s="963">
        <f t="shared" si="79"/>
        <v>286609130.83333337</v>
      </c>
      <c r="O64" s="963">
        <f t="shared" si="79"/>
        <v>286609130.83333337</v>
      </c>
      <c r="P64" s="963">
        <f t="shared" si="79"/>
        <v>286609130.83333337</v>
      </c>
      <c r="Q64" s="963">
        <f t="shared" si="79"/>
        <v>286609130.83333337</v>
      </c>
      <c r="R64" s="963">
        <f t="shared" si="79"/>
        <v>286609130.83333337</v>
      </c>
      <c r="S64" s="963">
        <f t="shared" si="79"/>
        <v>286609130.83333337</v>
      </c>
      <c r="T64" s="963">
        <f t="shared" si="79"/>
        <v>286609130.83333337</v>
      </c>
      <c r="U64" s="963">
        <f t="shared" si="79"/>
        <v>286609130.83333337</v>
      </c>
      <c r="V64" s="963">
        <f t="shared" si="79"/>
        <v>286609130.83333337</v>
      </c>
      <c r="W64" s="963">
        <f t="shared" si="79"/>
        <v>286609130.83333337</v>
      </c>
      <c r="X64" s="963">
        <f t="shared" si="79"/>
        <v>286609130.83333337</v>
      </c>
      <c r="Y64" s="963">
        <f t="shared" si="79"/>
        <v>286609130.83333337</v>
      </c>
      <c r="Z64" s="963">
        <f t="shared" si="79"/>
        <v>286609130.83333337</v>
      </c>
      <c r="AA64" s="963">
        <f t="shared" si="79"/>
        <v>286609130.83333337</v>
      </c>
      <c r="AB64" s="963">
        <f t="shared" si="79"/>
        <v>286609130.83333337</v>
      </c>
      <c r="AC64" s="963">
        <f t="shared" si="79"/>
        <v>286609130.83333337</v>
      </c>
      <c r="AD64" s="963">
        <f t="shared" si="79"/>
        <v>286609130.83333337</v>
      </c>
      <c r="AE64" s="963">
        <f t="shared" si="79"/>
        <v>286609130.83333337</v>
      </c>
      <c r="AF64" s="963">
        <f t="shared" si="79"/>
        <v>286609130.83333337</v>
      </c>
      <c r="AG64" s="963">
        <f t="shared" si="79"/>
        <v>286609130.83333337</v>
      </c>
      <c r="AH64" s="963">
        <f t="shared" si="79"/>
        <v>286609130.83333337</v>
      </c>
      <c r="AI64" s="963">
        <f t="shared" si="79"/>
        <v>286609130.83333337</v>
      </c>
      <c r="AJ64" s="963">
        <f t="shared" si="79"/>
        <v>286609130.83333337</v>
      </c>
      <c r="AK64" s="963">
        <f t="shared" si="79"/>
        <v>286609130.83333337</v>
      </c>
      <c r="AL64" s="963">
        <f t="shared" si="79"/>
        <v>286609130.83333337</v>
      </c>
      <c r="AM64" s="963">
        <f t="shared" si="79"/>
        <v>286609130.83333337</v>
      </c>
      <c r="AN64" s="963">
        <f t="shared" si="79"/>
        <v>286609130.83333337</v>
      </c>
      <c r="AO64" s="963">
        <f t="shared" si="79"/>
        <v>286609130.83333337</v>
      </c>
      <c r="AP64" s="963">
        <f t="shared" si="79"/>
        <v>286609130.83333337</v>
      </c>
      <c r="AQ64" s="963">
        <f t="shared" si="79"/>
        <v>286609130.83333337</v>
      </c>
      <c r="AR64" s="963">
        <f t="shared" si="79"/>
        <v>286609130.83333337</v>
      </c>
      <c r="AS64" s="963">
        <f t="shared" si="79"/>
        <v>286609130.83333337</v>
      </c>
      <c r="AT64" s="963">
        <f t="shared" si="79"/>
        <v>286609130.83333337</v>
      </c>
      <c r="AU64" s="356">
        <f t="shared" si="79"/>
        <v>286609130.83333337</v>
      </c>
      <c r="AV64" s="356">
        <f t="shared" si="79"/>
        <v>286609130.83333337</v>
      </c>
      <c r="AW64" s="356">
        <f t="shared" si="79"/>
        <v>286609130.83333337</v>
      </c>
      <c r="AX64" s="356">
        <f t="shared" si="79"/>
        <v>286609130.83333337</v>
      </c>
      <c r="AY64" s="356">
        <f t="shared" si="79"/>
        <v>286609130.83333337</v>
      </c>
      <c r="AZ64" s="356">
        <f t="shared" si="79"/>
        <v>286609130.83333337</v>
      </c>
      <c r="BA64" s="356">
        <f t="shared" si="79"/>
        <v>286609130.83333337</v>
      </c>
      <c r="BB64" s="356">
        <f t="shared" si="79"/>
        <v>286609130.83333337</v>
      </c>
      <c r="BC64" s="356">
        <f t="shared" si="79"/>
        <v>286609130.83333337</v>
      </c>
      <c r="BD64" s="356">
        <f t="shared" si="79"/>
        <v>286609130.83333337</v>
      </c>
      <c r="BE64" s="356">
        <f t="shared" si="79"/>
        <v>286609130.83333337</v>
      </c>
      <c r="BF64" s="356">
        <f t="shared" si="79"/>
        <v>286609130.83333337</v>
      </c>
      <c r="BG64" s="356">
        <f t="shared" si="79"/>
        <v>286609130.83333337</v>
      </c>
      <c r="BH64" s="356">
        <f t="shared" si="79"/>
        <v>286609130.83333337</v>
      </c>
      <c r="BI64" s="356">
        <f t="shared" si="79"/>
        <v>286609130.83333337</v>
      </c>
      <c r="BJ64" s="356">
        <f t="shared" si="79"/>
        <v>286609130.83333337</v>
      </c>
      <c r="BK64" s="356">
        <f t="shared" si="79"/>
        <v>286609130.83333337</v>
      </c>
      <c r="BL64" s="356">
        <f t="shared" si="79"/>
        <v>286609130.83333337</v>
      </c>
      <c r="BM64" s="356">
        <f t="shared" si="79"/>
        <v>286609130.83333337</v>
      </c>
      <c r="BN64" s="356">
        <f t="shared" si="79"/>
        <v>286609130.83333337</v>
      </c>
      <c r="BO64" s="356">
        <f t="shared" si="79"/>
        <v>286609130.83333337</v>
      </c>
      <c r="BP64" s="356">
        <f t="shared" si="79"/>
        <v>286609130.83333337</v>
      </c>
      <c r="BQ64" s="356">
        <f t="shared" si="79"/>
        <v>286609130.83333337</v>
      </c>
      <c r="BR64" s="356">
        <f t="shared" si="79"/>
        <v>286609130.83333337</v>
      </c>
      <c r="BS64" s="356">
        <f t="shared" ref="BS64:CL64" si="80">BS46</f>
        <v>286609130.83333337</v>
      </c>
      <c r="BT64" s="356">
        <f t="shared" si="80"/>
        <v>286609130.83333337</v>
      </c>
      <c r="BU64" s="356">
        <f t="shared" si="80"/>
        <v>286609130.83333337</v>
      </c>
      <c r="BV64" s="356">
        <f t="shared" si="80"/>
        <v>286609130.83333337</v>
      </c>
      <c r="BW64" s="356">
        <f t="shared" si="80"/>
        <v>286609130.83333337</v>
      </c>
      <c r="BX64" s="356">
        <f t="shared" si="80"/>
        <v>286609130.83333337</v>
      </c>
      <c r="BY64" s="356">
        <f t="shared" si="80"/>
        <v>286609130.83333337</v>
      </c>
      <c r="BZ64" s="356">
        <f t="shared" si="80"/>
        <v>286609130.83333337</v>
      </c>
      <c r="CA64" s="356">
        <f t="shared" si="80"/>
        <v>286609130.83333337</v>
      </c>
      <c r="CB64" s="356">
        <f t="shared" si="80"/>
        <v>286609130.83333337</v>
      </c>
      <c r="CC64" s="356">
        <f t="shared" si="80"/>
        <v>286609130.83333337</v>
      </c>
      <c r="CD64" s="356">
        <f t="shared" si="80"/>
        <v>286609130.83333337</v>
      </c>
      <c r="CE64" s="356">
        <f t="shared" si="80"/>
        <v>286609130.83333337</v>
      </c>
      <c r="CF64" s="356">
        <f t="shared" si="80"/>
        <v>286609130.83333337</v>
      </c>
      <c r="CG64" s="356">
        <f t="shared" si="80"/>
        <v>286609130.83333337</v>
      </c>
      <c r="CH64" s="356">
        <f t="shared" si="80"/>
        <v>286609130.83333337</v>
      </c>
      <c r="CI64" s="356">
        <f t="shared" si="80"/>
        <v>286609130.83333337</v>
      </c>
      <c r="CJ64" s="356">
        <f t="shared" si="80"/>
        <v>286609130.83333337</v>
      </c>
      <c r="CK64" s="356">
        <f t="shared" si="80"/>
        <v>286609130.83333337</v>
      </c>
      <c r="CL64" s="356">
        <f t="shared" si="80"/>
        <v>286609130.83333337</v>
      </c>
      <c r="CM64" s="356">
        <f t="shared" si="76"/>
        <v>286609130.83333313</v>
      </c>
      <c r="CN64" s="347"/>
      <c r="CO64" s="347"/>
      <c r="CP64" s="347"/>
      <c r="CQ64" s="347"/>
      <c r="CR64" s="347"/>
      <c r="CS64" s="347"/>
      <c r="CT64" s="347"/>
      <c r="CU64" s="347"/>
      <c r="CV64" s="347"/>
      <c r="CW64" s="347"/>
      <c r="CX64" s="347"/>
      <c r="CY64" s="347"/>
      <c r="CZ64" s="347"/>
      <c r="DA64" s="347"/>
      <c r="DB64" s="347"/>
      <c r="DC64" s="347"/>
      <c r="DD64" s="347"/>
      <c r="DE64" s="347"/>
      <c r="DF64" s="347"/>
      <c r="DG64" s="347"/>
      <c r="DH64" s="347"/>
      <c r="DI64" s="347"/>
      <c r="DJ64" s="347"/>
      <c r="DK64" s="347"/>
      <c r="DL64" s="347"/>
      <c r="DM64" s="347"/>
      <c r="DN64" s="347"/>
      <c r="DO64" s="347"/>
      <c r="DP64" s="347"/>
      <c r="DQ64" s="347"/>
      <c r="DR64" s="347"/>
      <c r="DS64" s="347"/>
      <c r="DT64" s="347"/>
      <c r="DU64" s="347"/>
      <c r="DV64" s="347"/>
      <c r="DW64" s="347"/>
      <c r="DX64" s="347"/>
      <c r="DY64" s="347"/>
      <c r="DZ64" s="347"/>
      <c r="EA64" s="347"/>
      <c r="EB64" s="347"/>
      <c r="EC64" s="347"/>
      <c r="ED64" s="347"/>
      <c r="EE64" s="347"/>
      <c r="EF64" s="347"/>
      <c r="EG64" s="347"/>
      <c r="EH64" s="347"/>
      <c r="EI64" s="347"/>
      <c r="EJ64" s="347"/>
      <c r="EK64" s="347"/>
      <c r="EL64" s="347"/>
      <c r="EM64" s="347"/>
      <c r="EN64" s="347"/>
      <c r="EO64" s="347"/>
      <c r="EP64" s="347"/>
      <c r="EQ64" s="347"/>
      <c r="ER64" s="347"/>
      <c r="ES64" s="347"/>
      <c r="ET64" s="347"/>
      <c r="EU64" s="347"/>
      <c r="EV64" s="347"/>
      <c r="EW64" s="347"/>
      <c r="EX64" s="347"/>
      <c r="EY64" s="347"/>
      <c r="EZ64" s="347"/>
      <c r="FA64" s="347"/>
      <c r="FB64" s="347"/>
      <c r="FC64" s="347"/>
      <c r="FD64" s="347"/>
      <c r="FE64" s="347"/>
      <c r="FF64" s="347"/>
      <c r="FG64" s="347"/>
      <c r="FH64" s="347"/>
      <c r="FI64" s="347"/>
      <c r="FJ64" s="347"/>
      <c r="FK64" s="347"/>
      <c r="FL64" s="347"/>
      <c r="FM64" s="347"/>
      <c r="FN64" s="347"/>
      <c r="FO64" s="347"/>
      <c r="FP64" s="347"/>
      <c r="FQ64" s="347"/>
      <c r="FR64" s="347"/>
      <c r="FS64" s="347"/>
      <c r="FT64" s="347"/>
      <c r="FU64" s="347"/>
      <c r="FV64" s="347"/>
    </row>
    <row r="65" spans="1:178">
      <c r="A65" s="1402"/>
      <c r="B65" s="1402"/>
      <c r="C65" s="1402"/>
      <c r="D65" s="1402"/>
      <c r="E65" s="1403"/>
      <c r="F65" s="854" t="s">
        <v>216</v>
      </c>
      <c r="G65" s="963">
        <f t="shared" ref="G65:BR65" si="81">G45</f>
        <v>725356356.66666675</v>
      </c>
      <c r="H65" s="963">
        <f t="shared" si="81"/>
        <v>725356356.66666675</v>
      </c>
      <c r="I65" s="963">
        <f t="shared" si="81"/>
        <v>725356356.66666675</v>
      </c>
      <c r="J65" s="963">
        <f t="shared" si="81"/>
        <v>725356356.66666675</v>
      </c>
      <c r="K65" s="963">
        <f t="shared" si="81"/>
        <v>725356356.66666675</v>
      </c>
      <c r="L65" s="963">
        <f t="shared" si="81"/>
        <v>725356356.66666675</v>
      </c>
      <c r="M65" s="963">
        <f t="shared" si="81"/>
        <v>725356356.66666675</v>
      </c>
      <c r="N65" s="963">
        <f t="shared" si="81"/>
        <v>725356356.66666675</v>
      </c>
      <c r="O65" s="963">
        <f t="shared" si="81"/>
        <v>725356356.66666675</v>
      </c>
      <c r="P65" s="963">
        <f t="shared" si="81"/>
        <v>725356356.66666675</v>
      </c>
      <c r="Q65" s="963">
        <f t="shared" si="81"/>
        <v>725356356.66666675</v>
      </c>
      <c r="R65" s="963">
        <f t="shared" si="81"/>
        <v>725356356.66666675</v>
      </c>
      <c r="S65" s="963">
        <f t="shared" si="81"/>
        <v>725356356.66666675</v>
      </c>
      <c r="T65" s="963">
        <f t="shared" si="81"/>
        <v>725356356.66666675</v>
      </c>
      <c r="U65" s="963">
        <f t="shared" si="81"/>
        <v>725356356.66666675</v>
      </c>
      <c r="V65" s="963">
        <f t="shared" si="81"/>
        <v>725356356.66666675</v>
      </c>
      <c r="W65" s="963">
        <f t="shared" si="81"/>
        <v>725356356.66666675</v>
      </c>
      <c r="X65" s="963">
        <f t="shared" si="81"/>
        <v>725356356.66666675</v>
      </c>
      <c r="Y65" s="963">
        <f t="shared" si="81"/>
        <v>725356356.66666675</v>
      </c>
      <c r="Z65" s="963">
        <f t="shared" si="81"/>
        <v>725356356.66666675</v>
      </c>
      <c r="AA65" s="963">
        <f t="shared" si="81"/>
        <v>725356356.66666675</v>
      </c>
      <c r="AB65" s="963">
        <f t="shared" si="81"/>
        <v>725356356.66666675</v>
      </c>
      <c r="AC65" s="963">
        <f t="shared" si="81"/>
        <v>725356356.66666675</v>
      </c>
      <c r="AD65" s="963">
        <f t="shared" si="81"/>
        <v>725356356.66666675</v>
      </c>
      <c r="AE65" s="963">
        <f t="shared" si="81"/>
        <v>725356356.66666675</v>
      </c>
      <c r="AF65" s="963">
        <f t="shared" si="81"/>
        <v>725356356.66666675</v>
      </c>
      <c r="AG65" s="963">
        <f t="shared" si="81"/>
        <v>725356356.66666675</v>
      </c>
      <c r="AH65" s="963">
        <f t="shared" si="81"/>
        <v>725356356.66666675</v>
      </c>
      <c r="AI65" s="963">
        <f t="shared" si="81"/>
        <v>725356356.66666675</v>
      </c>
      <c r="AJ65" s="963">
        <f t="shared" si="81"/>
        <v>725356356.66666675</v>
      </c>
      <c r="AK65" s="963">
        <f t="shared" si="81"/>
        <v>725356356.66666675</v>
      </c>
      <c r="AL65" s="963">
        <f t="shared" si="81"/>
        <v>725356356.66666675</v>
      </c>
      <c r="AM65" s="963">
        <f t="shared" si="81"/>
        <v>725356356.66666675</v>
      </c>
      <c r="AN65" s="963">
        <f t="shared" si="81"/>
        <v>725356356.66666675</v>
      </c>
      <c r="AO65" s="963">
        <f t="shared" si="81"/>
        <v>725356356.66666675</v>
      </c>
      <c r="AP65" s="963">
        <f t="shared" si="81"/>
        <v>725356356.66666675</v>
      </c>
      <c r="AQ65" s="963">
        <f t="shared" si="81"/>
        <v>725356356.66666675</v>
      </c>
      <c r="AR65" s="963">
        <f t="shared" si="81"/>
        <v>725356356.66666675</v>
      </c>
      <c r="AS65" s="963">
        <f t="shared" si="81"/>
        <v>725356356.66666675</v>
      </c>
      <c r="AT65" s="963">
        <f t="shared" si="81"/>
        <v>725356356.66666675</v>
      </c>
      <c r="AU65" s="356">
        <f t="shared" si="81"/>
        <v>725356356.66666675</v>
      </c>
      <c r="AV65" s="356">
        <f t="shared" si="81"/>
        <v>725356356.66666675</v>
      </c>
      <c r="AW65" s="356">
        <f t="shared" si="81"/>
        <v>725356356.66666675</v>
      </c>
      <c r="AX65" s="356">
        <f t="shared" si="81"/>
        <v>725356356.66666675</v>
      </c>
      <c r="AY65" s="356">
        <f t="shared" si="81"/>
        <v>725356356.66666675</v>
      </c>
      <c r="AZ65" s="356">
        <f t="shared" si="81"/>
        <v>725356356.66666675</v>
      </c>
      <c r="BA65" s="356">
        <f t="shared" si="81"/>
        <v>725356356.66666675</v>
      </c>
      <c r="BB65" s="356">
        <f t="shared" si="81"/>
        <v>725356356.66666675</v>
      </c>
      <c r="BC65" s="356">
        <f t="shared" si="81"/>
        <v>725356356.66666675</v>
      </c>
      <c r="BD65" s="356">
        <f t="shared" si="81"/>
        <v>725356356.66666675</v>
      </c>
      <c r="BE65" s="356">
        <f t="shared" si="81"/>
        <v>725356356.66666675</v>
      </c>
      <c r="BF65" s="356">
        <f t="shared" si="81"/>
        <v>725356356.66666675</v>
      </c>
      <c r="BG65" s="356">
        <f t="shared" si="81"/>
        <v>725356356.66666675</v>
      </c>
      <c r="BH65" s="356">
        <f t="shared" si="81"/>
        <v>725356356.66666675</v>
      </c>
      <c r="BI65" s="356">
        <f t="shared" si="81"/>
        <v>725356356.66666675</v>
      </c>
      <c r="BJ65" s="356">
        <f t="shared" si="81"/>
        <v>725356356.66666675</v>
      </c>
      <c r="BK65" s="356">
        <f t="shared" si="81"/>
        <v>725356356.66666675</v>
      </c>
      <c r="BL65" s="356">
        <f t="shared" si="81"/>
        <v>725356356.66666675</v>
      </c>
      <c r="BM65" s="356">
        <f t="shared" si="81"/>
        <v>725356356.66666675</v>
      </c>
      <c r="BN65" s="356">
        <f t="shared" si="81"/>
        <v>725356356.66666675</v>
      </c>
      <c r="BO65" s="356">
        <f t="shared" si="81"/>
        <v>725356356.66666675</v>
      </c>
      <c r="BP65" s="356">
        <f t="shared" si="81"/>
        <v>725356356.66666675</v>
      </c>
      <c r="BQ65" s="356">
        <f t="shared" si="81"/>
        <v>725356356.66666675</v>
      </c>
      <c r="BR65" s="356">
        <f t="shared" si="81"/>
        <v>725356356.66666675</v>
      </c>
      <c r="BS65" s="356">
        <f t="shared" ref="BS65:CL65" si="82">BS45</f>
        <v>725356356.66666675</v>
      </c>
      <c r="BT65" s="356">
        <f t="shared" si="82"/>
        <v>725356356.66666675</v>
      </c>
      <c r="BU65" s="356">
        <f t="shared" si="82"/>
        <v>725356356.66666675</v>
      </c>
      <c r="BV65" s="356">
        <f t="shared" si="82"/>
        <v>725356356.66666675</v>
      </c>
      <c r="BW65" s="356">
        <f t="shared" si="82"/>
        <v>725356356.66666675</v>
      </c>
      <c r="BX65" s="356">
        <f t="shared" si="82"/>
        <v>725356356.66666675</v>
      </c>
      <c r="BY65" s="356">
        <f t="shared" si="82"/>
        <v>725356356.66666675</v>
      </c>
      <c r="BZ65" s="356">
        <f t="shared" si="82"/>
        <v>725356356.66666675</v>
      </c>
      <c r="CA65" s="356">
        <f t="shared" si="82"/>
        <v>725356356.66666675</v>
      </c>
      <c r="CB65" s="356">
        <f t="shared" si="82"/>
        <v>725356356.66666675</v>
      </c>
      <c r="CC65" s="356">
        <f t="shared" si="82"/>
        <v>725356356.66666675</v>
      </c>
      <c r="CD65" s="356">
        <f t="shared" si="82"/>
        <v>725356356.66666675</v>
      </c>
      <c r="CE65" s="356">
        <f t="shared" si="82"/>
        <v>725356356.66666675</v>
      </c>
      <c r="CF65" s="356">
        <f t="shared" si="82"/>
        <v>725356356.66666675</v>
      </c>
      <c r="CG65" s="356">
        <f t="shared" si="82"/>
        <v>725356356.66666675</v>
      </c>
      <c r="CH65" s="356">
        <f t="shared" si="82"/>
        <v>725356356.66666675</v>
      </c>
      <c r="CI65" s="356">
        <f t="shared" si="82"/>
        <v>725356356.66666675</v>
      </c>
      <c r="CJ65" s="356">
        <f t="shared" si="82"/>
        <v>725356356.66666675</v>
      </c>
      <c r="CK65" s="356">
        <f t="shared" si="82"/>
        <v>725356356.66666675</v>
      </c>
      <c r="CL65" s="356">
        <f t="shared" si="82"/>
        <v>725356356.66666675</v>
      </c>
      <c r="CM65" s="356">
        <f t="shared" si="76"/>
        <v>725356356.66666579</v>
      </c>
      <c r="CN65" s="347"/>
      <c r="CO65" s="347"/>
      <c r="CP65" s="347"/>
      <c r="CQ65" s="347"/>
      <c r="CR65" s="347"/>
      <c r="CS65" s="347"/>
      <c r="CT65" s="347"/>
      <c r="CU65" s="347"/>
      <c r="CV65" s="347"/>
      <c r="CW65" s="347"/>
      <c r="CX65" s="347"/>
      <c r="CY65" s="347"/>
      <c r="CZ65" s="347"/>
      <c r="DA65" s="347"/>
      <c r="DB65" s="347"/>
      <c r="DC65" s="347"/>
      <c r="DD65" s="347"/>
      <c r="DE65" s="347"/>
      <c r="DF65" s="347"/>
      <c r="DG65" s="347"/>
      <c r="DH65" s="347"/>
      <c r="DI65" s="347"/>
      <c r="DJ65" s="347"/>
      <c r="DK65" s="347"/>
      <c r="DL65" s="347"/>
      <c r="DM65" s="347"/>
      <c r="DN65" s="347"/>
      <c r="DO65" s="347"/>
      <c r="DP65" s="347"/>
      <c r="DQ65" s="347"/>
      <c r="DR65" s="347"/>
      <c r="DS65" s="347"/>
      <c r="DT65" s="347"/>
      <c r="DU65" s="347"/>
      <c r="DV65" s="347"/>
      <c r="DW65" s="347"/>
      <c r="DX65" s="347"/>
      <c r="DY65" s="347"/>
      <c r="DZ65" s="347"/>
      <c r="EA65" s="347"/>
      <c r="EB65" s="347"/>
      <c r="EC65" s="347"/>
      <c r="ED65" s="347"/>
      <c r="EE65" s="347"/>
      <c r="EF65" s="347"/>
      <c r="EG65" s="347"/>
      <c r="EH65" s="347"/>
      <c r="EI65" s="347"/>
      <c r="EJ65" s="347"/>
      <c r="EK65" s="347"/>
      <c r="EL65" s="347"/>
      <c r="EM65" s="347"/>
      <c r="EN65" s="347"/>
      <c r="EO65" s="347"/>
      <c r="EP65" s="347"/>
      <c r="EQ65" s="347"/>
      <c r="ER65" s="347"/>
      <c r="ES65" s="347"/>
      <c r="ET65" s="347"/>
      <c r="EU65" s="347"/>
      <c r="EV65" s="347"/>
      <c r="EW65" s="347"/>
      <c r="EX65" s="347"/>
      <c r="EY65" s="347"/>
      <c r="EZ65" s="347"/>
      <c r="FA65" s="347"/>
      <c r="FB65" s="347"/>
      <c r="FC65" s="347"/>
      <c r="FD65" s="347"/>
      <c r="FE65" s="347"/>
      <c r="FF65" s="347"/>
      <c r="FG65" s="347"/>
      <c r="FH65" s="347"/>
      <c r="FI65" s="347"/>
      <c r="FJ65" s="347"/>
      <c r="FK65" s="347"/>
      <c r="FL65" s="347"/>
      <c r="FM65" s="347"/>
      <c r="FN65" s="347"/>
      <c r="FO65" s="347"/>
      <c r="FP65" s="347"/>
      <c r="FQ65" s="347"/>
      <c r="FR65" s="347"/>
      <c r="FS65" s="347"/>
      <c r="FT65" s="347"/>
      <c r="FU65" s="347"/>
      <c r="FV65" s="347"/>
    </row>
    <row r="66" spans="1:178">
      <c r="A66" s="1402"/>
      <c r="B66" s="1402"/>
      <c r="C66" s="1402"/>
      <c r="D66" s="1402"/>
      <c r="E66" s="1403"/>
      <c r="F66" s="854" t="s">
        <v>217</v>
      </c>
      <c r="G66" s="963">
        <f t="shared" ref="G66:AS66" si="83">SUM(G61:G65)</f>
        <v>1505047020.0322664</v>
      </c>
      <c r="H66" s="963">
        <f t="shared" si="83"/>
        <v>1505047020.0322664</v>
      </c>
      <c r="I66" s="963">
        <f t="shared" si="83"/>
        <v>1505047020.0322664</v>
      </c>
      <c r="J66" s="963">
        <f t="shared" si="83"/>
        <v>1505048557.8902664</v>
      </c>
      <c r="K66" s="963">
        <f t="shared" si="83"/>
        <v>1505405102.944433</v>
      </c>
      <c r="L66" s="963">
        <f t="shared" si="83"/>
        <v>1505405615.5637665</v>
      </c>
      <c r="M66" s="963">
        <f t="shared" si="83"/>
        <v>1505405615.5637665</v>
      </c>
      <c r="N66" s="963">
        <f t="shared" si="83"/>
        <v>1506407037.3041778</v>
      </c>
      <c r="O66" s="963">
        <f t="shared" si="83"/>
        <v>1505406128.1830997</v>
      </c>
      <c r="P66" s="963">
        <f t="shared" si="83"/>
        <v>1506408959.6266778</v>
      </c>
      <c r="Q66" s="963">
        <f t="shared" si="83"/>
        <v>1507409868.7477574</v>
      </c>
      <c r="R66" s="963">
        <f t="shared" si="83"/>
        <v>1508410777.8688369</v>
      </c>
      <c r="S66" s="963">
        <f t="shared" si="83"/>
        <v>1509412199.6092482</v>
      </c>
      <c r="T66" s="963">
        <f t="shared" si="83"/>
        <v>1510414835.3002584</v>
      </c>
      <c r="U66" s="963">
        <f t="shared" si="83"/>
        <v>1511415930.4230857</v>
      </c>
      <c r="V66" s="963">
        <f t="shared" si="83"/>
        <v>1512499027.2514977</v>
      </c>
      <c r="W66" s="963">
        <f t="shared" si="83"/>
        <v>1513470223.7859879</v>
      </c>
      <c r="X66" s="963">
        <f t="shared" si="83"/>
        <v>1514441420.3204768</v>
      </c>
      <c r="Y66" s="963">
        <f t="shared" si="83"/>
        <v>1515412616.8549671</v>
      </c>
      <c r="Z66" s="963">
        <f t="shared" si="83"/>
        <v>1516383813.3894575</v>
      </c>
      <c r="AA66" s="963">
        <f t="shared" si="83"/>
        <v>1517355009.9239461</v>
      </c>
      <c r="AB66" s="963">
        <f t="shared" si="83"/>
        <v>1518326206.4584365</v>
      </c>
      <c r="AC66" s="963">
        <f t="shared" si="83"/>
        <v>1519297402.9929268</v>
      </c>
      <c r="AD66" s="963">
        <f t="shared" si="83"/>
        <v>1520268599.5274155</v>
      </c>
      <c r="AE66" s="963">
        <f t="shared" si="83"/>
        <v>1521241149.6660821</v>
      </c>
      <c r="AF66" s="963">
        <f t="shared" si="83"/>
        <v>1522210992.5963948</v>
      </c>
      <c r="AG66" s="963">
        <f t="shared" si="83"/>
        <v>1523182529.9573989</v>
      </c>
      <c r="AH66" s="963">
        <f t="shared" si="83"/>
        <v>1524153385.6653752</v>
      </c>
      <c r="AI66" s="963">
        <f t="shared" si="83"/>
        <v>1525124582.1998641</v>
      </c>
      <c r="AJ66" s="963">
        <f t="shared" si="83"/>
        <v>1526095778.7343543</v>
      </c>
      <c r="AK66" s="963">
        <f t="shared" si="83"/>
        <v>1527066975.2688446</v>
      </c>
      <c r="AL66" s="963">
        <f t="shared" si="83"/>
        <v>1528038171.8033335</v>
      </c>
      <c r="AM66" s="963">
        <f t="shared" si="83"/>
        <v>1529009368.3378239</v>
      </c>
      <c r="AN66" s="963">
        <f t="shared" si="83"/>
        <v>1529980564.8723125</v>
      </c>
      <c r="AO66" s="963">
        <f t="shared" si="83"/>
        <v>1530951761.4068029</v>
      </c>
      <c r="AP66" s="963">
        <f t="shared" si="83"/>
        <v>1531922957.9412932</v>
      </c>
      <c r="AQ66" s="963">
        <f t="shared" si="83"/>
        <v>1532894154.4757819</v>
      </c>
      <c r="AR66" s="963">
        <f t="shared" si="83"/>
        <v>1533865351.0102723</v>
      </c>
      <c r="AS66" s="963">
        <f t="shared" si="83"/>
        <v>1534836547.5447626</v>
      </c>
      <c r="AT66" s="963">
        <f>SUM(AT61:AT65)</f>
        <v>1424961260.7852504</v>
      </c>
      <c r="AU66" s="356">
        <f>SUM(AU61:AU65)</f>
        <v>1511627843.3798337</v>
      </c>
      <c r="AV66" s="356">
        <f t="shared" ref="AV66:CL66" si="84">SUM(AV61:AV65)</f>
        <v>1514200012.7813563</v>
      </c>
      <c r="AW66" s="356">
        <f t="shared" si="84"/>
        <v>1497710391.0913258</v>
      </c>
      <c r="AX66" s="356">
        <f t="shared" si="84"/>
        <v>1538165110.6251879</v>
      </c>
      <c r="AY66" s="356">
        <f t="shared" si="84"/>
        <v>1580869328.5088792</v>
      </c>
      <c r="AZ66" s="356">
        <f t="shared" si="84"/>
        <v>1593134759.9113812</v>
      </c>
      <c r="BA66" s="356">
        <f t="shared" si="84"/>
        <v>1600946466.6045799</v>
      </c>
      <c r="BB66" s="356">
        <f t="shared" si="84"/>
        <v>1592230106.1257205</v>
      </c>
      <c r="BC66" s="356">
        <f t="shared" si="84"/>
        <v>1632372734.820632</v>
      </c>
      <c r="BD66" s="356">
        <f t="shared" si="84"/>
        <v>1600128267.7940116</v>
      </c>
      <c r="BE66" s="356">
        <f t="shared" si="84"/>
        <v>1566736078.5586743</v>
      </c>
      <c r="BF66" s="356">
        <f t="shared" si="84"/>
        <v>1561086379.1732597</v>
      </c>
      <c r="BG66" s="356">
        <f t="shared" si="84"/>
        <v>1602957413.6833827</v>
      </c>
      <c r="BH66" s="356">
        <f t="shared" si="84"/>
        <v>1545212230.5898328</v>
      </c>
      <c r="BI66" s="356">
        <f t="shared" si="84"/>
        <v>1489735448.3237739</v>
      </c>
      <c r="BJ66" s="356">
        <f t="shared" si="84"/>
        <v>1480033621.7780838</v>
      </c>
      <c r="BK66" s="356">
        <f t="shared" si="84"/>
        <v>1505809311.8672504</v>
      </c>
      <c r="BL66" s="356">
        <f t="shared" si="84"/>
        <v>1544239147.5085006</v>
      </c>
      <c r="BM66" s="356">
        <f t="shared" si="84"/>
        <v>1504788833.2372506</v>
      </c>
      <c r="BN66" s="356">
        <f t="shared" si="84"/>
        <v>1491119893.6374171</v>
      </c>
      <c r="BO66" s="356">
        <f t="shared" si="84"/>
        <v>1573003884.3146672</v>
      </c>
      <c r="BP66" s="356">
        <f t="shared" si="84"/>
        <v>1564020404.4224172</v>
      </c>
      <c r="BQ66" s="356">
        <f t="shared" si="84"/>
        <v>1613332461.9665837</v>
      </c>
      <c r="BR66" s="356">
        <f t="shared" si="84"/>
        <v>1535153784.5237503</v>
      </c>
      <c r="BS66" s="356">
        <f t="shared" si="84"/>
        <v>1515823110.8499172</v>
      </c>
      <c r="BT66" s="356">
        <f t="shared" si="84"/>
        <v>1390196570.9920838</v>
      </c>
      <c r="BU66" s="356">
        <f t="shared" si="84"/>
        <v>1463278622.2524171</v>
      </c>
      <c r="BV66" s="356">
        <f t="shared" si="84"/>
        <v>1445399430.2209172</v>
      </c>
      <c r="BW66" s="356">
        <f t="shared" si="84"/>
        <v>1343927019.0382504</v>
      </c>
      <c r="BX66" s="356">
        <f t="shared" si="84"/>
        <v>1331857488.3740838</v>
      </c>
      <c r="BY66" s="356">
        <f t="shared" si="84"/>
        <v>1374867293.9872503</v>
      </c>
      <c r="BZ66" s="356">
        <f t="shared" si="84"/>
        <v>1426909772.6408339</v>
      </c>
      <c r="CA66" s="356">
        <f t="shared" si="84"/>
        <v>1444540911.8385005</v>
      </c>
      <c r="CB66" s="356">
        <f t="shared" si="84"/>
        <v>1482190074.004667</v>
      </c>
      <c r="CC66" s="356">
        <f t="shared" si="84"/>
        <v>1515147460.2607503</v>
      </c>
      <c r="CD66" s="356">
        <f t="shared" si="84"/>
        <v>1580921610.3050838</v>
      </c>
      <c r="CE66" s="356">
        <f t="shared" si="84"/>
        <v>1670115607.5991671</v>
      </c>
      <c r="CF66" s="356">
        <f t="shared" si="84"/>
        <v>1602916860.9657507</v>
      </c>
      <c r="CG66" s="356">
        <f t="shared" si="84"/>
        <v>1517220822.3857505</v>
      </c>
      <c r="CH66" s="356">
        <f t="shared" si="84"/>
        <v>1512769739.5605004</v>
      </c>
      <c r="CI66" s="356">
        <f t="shared" si="84"/>
        <v>1552391460.9213338</v>
      </c>
      <c r="CJ66" s="356">
        <f t="shared" si="84"/>
        <v>1613086880.6902504</v>
      </c>
      <c r="CK66" s="356">
        <f t="shared" si="84"/>
        <v>1695291066.2185838</v>
      </c>
      <c r="CL66" s="356">
        <f t="shared" si="84"/>
        <v>1744574069.2312505</v>
      </c>
      <c r="CM66" s="356">
        <f t="shared" si="76"/>
        <v>1524484777.7316465</v>
      </c>
      <c r="CN66" s="347"/>
      <c r="CO66" s="347"/>
      <c r="CP66" s="347"/>
      <c r="CQ66" s="347"/>
      <c r="CR66" s="347"/>
      <c r="CS66" s="347"/>
      <c r="CT66" s="347"/>
      <c r="CU66" s="347"/>
      <c r="CV66" s="347"/>
      <c r="CW66" s="347"/>
      <c r="CX66" s="347"/>
      <c r="CY66" s="347"/>
      <c r="CZ66" s="347"/>
      <c r="DA66" s="347"/>
      <c r="DB66" s="347"/>
      <c r="DC66" s="347"/>
      <c r="DD66" s="347"/>
      <c r="DE66" s="347"/>
      <c r="DF66" s="347"/>
      <c r="DG66" s="347"/>
      <c r="DH66" s="347"/>
      <c r="DI66" s="347"/>
      <c r="DJ66" s="347"/>
      <c r="DK66" s="347"/>
      <c r="DL66" s="347"/>
      <c r="DM66" s="347"/>
      <c r="DN66" s="347"/>
      <c r="DO66" s="347"/>
      <c r="DP66" s="347"/>
      <c r="DQ66" s="347"/>
      <c r="DR66" s="347"/>
      <c r="DS66" s="347"/>
      <c r="DT66" s="347"/>
      <c r="DU66" s="347"/>
      <c r="DV66" s="347"/>
      <c r="DW66" s="347"/>
      <c r="DX66" s="347"/>
      <c r="DY66" s="347"/>
      <c r="DZ66" s="347"/>
      <c r="EA66" s="347"/>
      <c r="EB66" s="347"/>
      <c r="EC66" s="347"/>
      <c r="ED66" s="347"/>
      <c r="EE66" s="347"/>
      <c r="EF66" s="347"/>
      <c r="EG66" s="347"/>
      <c r="EH66" s="347"/>
      <c r="EI66" s="347"/>
      <c r="EJ66" s="347"/>
      <c r="EK66" s="347"/>
      <c r="EL66" s="347"/>
      <c r="EM66" s="347"/>
      <c r="EN66" s="347"/>
      <c r="EO66" s="347"/>
      <c r="EP66" s="347"/>
      <c r="EQ66" s="347"/>
      <c r="ER66" s="347"/>
      <c r="ES66" s="347"/>
      <c r="ET66" s="347"/>
      <c r="EU66" s="347"/>
      <c r="EV66" s="347"/>
      <c r="EW66" s="347"/>
      <c r="EX66" s="347"/>
      <c r="EY66" s="347"/>
      <c r="EZ66" s="347"/>
      <c r="FA66" s="347"/>
      <c r="FB66" s="347"/>
      <c r="FC66" s="347"/>
      <c r="FD66" s="347"/>
      <c r="FE66" s="347"/>
      <c r="FF66" s="347"/>
      <c r="FG66" s="347"/>
      <c r="FH66" s="347"/>
      <c r="FI66" s="347"/>
      <c r="FJ66" s="347"/>
      <c r="FK66" s="347"/>
      <c r="FL66" s="347"/>
      <c r="FM66" s="347"/>
      <c r="FN66" s="347"/>
      <c r="FO66" s="347"/>
      <c r="FP66" s="347"/>
      <c r="FQ66" s="347"/>
      <c r="FR66" s="347"/>
      <c r="FS66" s="347"/>
      <c r="FT66" s="347"/>
      <c r="FU66" s="347"/>
      <c r="FV66" s="347"/>
    </row>
    <row r="67" spans="1:178">
      <c r="A67" s="1402"/>
      <c r="B67" s="1402"/>
      <c r="C67" s="1402"/>
      <c r="D67" s="1402"/>
      <c r="E67" s="1403"/>
      <c r="F67" s="854" t="s">
        <v>218</v>
      </c>
      <c r="G67" s="963">
        <f t="shared" ref="G67:BR67" si="85">(0.101511101973684*G18*0.85*G4/0.685)+(0.20964*G17*0.5/0.82)</f>
        <v>198714873.57718801</v>
      </c>
      <c r="H67" s="963">
        <f t="shared" si="85"/>
        <v>165777945.00215021</v>
      </c>
      <c r="I67" s="963">
        <f t="shared" si="85"/>
        <v>152012319.4964475</v>
      </c>
      <c r="J67" s="963">
        <f t="shared" si="85"/>
        <v>116301001.07709037</v>
      </c>
      <c r="K67" s="963">
        <f t="shared" si="85"/>
        <v>123006816.35015295</v>
      </c>
      <c r="L67" s="963">
        <f t="shared" si="85"/>
        <v>137657753.31324193</v>
      </c>
      <c r="M67" s="963">
        <f t="shared" si="85"/>
        <v>127136069.30639859</v>
      </c>
      <c r="N67" s="963">
        <f t="shared" si="85"/>
        <v>130635836.05168788</v>
      </c>
      <c r="O67" s="963">
        <f t="shared" si="85"/>
        <v>113885499.26342936</v>
      </c>
      <c r="P67" s="963">
        <f t="shared" si="85"/>
        <v>110753086.54257558</v>
      </c>
      <c r="Q67" s="963">
        <f t="shared" si="85"/>
        <v>104668348.08020926</v>
      </c>
      <c r="R67" s="963">
        <f t="shared" si="85"/>
        <v>91870749.574968517</v>
      </c>
      <c r="S67" s="963">
        <f t="shared" si="85"/>
        <v>103188912.50765723</v>
      </c>
      <c r="T67" s="963">
        <f t="shared" si="85"/>
        <v>115130738.11233452</v>
      </c>
      <c r="U67" s="963">
        <f t="shared" si="85"/>
        <v>134831172.09069958</v>
      </c>
      <c r="V67" s="963">
        <f t="shared" si="85"/>
        <v>102290357.49863544</v>
      </c>
      <c r="W67" s="963">
        <f t="shared" si="85"/>
        <v>85423951.945928738</v>
      </c>
      <c r="X67" s="963">
        <f t="shared" si="85"/>
        <v>84927752.042920172</v>
      </c>
      <c r="Y67" s="963">
        <f t="shared" si="85"/>
        <v>93543187.527015612</v>
      </c>
      <c r="Z67" s="963">
        <f t="shared" si="85"/>
        <v>95620201.280316919</v>
      </c>
      <c r="AA67" s="963">
        <f t="shared" si="85"/>
        <v>97451310.656905994</v>
      </c>
      <c r="AB67" s="963">
        <f t="shared" si="85"/>
        <v>86833510.962439761</v>
      </c>
      <c r="AC67" s="963">
        <f t="shared" si="85"/>
        <v>83838746.946051836</v>
      </c>
      <c r="AD67" s="963">
        <f t="shared" si="85"/>
        <v>86534912.790717795</v>
      </c>
      <c r="AE67" s="963">
        <f t="shared" si="85"/>
        <v>99682014.645652413</v>
      </c>
      <c r="AF67" s="963">
        <f t="shared" si="85"/>
        <v>116205910.53079571</v>
      </c>
      <c r="AG67" s="963">
        <f t="shared" si="85"/>
        <v>113136496.97147729</v>
      </c>
      <c r="AH67" s="963">
        <f t="shared" si="85"/>
        <v>130038031.7208572</v>
      </c>
      <c r="AI67" s="963">
        <f t="shared" si="85"/>
        <v>149833334.04618961</v>
      </c>
      <c r="AJ67" s="963">
        <f t="shared" si="85"/>
        <v>138565644.21326968</v>
      </c>
      <c r="AK67" s="963">
        <f t="shared" si="85"/>
        <v>121646544.86555322</v>
      </c>
      <c r="AL67" s="963">
        <f t="shared" si="85"/>
        <v>108920993.37069666</v>
      </c>
      <c r="AM67" s="963">
        <f t="shared" si="85"/>
        <v>108964904.86653812</v>
      </c>
      <c r="AN67" s="963">
        <f t="shared" si="85"/>
        <v>97504004.451915756</v>
      </c>
      <c r="AO67" s="963">
        <f t="shared" si="85"/>
        <v>118032628.75780064</v>
      </c>
      <c r="AP67" s="963">
        <f t="shared" si="85"/>
        <v>135961692.5098708</v>
      </c>
      <c r="AQ67" s="963">
        <f t="shared" si="85"/>
        <v>164126525.94258645</v>
      </c>
      <c r="AR67" s="963">
        <f t="shared" si="85"/>
        <v>163691802.13375595</v>
      </c>
      <c r="AS67" s="963">
        <f t="shared" si="85"/>
        <v>166181583.94796702</v>
      </c>
      <c r="AT67" s="963">
        <f t="shared" si="85"/>
        <v>164987191.26107919</v>
      </c>
      <c r="AU67" s="356">
        <f t="shared" si="85"/>
        <v>148792631.59474686</v>
      </c>
      <c r="AV67" s="356">
        <f t="shared" si="85"/>
        <v>137160476.3463428</v>
      </c>
      <c r="AW67" s="356">
        <f t="shared" si="85"/>
        <v>137265863.93636233</v>
      </c>
      <c r="AX67" s="356">
        <f t="shared" si="85"/>
        <v>148142741.4562932</v>
      </c>
      <c r="AY67" s="356">
        <f t="shared" si="85"/>
        <v>167046640.41604388</v>
      </c>
      <c r="AZ67" s="356">
        <f t="shared" si="85"/>
        <v>167323282.83984512</v>
      </c>
      <c r="BA67" s="356">
        <f t="shared" si="85"/>
        <v>177879606.4401333</v>
      </c>
      <c r="BB67" s="356">
        <f t="shared" si="85"/>
        <v>189986005.84362522</v>
      </c>
      <c r="BC67" s="356">
        <f t="shared" si="85"/>
        <v>211151346.83921134</v>
      </c>
      <c r="BD67" s="356">
        <f t="shared" si="85"/>
        <v>168956790.48514763</v>
      </c>
      <c r="BE67" s="356">
        <f t="shared" si="85"/>
        <v>138359260.18281481</v>
      </c>
      <c r="BF67" s="356">
        <f t="shared" si="85"/>
        <v>133638774.37985732</v>
      </c>
      <c r="BG67" s="356">
        <f t="shared" si="85"/>
        <v>137489812.56515381</v>
      </c>
      <c r="BH67" s="356">
        <f t="shared" si="85"/>
        <v>149363481.04068592</v>
      </c>
      <c r="BI67" s="356">
        <f t="shared" si="85"/>
        <v>156898693.72708133</v>
      </c>
      <c r="BJ67" s="356">
        <f t="shared" si="85"/>
        <v>160846337.20322904</v>
      </c>
      <c r="BK67" s="356">
        <f t="shared" si="85"/>
        <v>131131427.96730967</v>
      </c>
      <c r="BL67" s="356">
        <f t="shared" si="85"/>
        <v>113334098.7027639</v>
      </c>
      <c r="BM67" s="356">
        <f t="shared" si="85"/>
        <v>115573584.99067861</v>
      </c>
      <c r="BN67" s="356">
        <f t="shared" si="85"/>
        <v>109197635.79449791</v>
      </c>
      <c r="BO67" s="356">
        <f t="shared" si="85"/>
        <v>130766962.55182551</v>
      </c>
      <c r="BP67" s="356">
        <f t="shared" si="85"/>
        <v>135197632.48222932</v>
      </c>
      <c r="BQ67" s="356">
        <f t="shared" si="85"/>
        <v>137564462.10808426</v>
      </c>
      <c r="BR67" s="356">
        <f t="shared" si="85"/>
        <v>176825730.53993812</v>
      </c>
      <c r="BS67" s="356">
        <f t="shared" ref="BS67:CL67" si="86">(0.101511101973684*BS18*0.85*BS4/0.685)+(0.20964*BS17*0.5/0.82)</f>
        <v>159375302.09253997</v>
      </c>
      <c r="BT67" s="356">
        <f t="shared" si="86"/>
        <v>141288156.95544049</v>
      </c>
      <c r="BU67" s="356">
        <f t="shared" si="86"/>
        <v>76931468.6501894</v>
      </c>
      <c r="BV67" s="356">
        <f t="shared" si="86"/>
        <v>113101367.77480412</v>
      </c>
      <c r="BW67" s="356">
        <f t="shared" si="86"/>
        <v>116447423.75792375</v>
      </c>
      <c r="BX67" s="356">
        <f t="shared" si="86"/>
        <v>118392703.02370065</v>
      </c>
      <c r="BY67" s="356">
        <f t="shared" si="86"/>
        <v>119257759.49177752</v>
      </c>
      <c r="BZ67" s="356">
        <f t="shared" si="86"/>
        <v>117755986.33399943</v>
      </c>
      <c r="CA67" s="356">
        <f t="shared" si="86"/>
        <v>121325990.94591053</v>
      </c>
      <c r="CB67" s="356">
        <f t="shared" si="86"/>
        <v>139975203.2297807</v>
      </c>
      <c r="CC67" s="356">
        <f t="shared" si="86"/>
        <v>145363143.76952845</v>
      </c>
      <c r="CD67" s="356">
        <f t="shared" si="86"/>
        <v>176500785.47071129</v>
      </c>
      <c r="CE67" s="356">
        <f t="shared" si="86"/>
        <v>193907302.42226803</v>
      </c>
      <c r="CF67" s="356">
        <f t="shared" si="86"/>
        <v>199817789.76252919</v>
      </c>
      <c r="CG67" s="356">
        <f t="shared" si="86"/>
        <v>183206070.885703</v>
      </c>
      <c r="CH67" s="356">
        <f t="shared" si="86"/>
        <v>158567330.56905699</v>
      </c>
      <c r="CI67" s="356">
        <f t="shared" si="86"/>
        <v>171674912.07773429</v>
      </c>
      <c r="CJ67" s="356">
        <f t="shared" si="86"/>
        <v>202755468.83432323</v>
      </c>
      <c r="CK67" s="356">
        <f t="shared" si="86"/>
        <v>214365668.33480659</v>
      </c>
      <c r="CL67" s="356">
        <f t="shared" si="86"/>
        <v>215081425.71702248</v>
      </c>
      <c r="CM67" s="356">
        <f t="shared" si="76"/>
        <v>136958320.19960496</v>
      </c>
      <c r="CN67" s="347"/>
      <c r="CO67" s="347"/>
      <c r="CP67" s="347"/>
      <c r="CQ67" s="347"/>
      <c r="CR67" s="347"/>
      <c r="CS67" s="347"/>
      <c r="CT67" s="347"/>
      <c r="CU67" s="347"/>
      <c r="CV67" s="347"/>
      <c r="CW67" s="347"/>
      <c r="CX67" s="347"/>
      <c r="CY67" s="347"/>
      <c r="CZ67" s="347"/>
      <c r="DA67" s="347"/>
      <c r="DB67" s="347"/>
      <c r="DC67" s="347"/>
      <c r="DD67" s="347"/>
      <c r="DE67" s="347"/>
      <c r="DF67" s="347"/>
      <c r="DG67" s="347"/>
      <c r="DH67" s="347"/>
      <c r="DI67" s="347"/>
      <c r="DJ67" s="347"/>
      <c r="DK67" s="347"/>
      <c r="DL67" s="347"/>
      <c r="DM67" s="347"/>
      <c r="DN67" s="347"/>
      <c r="DO67" s="347"/>
      <c r="DP67" s="347"/>
      <c r="DQ67" s="347"/>
      <c r="DR67" s="347"/>
      <c r="DS67" s="347"/>
      <c r="DT67" s="347"/>
      <c r="DU67" s="347"/>
      <c r="DV67" s="347"/>
      <c r="DW67" s="347"/>
      <c r="DX67" s="347"/>
      <c r="DY67" s="347"/>
      <c r="DZ67" s="347"/>
      <c r="EA67" s="347"/>
      <c r="EB67" s="347"/>
      <c r="EC67" s="347"/>
      <c r="ED67" s="347"/>
      <c r="EE67" s="347"/>
      <c r="EF67" s="347"/>
      <c r="EG67" s="347"/>
      <c r="EH67" s="347"/>
      <c r="EI67" s="347"/>
      <c r="EJ67" s="347"/>
      <c r="EK67" s="347"/>
      <c r="EL67" s="347"/>
      <c r="EM67" s="347"/>
      <c r="EN67" s="347"/>
      <c r="EO67" s="347"/>
      <c r="EP67" s="347"/>
      <c r="EQ67" s="347"/>
      <c r="ER67" s="347"/>
      <c r="ES67" s="347"/>
      <c r="ET67" s="347"/>
      <c r="EU67" s="347"/>
      <c r="EV67" s="347"/>
      <c r="EW67" s="347"/>
      <c r="EX67" s="347"/>
      <c r="EY67" s="347"/>
      <c r="EZ67" s="347"/>
      <c r="FA67" s="347"/>
      <c r="FB67" s="347"/>
      <c r="FC67" s="347"/>
      <c r="FD67" s="347"/>
      <c r="FE67" s="347"/>
      <c r="FF67" s="347"/>
      <c r="FG67" s="347"/>
      <c r="FH67" s="347"/>
      <c r="FI67" s="347"/>
      <c r="FJ67" s="347"/>
      <c r="FK67" s="347"/>
      <c r="FL67" s="347"/>
      <c r="FM67" s="347"/>
      <c r="FN67" s="347"/>
      <c r="FO67" s="347"/>
      <c r="FP67" s="347"/>
      <c r="FQ67" s="347"/>
      <c r="FR67" s="347"/>
      <c r="FS67" s="347"/>
      <c r="FT67" s="347"/>
      <c r="FU67" s="347"/>
      <c r="FV67" s="347"/>
    </row>
    <row r="68" spans="1:178">
      <c r="A68" s="1402"/>
      <c r="B68" s="1402"/>
      <c r="C68" s="1402"/>
      <c r="D68" s="1402"/>
      <c r="E68" s="1403"/>
      <c r="F68" s="854" t="s">
        <v>219</v>
      </c>
      <c r="G68" s="963">
        <f t="shared" ref="G68:BR68" si="87">G47+G48+G49+G50+G66+G67</f>
        <v>10017493680.181686</v>
      </c>
      <c r="H68" s="963">
        <f t="shared" si="87"/>
        <v>9237332080.4496937</v>
      </c>
      <c r="I68" s="963">
        <f t="shared" si="87"/>
        <v>8138638110.1065626</v>
      </c>
      <c r="J68" s="963">
        <f t="shared" si="87"/>
        <v>6974946582.0129042</v>
      </c>
      <c r="K68" s="963">
        <f t="shared" si="87"/>
        <v>7834940212.9773149</v>
      </c>
      <c r="L68" s="963">
        <f t="shared" si="87"/>
        <v>7900155150.5375776</v>
      </c>
      <c r="M68" s="963">
        <f t="shared" si="87"/>
        <v>8056095662.0913601</v>
      </c>
      <c r="N68" s="963">
        <f t="shared" si="87"/>
        <v>8381082369.4942083</v>
      </c>
      <c r="O68" s="963">
        <f t="shared" si="87"/>
        <v>8056996915.733902</v>
      </c>
      <c r="P68" s="963">
        <f t="shared" si="87"/>
        <v>7433751137.3181629</v>
      </c>
      <c r="Q68" s="963">
        <f t="shared" si="87"/>
        <v>6989968250.0625477</v>
      </c>
      <c r="R68" s="963">
        <f t="shared" si="87"/>
        <v>7087196972.1449566</v>
      </c>
      <c r="S68" s="963">
        <f t="shared" si="87"/>
        <v>7283129331.8680973</v>
      </c>
      <c r="T68" s="963">
        <f t="shared" si="87"/>
        <v>7473675614.2611132</v>
      </c>
      <c r="U68" s="963">
        <f t="shared" si="87"/>
        <v>7238727538.1495657</v>
      </c>
      <c r="V68" s="963">
        <f t="shared" si="87"/>
        <v>6341600192.2522573</v>
      </c>
      <c r="W68" s="963">
        <f t="shared" si="87"/>
        <v>6043445390.9632607</v>
      </c>
      <c r="X68" s="963">
        <f t="shared" si="87"/>
        <v>6363281457.4555769</v>
      </c>
      <c r="Y68" s="963">
        <f t="shared" si="87"/>
        <v>6572223656.353384</v>
      </c>
      <c r="Z68" s="963">
        <f t="shared" si="87"/>
        <v>6790189028.9766312</v>
      </c>
      <c r="AA68" s="963">
        <f t="shared" si="87"/>
        <v>6913196685.5157623</v>
      </c>
      <c r="AB68" s="963">
        <f t="shared" si="87"/>
        <v>6485431534.191802</v>
      </c>
      <c r="AC68" s="963">
        <f t="shared" si="87"/>
        <v>6324984154.1524773</v>
      </c>
      <c r="AD68" s="963">
        <f t="shared" si="87"/>
        <v>6567261868.7877388</v>
      </c>
      <c r="AE68" s="963">
        <f t="shared" si="87"/>
        <v>6995041545.9924374</v>
      </c>
      <c r="AF68" s="963">
        <f t="shared" si="87"/>
        <v>7152067181.3542547</v>
      </c>
      <c r="AG68" s="963">
        <f t="shared" si="87"/>
        <v>7481322993.5282364</v>
      </c>
      <c r="AH68" s="963">
        <f t="shared" si="87"/>
        <v>7962404034.320982</v>
      </c>
      <c r="AI68" s="963">
        <f t="shared" si="87"/>
        <v>8155449913.5061579</v>
      </c>
      <c r="AJ68" s="963">
        <f t="shared" si="87"/>
        <v>7587800776.044158</v>
      </c>
      <c r="AK68" s="963">
        <f t="shared" si="87"/>
        <v>7386219531.1090097</v>
      </c>
      <c r="AL68" s="963">
        <f t="shared" si="87"/>
        <v>6954595049.260067</v>
      </c>
      <c r="AM68" s="963">
        <f t="shared" si="87"/>
        <v>6694217958.5998907</v>
      </c>
      <c r="AN68" s="963">
        <f t="shared" si="87"/>
        <v>6682097279.2005844</v>
      </c>
      <c r="AO68" s="963">
        <f t="shared" si="87"/>
        <v>7193802232.6939287</v>
      </c>
      <c r="AP68" s="963">
        <f t="shared" si="87"/>
        <v>7718935421.2978306</v>
      </c>
      <c r="AQ68" s="963">
        <f t="shared" si="87"/>
        <v>8247868348.4095821</v>
      </c>
      <c r="AR68" s="963">
        <f t="shared" si="87"/>
        <v>8705433163.5078888</v>
      </c>
      <c r="AS68" s="963">
        <f t="shared" si="87"/>
        <v>8679374119.8963032</v>
      </c>
      <c r="AT68" s="963">
        <f t="shared" si="87"/>
        <v>8640178013.32094</v>
      </c>
      <c r="AU68" s="356">
        <f t="shared" si="87"/>
        <v>8293122076.5450697</v>
      </c>
      <c r="AV68" s="356">
        <f t="shared" si="87"/>
        <v>8314246222.9949827</v>
      </c>
      <c r="AW68" s="356">
        <f t="shared" si="87"/>
        <v>8654643481.9912186</v>
      </c>
      <c r="AX68" s="356">
        <f t="shared" si="87"/>
        <v>9499165650.8174915</v>
      </c>
      <c r="AY68" s="356">
        <f t="shared" si="87"/>
        <v>9494797969.6253242</v>
      </c>
      <c r="AZ68" s="356">
        <f t="shared" si="87"/>
        <v>9708279822.093605</v>
      </c>
      <c r="BA68" s="356">
        <f t="shared" si="87"/>
        <v>9933918729.5624332</v>
      </c>
      <c r="BB68" s="356">
        <f t="shared" si="87"/>
        <v>10565338969.19742</v>
      </c>
      <c r="BC68" s="356">
        <f t="shared" si="87"/>
        <v>10883115178.404018</v>
      </c>
      <c r="BD68" s="356">
        <f t="shared" si="87"/>
        <v>8810551567.9335899</v>
      </c>
      <c r="BE68" s="356">
        <f t="shared" si="87"/>
        <v>7940093492.3583498</v>
      </c>
      <c r="BF68" s="356">
        <f t="shared" si="87"/>
        <v>7922580662.1090689</v>
      </c>
      <c r="BG68" s="356">
        <f t="shared" si="87"/>
        <v>8463221722.2490044</v>
      </c>
      <c r="BH68" s="356">
        <f t="shared" si="87"/>
        <v>8686700486.5883274</v>
      </c>
      <c r="BI68" s="356">
        <f t="shared" si="87"/>
        <v>9040355918.335741</v>
      </c>
      <c r="BJ68" s="356">
        <f t="shared" si="87"/>
        <v>8811408183.254755</v>
      </c>
      <c r="BK68" s="356">
        <f t="shared" si="87"/>
        <v>7848739733.4193859</v>
      </c>
      <c r="BL68" s="356">
        <f t="shared" si="87"/>
        <v>7990314917.7303953</v>
      </c>
      <c r="BM68" s="356">
        <f t="shared" si="87"/>
        <v>7710502162.1597691</v>
      </c>
      <c r="BN68" s="356">
        <f t="shared" si="87"/>
        <v>7916360450.2922602</v>
      </c>
      <c r="BO68" s="356">
        <f t="shared" si="87"/>
        <v>8136384171.962472</v>
      </c>
      <c r="BP68" s="356">
        <f t="shared" si="87"/>
        <v>8486433272.1327744</v>
      </c>
      <c r="BQ68" s="356">
        <f t="shared" si="87"/>
        <v>8748514946.0530243</v>
      </c>
      <c r="BR68" s="356">
        <f t="shared" si="87"/>
        <v>8957950311.191925</v>
      </c>
      <c r="BS68" s="356">
        <f t="shared" ref="BS68:CM68" si="88">BS47+BS48+BS49+BS50+BS66+BS67</f>
        <v>8242607649.5527067</v>
      </c>
      <c r="BT68" s="356">
        <f t="shared" si="88"/>
        <v>6221287141.4745283</v>
      </c>
      <c r="BU68" s="356">
        <f t="shared" si="88"/>
        <v>4217882937.0628562</v>
      </c>
      <c r="BV68" s="356">
        <f t="shared" si="88"/>
        <v>5347907389.6532412</v>
      </c>
      <c r="BW68" s="356">
        <f t="shared" si="88"/>
        <v>6617444052.8463602</v>
      </c>
      <c r="BX68" s="356">
        <f t="shared" si="88"/>
        <v>6946850617.9938841</v>
      </c>
      <c r="BY68" s="356">
        <f t="shared" si="88"/>
        <v>6976532450.5649519</v>
      </c>
      <c r="BZ68" s="356">
        <f t="shared" si="88"/>
        <v>6975785554.0769987</v>
      </c>
      <c r="CA68" s="356">
        <f t="shared" si="88"/>
        <v>6912662908.8325605</v>
      </c>
      <c r="CB68" s="356">
        <f t="shared" si="88"/>
        <v>7079397658.0543947</v>
      </c>
      <c r="CC68" s="356">
        <f t="shared" si="88"/>
        <v>7664191228.9894838</v>
      </c>
      <c r="CD68" s="356">
        <f t="shared" si="88"/>
        <v>8648182874.1669235</v>
      </c>
      <c r="CE68" s="356">
        <f t="shared" si="88"/>
        <v>9370556807.461441</v>
      </c>
      <c r="CF68" s="356">
        <f t="shared" si="88"/>
        <v>9530018569.3564949</v>
      </c>
      <c r="CG68" s="356">
        <f t="shared" si="88"/>
        <v>9186162541.8878345</v>
      </c>
      <c r="CH68" s="356">
        <f t="shared" si="88"/>
        <v>9184210222.4105778</v>
      </c>
      <c r="CI68" s="356">
        <f t="shared" si="88"/>
        <v>9833499998.0660381</v>
      </c>
      <c r="CJ68" s="356">
        <f t="shared" si="88"/>
        <v>10640327527.83902</v>
      </c>
      <c r="CK68" s="356">
        <f t="shared" si="88"/>
        <v>10409552295.26969</v>
      </c>
      <c r="CL68" s="356">
        <f t="shared" si="88"/>
        <v>10806209904.788807</v>
      </c>
      <c r="CM68" s="356">
        <f t="shared" si="88"/>
        <v>7980601923.4218063</v>
      </c>
      <c r="CN68" s="347"/>
      <c r="CO68" s="347"/>
      <c r="CP68" s="347"/>
      <c r="CQ68" s="347"/>
      <c r="CR68" s="347"/>
      <c r="CS68" s="347"/>
      <c r="CT68" s="347"/>
      <c r="CU68" s="347"/>
      <c r="CV68" s="347"/>
      <c r="CW68" s="347"/>
      <c r="CX68" s="347"/>
      <c r="CY68" s="347"/>
      <c r="CZ68" s="347"/>
      <c r="DA68" s="347"/>
      <c r="DB68" s="347"/>
      <c r="DC68" s="347"/>
      <c r="DD68" s="347"/>
      <c r="DE68" s="347"/>
      <c r="DF68" s="347"/>
      <c r="DG68" s="347"/>
      <c r="DH68" s="347"/>
      <c r="DI68" s="347"/>
      <c r="DJ68" s="347"/>
      <c r="DK68" s="347"/>
      <c r="DL68" s="347"/>
      <c r="DM68" s="347"/>
      <c r="DN68" s="347"/>
      <c r="DO68" s="347"/>
      <c r="DP68" s="347"/>
      <c r="DQ68" s="347"/>
      <c r="DR68" s="347"/>
      <c r="DS68" s="347"/>
      <c r="DT68" s="347"/>
      <c r="DU68" s="347"/>
      <c r="DV68" s="347"/>
      <c r="DW68" s="347"/>
      <c r="DX68" s="347"/>
      <c r="DY68" s="347"/>
      <c r="DZ68" s="347"/>
      <c r="EA68" s="347"/>
      <c r="EB68" s="347"/>
      <c r="EC68" s="347"/>
      <c r="ED68" s="347"/>
      <c r="EE68" s="347"/>
      <c r="EF68" s="347"/>
      <c r="EG68" s="347"/>
      <c r="EH68" s="347"/>
      <c r="EI68" s="347"/>
      <c r="EJ68" s="347"/>
      <c r="EK68" s="347"/>
      <c r="EL68" s="347"/>
      <c r="EM68" s="347"/>
      <c r="EN68" s="347"/>
      <c r="EO68" s="347"/>
      <c r="EP68" s="347"/>
      <c r="EQ68" s="347"/>
      <c r="ER68" s="347"/>
      <c r="ES68" s="347"/>
      <c r="ET68" s="347"/>
      <c r="EU68" s="347"/>
      <c r="EV68" s="347"/>
      <c r="EW68" s="347"/>
      <c r="EX68" s="347"/>
      <c r="EY68" s="347"/>
      <c r="EZ68" s="347"/>
      <c r="FA68" s="347"/>
      <c r="FB68" s="347"/>
      <c r="FC68" s="347"/>
      <c r="FD68" s="347"/>
      <c r="FE68" s="347"/>
      <c r="FF68" s="347"/>
      <c r="FG68" s="347"/>
      <c r="FH68" s="347"/>
      <c r="FI68" s="347"/>
      <c r="FJ68" s="347"/>
      <c r="FK68" s="347"/>
      <c r="FL68" s="347"/>
      <c r="FM68" s="347"/>
      <c r="FN68" s="347"/>
      <c r="FO68" s="347"/>
      <c r="FP68" s="347"/>
      <c r="FQ68" s="347"/>
      <c r="FR68" s="347"/>
      <c r="FS68" s="347"/>
      <c r="FT68" s="347"/>
      <c r="FU68" s="347"/>
      <c r="FV68" s="347"/>
    </row>
    <row r="69" spans="1:178" ht="63.75" customHeight="1">
      <c r="A69" s="1402"/>
      <c r="B69" s="1402"/>
      <c r="C69" s="1402"/>
      <c r="D69" s="1402"/>
      <c r="E69" s="1403"/>
      <c r="F69" s="894" t="s">
        <v>220</v>
      </c>
      <c r="G69" s="969">
        <f>G68-G55-G56</f>
        <v>6499486831.8012362</v>
      </c>
      <c r="H69" s="969">
        <f t="shared" ref="H69:BR69" si="89">H68-H55-H56</f>
        <v>5923584743.2966938</v>
      </c>
      <c r="I69" s="969">
        <f t="shared" si="89"/>
        <v>5017254400.9913883</v>
      </c>
      <c r="J69" s="969">
        <f t="shared" si="89"/>
        <v>4061628895.3589392</v>
      </c>
      <c r="K69" s="969">
        <f t="shared" si="89"/>
        <v>4791022159.6436005</v>
      </c>
      <c r="L69" s="969">
        <f t="shared" si="89"/>
        <v>4798769342.7576456</v>
      </c>
      <c r="M69" s="969">
        <f t="shared" si="89"/>
        <v>4961306167.7407036</v>
      </c>
      <c r="N69" s="969">
        <f t="shared" si="89"/>
        <v>5183292662.5109777</v>
      </c>
      <c r="O69" s="969">
        <f t="shared" si="89"/>
        <v>5000509798.9405136</v>
      </c>
      <c r="P69" s="969">
        <f t="shared" si="89"/>
        <v>4447119224.1664543</v>
      </c>
      <c r="Q69" s="969">
        <f t="shared" si="89"/>
        <v>4136472037.1574922</v>
      </c>
      <c r="R69" s="969">
        <f t="shared" si="89"/>
        <v>4314533987.852293</v>
      </c>
      <c r="S69" s="969">
        <f t="shared" si="89"/>
        <v>4450367744.9881315</v>
      </c>
      <c r="T69" s="969">
        <f t="shared" si="89"/>
        <v>4609853851.5178404</v>
      </c>
      <c r="U69" s="969">
        <f t="shared" si="89"/>
        <v>4494983890.4525051</v>
      </c>
      <c r="V69" s="969">
        <f t="shared" si="89"/>
        <v>3698334931.8438382</v>
      </c>
      <c r="W69" s="969">
        <f t="shared" si="89"/>
        <v>3608688351.1983256</v>
      </c>
      <c r="X69" s="969">
        <f t="shared" si="89"/>
        <v>3858635633.2650633</v>
      </c>
      <c r="Y69" s="969">
        <f t="shared" si="89"/>
        <v>3940219477.6083531</v>
      </c>
      <c r="Z69" s="969">
        <f t="shared" si="89"/>
        <v>4127765325.0946774</v>
      </c>
      <c r="AA69" s="969">
        <f t="shared" si="89"/>
        <v>4209493540.4965601</v>
      </c>
      <c r="AB69" s="969">
        <f t="shared" si="89"/>
        <v>3826279484.4091964</v>
      </c>
      <c r="AC69" s="969">
        <f t="shared" si="89"/>
        <v>3683924232.9610415</v>
      </c>
      <c r="AD69" s="969">
        <f t="shared" si="89"/>
        <v>3923124362.0515795</v>
      </c>
      <c r="AE69" s="969">
        <f t="shared" si="89"/>
        <v>4255459826.8544097</v>
      </c>
      <c r="AF69" s="969">
        <f t="shared" si="89"/>
        <v>4381329195.3330641</v>
      </c>
      <c r="AG69" s="969">
        <f t="shared" si="89"/>
        <v>4598800761.2615719</v>
      </c>
      <c r="AH69" s="969">
        <f t="shared" si="89"/>
        <v>4925813833.6666222</v>
      </c>
      <c r="AI69" s="969">
        <f t="shared" si="89"/>
        <v>4958367419.6982841</v>
      </c>
      <c r="AJ69" s="969">
        <f t="shared" si="89"/>
        <v>4533195216.337615</v>
      </c>
      <c r="AK69" s="969">
        <f t="shared" si="89"/>
        <v>4277915661.5798426</v>
      </c>
      <c r="AL69" s="969">
        <f t="shared" si="89"/>
        <v>3979316655.0968747</v>
      </c>
      <c r="AM69" s="969">
        <f t="shared" si="89"/>
        <v>3800810368.9010353</v>
      </c>
      <c r="AN69" s="969">
        <f t="shared" si="89"/>
        <v>3767359946.2945547</v>
      </c>
      <c r="AO69" s="969">
        <f t="shared" si="89"/>
        <v>4242629027.9659581</v>
      </c>
      <c r="AP69" s="969">
        <f t="shared" si="89"/>
        <v>4670927126.7524366</v>
      </c>
      <c r="AQ69" s="969">
        <f t="shared" si="89"/>
        <v>5069292441.8919077</v>
      </c>
      <c r="AR69" s="969">
        <f t="shared" si="89"/>
        <v>5525159438.8577967</v>
      </c>
      <c r="AS69" s="969">
        <f t="shared" si="89"/>
        <v>5411101770.3869343</v>
      </c>
      <c r="AT69" s="969">
        <f t="shared" si="89"/>
        <v>5315500035.8426838</v>
      </c>
      <c r="AU69" s="893">
        <f t="shared" si="89"/>
        <v>4918368870.8678417</v>
      </c>
      <c r="AV69" s="893">
        <f t="shared" si="89"/>
        <v>4882165315.7657785</v>
      </c>
      <c r="AW69" s="893">
        <f t="shared" si="89"/>
        <v>5125049796.9198141</v>
      </c>
      <c r="AX69" s="893">
        <f t="shared" si="89"/>
        <v>5790406041.9043093</v>
      </c>
      <c r="AY69" s="893">
        <f t="shared" si="89"/>
        <v>5415434708.8005257</v>
      </c>
      <c r="AZ69" s="893">
        <f t="shared" si="89"/>
        <v>5615137284.7884865</v>
      </c>
      <c r="BA69" s="893">
        <f t="shared" si="89"/>
        <v>5796386032.7462406</v>
      </c>
      <c r="BB69" s="893">
        <f t="shared" si="89"/>
        <v>6173108808.3102589</v>
      </c>
      <c r="BC69" s="893">
        <f t="shared" si="89"/>
        <v>6492350572.9149666</v>
      </c>
      <c r="BD69" s="893">
        <f t="shared" si="89"/>
        <v>5047365199.872797</v>
      </c>
      <c r="BE69" s="893">
        <f t="shared" si="89"/>
        <v>4736246080.8404541</v>
      </c>
      <c r="BF69" s="893">
        <f t="shared" si="89"/>
        <v>4871962358.6352139</v>
      </c>
      <c r="BG69" s="893">
        <f t="shared" si="89"/>
        <v>5323069422.6965828</v>
      </c>
      <c r="BH69" s="893">
        <f t="shared" si="89"/>
        <v>5431366967.4296494</v>
      </c>
      <c r="BI69" s="893">
        <f t="shared" si="89"/>
        <v>5729760061.3025303</v>
      </c>
      <c r="BJ69" s="893">
        <f t="shared" si="89"/>
        <v>5566445780.1124592</v>
      </c>
      <c r="BK69" s="893">
        <f t="shared" si="89"/>
        <v>4743715663.9027557</v>
      </c>
      <c r="BL69" s="893">
        <f t="shared" si="89"/>
        <v>4904293696.6468353</v>
      </c>
      <c r="BM69" s="893">
        <f t="shared" si="89"/>
        <v>4571825284.1255817</v>
      </c>
      <c r="BN69" s="893">
        <f t="shared" si="89"/>
        <v>4693470657.7891026</v>
      </c>
      <c r="BO69" s="893">
        <f t="shared" si="89"/>
        <v>4757493616.0486889</v>
      </c>
      <c r="BP69" s="893">
        <f t="shared" si="89"/>
        <v>5156626622.9773703</v>
      </c>
      <c r="BQ69" s="893">
        <f t="shared" si="89"/>
        <v>5575730626.9235039</v>
      </c>
      <c r="BR69" s="893">
        <f t="shared" si="89"/>
        <v>5590062796.9265079</v>
      </c>
      <c r="BS69" s="893">
        <f t="shared" ref="BS69:CL69" si="90">BS68-BS55-BS56</f>
        <v>4991825359.5722218</v>
      </c>
      <c r="BT69" s="893">
        <f t="shared" si="90"/>
        <v>3524631483.9689932</v>
      </c>
      <c r="BU69" s="893">
        <f t="shared" si="90"/>
        <v>2334225856.2459831</v>
      </c>
      <c r="BV69" s="893">
        <f t="shared" si="90"/>
        <v>3772262934.3358631</v>
      </c>
      <c r="BW69" s="893">
        <f t="shared" si="90"/>
        <v>4700265429.4036036</v>
      </c>
      <c r="BX69" s="893">
        <f t="shared" si="90"/>
        <v>4733087156.6605883</v>
      </c>
      <c r="BY69" s="893">
        <f t="shared" si="90"/>
        <v>4663779744.3180866</v>
      </c>
      <c r="BZ69" s="893">
        <f t="shared" si="90"/>
        <v>4527808509.5523472</v>
      </c>
      <c r="CA69" s="893">
        <f t="shared" si="90"/>
        <v>4383175988.2657719</v>
      </c>
      <c r="CB69" s="893">
        <f t="shared" si="90"/>
        <v>4354199229.3564415</v>
      </c>
      <c r="CC69" s="893">
        <f t="shared" si="90"/>
        <v>4506288539.3217239</v>
      </c>
      <c r="CD69" s="893">
        <f t="shared" si="90"/>
        <v>5268579562.3860455</v>
      </c>
      <c r="CE69" s="893">
        <f t="shared" si="90"/>
        <v>6054375171.6912899</v>
      </c>
      <c r="CF69" s="893">
        <f t="shared" si="90"/>
        <v>6022285278.0407639</v>
      </c>
      <c r="CG69" s="893">
        <f t="shared" si="90"/>
        <v>5405852077.3521233</v>
      </c>
      <c r="CH69" s="893">
        <f t="shared" si="90"/>
        <v>5437386975.5409784</v>
      </c>
      <c r="CI69" s="893">
        <f t="shared" si="90"/>
        <v>5861673338.7338858</v>
      </c>
      <c r="CJ69" s="893">
        <f t="shared" si="90"/>
        <v>6353566201.6452427</v>
      </c>
      <c r="CK69" s="893">
        <f t="shared" si="90"/>
        <v>5849062440.4376516</v>
      </c>
      <c r="CL69" s="893">
        <f t="shared" si="90"/>
        <v>6209044567.4958954</v>
      </c>
      <c r="CM69" s="893">
        <f>AVERAGE(G69:CL69)</f>
        <v>4846914856.1714344</v>
      </c>
      <c r="CN69" s="347"/>
      <c r="CO69" s="347"/>
      <c r="CP69" s="347"/>
      <c r="CQ69" s="347"/>
      <c r="CR69" s="347"/>
      <c r="CS69" s="347"/>
      <c r="CT69" s="347"/>
      <c r="CU69" s="347"/>
      <c r="CV69" s="347"/>
      <c r="CW69" s="347"/>
      <c r="CX69" s="347"/>
      <c r="CY69" s="347"/>
      <c r="CZ69" s="347"/>
      <c r="DA69" s="347"/>
      <c r="DB69" s="347"/>
      <c r="DC69" s="347"/>
      <c r="DD69" s="347"/>
      <c r="DE69" s="347"/>
      <c r="DF69" s="347"/>
      <c r="DG69" s="347"/>
      <c r="DH69" s="347"/>
      <c r="DI69" s="347"/>
      <c r="DJ69" s="347"/>
      <c r="DK69" s="347"/>
      <c r="DL69" s="347"/>
      <c r="DM69" s="347"/>
      <c r="DN69" s="347"/>
      <c r="DO69" s="347"/>
      <c r="DP69" s="347"/>
      <c r="DQ69" s="347"/>
      <c r="DR69" s="347"/>
      <c r="DS69" s="347"/>
      <c r="DT69" s="347"/>
      <c r="DU69" s="347"/>
      <c r="DV69" s="347"/>
      <c r="DW69" s="347"/>
      <c r="DX69" s="347"/>
      <c r="DY69" s="347"/>
      <c r="DZ69" s="347"/>
      <c r="EA69" s="347"/>
      <c r="EB69" s="347"/>
      <c r="EC69" s="347"/>
      <c r="ED69" s="347"/>
      <c r="EE69" s="347"/>
      <c r="EF69" s="347"/>
      <c r="EG69" s="347"/>
      <c r="EH69" s="347"/>
      <c r="EI69" s="347"/>
      <c r="EJ69" s="347"/>
      <c r="EK69" s="347"/>
      <c r="EL69" s="347"/>
      <c r="EM69" s="347"/>
      <c r="EN69" s="347"/>
      <c r="EO69" s="347"/>
      <c r="EP69" s="347"/>
      <c r="EQ69" s="347"/>
      <c r="ER69" s="347"/>
      <c r="ES69" s="347"/>
      <c r="ET69" s="347"/>
      <c r="EU69" s="347"/>
      <c r="EV69" s="347"/>
      <c r="EW69" s="347"/>
      <c r="EX69" s="347"/>
      <c r="EY69" s="347"/>
      <c r="EZ69" s="347"/>
      <c r="FA69" s="347"/>
      <c r="FB69" s="347"/>
      <c r="FC69" s="347"/>
      <c r="FD69" s="347"/>
      <c r="FE69" s="347"/>
      <c r="FF69" s="347"/>
      <c r="FG69" s="347"/>
      <c r="FH69" s="347"/>
      <c r="FI69" s="347"/>
      <c r="FJ69" s="347"/>
      <c r="FK69" s="347"/>
      <c r="FL69" s="347"/>
      <c r="FM69" s="347"/>
      <c r="FN69" s="347"/>
      <c r="FO69" s="347"/>
      <c r="FP69" s="347"/>
      <c r="FQ69" s="347"/>
      <c r="FR69" s="347"/>
      <c r="FS69" s="347"/>
      <c r="FT69" s="347"/>
      <c r="FU69" s="347"/>
      <c r="FV69" s="347"/>
    </row>
    <row r="70" spans="1:178">
      <c r="A70" s="347"/>
      <c r="B70" s="347"/>
      <c r="C70" s="347"/>
      <c r="D70" s="347"/>
      <c r="E70" s="347"/>
      <c r="F70" s="970" t="s">
        <v>425</v>
      </c>
      <c r="G70" s="971">
        <f>G69*G53/G17</f>
        <v>47777.177333693151</v>
      </c>
      <c r="H70" s="971">
        <f t="shared" ref="H70:BR70" si="91">H69*H53/H17</f>
        <v>44245.792530301223</v>
      </c>
      <c r="I70" s="971">
        <f t="shared" si="91"/>
        <v>38049.480804060222</v>
      </c>
      <c r="J70" s="971">
        <f t="shared" si="91"/>
        <v>31421.363428391869</v>
      </c>
      <c r="K70" s="971">
        <f t="shared" si="91"/>
        <v>36461.649624764868</v>
      </c>
      <c r="L70" s="971">
        <f t="shared" si="91"/>
        <v>36533.192649807017</v>
      </c>
      <c r="M70" s="971">
        <f t="shared" si="91"/>
        <v>37656.495199101009</v>
      </c>
      <c r="N70" s="971">
        <f t="shared" si="91"/>
        <v>39187.717613447807</v>
      </c>
      <c r="O70" s="971">
        <f t="shared" si="91"/>
        <v>37796.099409846531</v>
      </c>
      <c r="P70" s="971">
        <f t="shared" si="91"/>
        <v>33961.646594314901</v>
      </c>
      <c r="Q70" s="971">
        <f t="shared" si="91"/>
        <v>31910.390834990874</v>
      </c>
      <c r="R70" s="971">
        <f t="shared" si="91"/>
        <v>33242.068136983173</v>
      </c>
      <c r="S70" s="971">
        <f t="shared" si="91"/>
        <v>34134.768758806676</v>
      </c>
      <c r="T70" s="971">
        <f t="shared" si="91"/>
        <v>35265.134245928908</v>
      </c>
      <c r="U70" s="971">
        <f t="shared" si="91"/>
        <v>34176.736815397133</v>
      </c>
      <c r="V70" s="971">
        <f t="shared" si="91"/>
        <v>28661.338186086363</v>
      </c>
      <c r="W70" s="971">
        <f t="shared" si="91"/>
        <v>28196.559736820589</v>
      </c>
      <c r="X70" s="971">
        <f t="shared" si="91"/>
        <v>29850.105123359994</v>
      </c>
      <c r="Y70" s="971">
        <f t="shared" si="91"/>
        <v>29970.716228387904</v>
      </c>
      <c r="Z70" s="971">
        <f t="shared" si="91"/>
        <v>31261.532025742123</v>
      </c>
      <c r="AA70" s="971">
        <f t="shared" si="91"/>
        <v>31822.591511017028</v>
      </c>
      <c r="AB70" s="971">
        <f t="shared" si="91"/>
        <v>29168.358840556924</v>
      </c>
      <c r="AC70" s="971">
        <f t="shared" si="91"/>
        <v>28186.242541789488</v>
      </c>
      <c r="AD70" s="971">
        <f t="shared" si="91"/>
        <v>29847.58475538293</v>
      </c>
      <c r="AE70" s="971">
        <f t="shared" si="91"/>
        <v>31847.231356590546</v>
      </c>
      <c r="AF70" s="971">
        <f t="shared" si="91"/>
        <v>32735.275854339892</v>
      </c>
      <c r="AG70" s="971">
        <f t="shared" si="91"/>
        <v>34186.472227458486</v>
      </c>
      <c r="AH70" s="971">
        <f t="shared" si="91"/>
        <v>36392.891444600813</v>
      </c>
      <c r="AI70" s="971">
        <f t="shared" si="91"/>
        <v>36533.28802639238</v>
      </c>
      <c r="AJ70" s="971">
        <f t="shared" si="91"/>
        <v>33601.725698900998</v>
      </c>
      <c r="AK70" s="971">
        <f t="shared" si="91"/>
        <v>31780.682858749286</v>
      </c>
      <c r="AL70" s="971">
        <f t="shared" si="91"/>
        <v>29771.742267662707</v>
      </c>
      <c r="AM70" s="971">
        <f t="shared" si="91"/>
        <v>28567.780468971971</v>
      </c>
      <c r="AN70" s="971">
        <f t="shared" si="91"/>
        <v>28305.610544177187</v>
      </c>
      <c r="AO70" s="971">
        <f t="shared" si="91"/>
        <v>31609.565465536591</v>
      </c>
      <c r="AP70" s="971">
        <f t="shared" si="91"/>
        <v>34571.226616699794</v>
      </c>
      <c r="AQ70" s="971">
        <f t="shared" si="91"/>
        <v>37500.683002310237</v>
      </c>
      <c r="AR70" s="971">
        <f t="shared" si="91"/>
        <v>40660.736129720979</v>
      </c>
      <c r="AS70" s="971">
        <f t="shared" si="91"/>
        <v>39825.028294976779</v>
      </c>
      <c r="AT70" s="971">
        <f t="shared" si="91"/>
        <v>39088.286446154692</v>
      </c>
      <c r="AU70" s="972">
        <f t="shared" si="91"/>
        <v>36347.31927770577</v>
      </c>
      <c r="AV70" s="972">
        <f t="shared" si="91"/>
        <v>36070.715968267628</v>
      </c>
      <c r="AW70" s="972">
        <f t="shared" si="91"/>
        <v>37804.406632391518</v>
      </c>
      <c r="AX70" s="972">
        <f t="shared" si="91"/>
        <v>42413.166040331816</v>
      </c>
      <c r="AY70" s="972">
        <f t="shared" si="91"/>
        <v>39705.256393736941</v>
      </c>
      <c r="AZ70" s="972">
        <f t="shared" si="91"/>
        <v>41103.829044536986</v>
      </c>
      <c r="BA70" s="972">
        <f t="shared" si="91"/>
        <v>42385.291420926565</v>
      </c>
      <c r="BB70" s="972">
        <f t="shared" si="91"/>
        <v>44963.575500307081</v>
      </c>
      <c r="BC70" s="972">
        <f t="shared" si="91"/>
        <v>47379.698008228122</v>
      </c>
      <c r="BD70" s="972">
        <f t="shared" si="91"/>
        <v>37477.655605117616</v>
      </c>
      <c r="BE70" s="972">
        <f t="shared" si="91"/>
        <v>35523.112472793866</v>
      </c>
      <c r="BF70" s="972">
        <f t="shared" si="91"/>
        <v>36547.801574731115</v>
      </c>
      <c r="BG70" s="972">
        <f t="shared" si="91"/>
        <v>39651.112364883113</v>
      </c>
      <c r="BH70" s="972">
        <f t="shared" si="91"/>
        <v>40284.855135235739</v>
      </c>
      <c r="BI70" s="972">
        <f t="shared" si="91"/>
        <v>42479.81985046967</v>
      </c>
      <c r="BJ70" s="972">
        <f t="shared" si="91"/>
        <v>41390.846555687123</v>
      </c>
      <c r="BK70" s="972">
        <f t="shared" si="91"/>
        <v>35713.396142814017</v>
      </c>
      <c r="BL70" s="972">
        <f t="shared" si="91"/>
        <v>36846.372107054536</v>
      </c>
      <c r="BM70" s="972">
        <f t="shared" si="91"/>
        <v>34529.776417566318</v>
      </c>
      <c r="BN70" s="972">
        <f t="shared" si="91"/>
        <v>35309.131361216911</v>
      </c>
      <c r="BO70" s="972">
        <f t="shared" si="91"/>
        <v>35510.941598229285</v>
      </c>
      <c r="BP70" s="972">
        <f t="shared" si="91"/>
        <v>38332.665220591312</v>
      </c>
      <c r="BQ70" s="972">
        <f t="shared" si="91"/>
        <v>41336.453075847843</v>
      </c>
      <c r="BR70" s="972">
        <f t="shared" si="91"/>
        <v>41333.213517746575</v>
      </c>
      <c r="BS70" s="972">
        <f t="shared" ref="BS70:CL70" si="92">BS69*BS53/BS17</f>
        <v>37212.582967765578</v>
      </c>
      <c r="BT70" s="972">
        <f t="shared" si="92"/>
        <v>27238.51120035776</v>
      </c>
      <c r="BU70" s="972">
        <f t="shared" si="92"/>
        <v>19162.712645805688</v>
      </c>
      <c r="BV70" s="972">
        <f t="shared" si="92"/>
        <v>29432.787146352108</v>
      </c>
      <c r="BW70" s="972">
        <f t="shared" si="92"/>
        <v>35451.622058091743</v>
      </c>
      <c r="BX70" s="972">
        <f t="shared" si="92"/>
        <v>35473.657280732754</v>
      </c>
      <c r="BY70" s="972">
        <f t="shared" si="92"/>
        <v>34949.659138070412</v>
      </c>
      <c r="BZ70" s="972">
        <f t="shared" si="92"/>
        <v>33941.081631020461</v>
      </c>
      <c r="CA70" s="972">
        <f t="shared" si="92"/>
        <v>32572.635181420832</v>
      </c>
      <c r="CB70" s="972">
        <f t="shared" si="92"/>
        <v>32310.483681151316</v>
      </c>
      <c r="CC70" s="972">
        <f t="shared" si="92"/>
        <v>33184.855785745007</v>
      </c>
      <c r="CD70" s="972">
        <f t="shared" si="92"/>
        <v>38439.702952102249</v>
      </c>
      <c r="CE70" s="972">
        <f t="shared" si="92"/>
        <v>43938.839635556695</v>
      </c>
      <c r="CF70" s="972">
        <f t="shared" si="92"/>
        <v>43631.602992437249</v>
      </c>
      <c r="CG70" s="972">
        <f t="shared" si="92"/>
        <v>39257.930280278997</v>
      </c>
      <c r="CH70" s="972">
        <f t="shared" si="92"/>
        <v>39448.896363289095</v>
      </c>
      <c r="CI70" s="972">
        <f t="shared" si="92"/>
        <v>42347.521133898874</v>
      </c>
      <c r="CJ70" s="972">
        <f t="shared" si="92"/>
        <v>45700.953498359188</v>
      </c>
      <c r="CK70" s="972">
        <f t="shared" si="92"/>
        <v>42154.331382743963</v>
      </c>
      <c r="CL70" s="972">
        <f t="shared" si="92"/>
        <v>44650.597233342123</v>
      </c>
      <c r="CM70" s="972">
        <f>AVERAGE(G70:CL70)</f>
        <v>36151.242203656686</v>
      </c>
      <c r="CN70" s="347"/>
      <c r="CO70" s="347"/>
      <c r="CP70" s="347"/>
      <c r="CQ70" s="347"/>
      <c r="CR70" s="347"/>
      <c r="CS70" s="347"/>
      <c r="CT70" s="347"/>
      <c r="CU70" s="347"/>
      <c r="CV70" s="347"/>
      <c r="CW70" s="347"/>
      <c r="CX70" s="347"/>
      <c r="CY70" s="347"/>
      <c r="CZ70" s="347"/>
      <c r="DA70" s="347"/>
      <c r="DB70" s="347"/>
      <c r="DC70" s="347"/>
      <c r="DD70" s="347"/>
      <c r="DE70" s="347"/>
      <c r="DF70" s="347"/>
      <c r="DG70" s="347"/>
      <c r="DH70" s="347"/>
      <c r="DI70" s="347"/>
      <c r="DJ70" s="347"/>
      <c r="DK70" s="347"/>
      <c r="DL70" s="347"/>
      <c r="DM70" s="347"/>
      <c r="DN70" s="347"/>
      <c r="DO70" s="347"/>
      <c r="DP70" s="347"/>
      <c r="DQ70" s="347"/>
      <c r="DR70" s="347"/>
      <c r="DS70" s="347"/>
      <c r="DT70" s="347"/>
      <c r="DU70" s="347"/>
      <c r="DV70" s="347"/>
      <c r="DW70" s="347"/>
      <c r="DX70" s="347"/>
      <c r="DY70" s="347"/>
      <c r="DZ70" s="347"/>
      <c r="EA70" s="347"/>
      <c r="EB70" s="347"/>
      <c r="EC70" s="347"/>
      <c r="ED70" s="347"/>
      <c r="EE70" s="347"/>
      <c r="EF70" s="347"/>
      <c r="EG70" s="347"/>
      <c r="EH70" s="347"/>
      <c r="EI70" s="347"/>
      <c r="EJ70" s="347"/>
      <c r="EK70" s="347"/>
      <c r="EL70" s="347"/>
      <c r="EM70" s="347"/>
      <c r="EN70" s="347"/>
      <c r="EO70" s="347"/>
      <c r="EP70" s="347"/>
      <c r="EQ70" s="347"/>
      <c r="ER70" s="347"/>
      <c r="ES70" s="347"/>
      <c r="ET70" s="347"/>
      <c r="EU70" s="347"/>
      <c r="EV70" s="347"/>
      <c r="EW70" s="347"/>
      <c r="EX70" s="347"/>
      <c r="EY70" s="347"/>
      <c r="EZ70" s="347"/>
      <c r="FA70" s="347"/>
      <c r="FB70" s="347"/>
      <c r="FC70" s="347"/>
      <c r="FD70" s="347"/>
      <c r="FE70" s="347"/>
      <c r="FF70" s="347"/>
      <c r="FG70" s="347"/>
      <c r="FH70" s="347"/>
      <c r="FI70" s="347"/>
      <c r="FJ70" s="347"/>
      <c r="FK70" s="347"/>
      <c r="FL70" s="347"/>
      <c r="FM70" s="347"/>
      <c r="FN70" s="347"/>
      <c r="FO70" s="347"/>
      <c r="FP70" s="347"/>
      <c r="FQ70" s="347"/>
      <c r="FR70" s="347"/>
      <c r="FS70" s="347"/>
      <c r="FT70" s="347"/>
      <c r="FU70" s="347"/>
      <c r="FV70" s="347"/>
    </row>
    <row r="71" spans="1:178">
      <c r="A71" s="347"/>
      <c r="B71" s="347"/>
      <c r="C71" s="347"/>
      <c r="D71" s="347"/>
      <c r="E71" s="347"/>
      <c r="F71" s="970" t="s">
        <v>426</v>
      </c>
      <c r="G71" s="971">
        <f t="shared" ref="G71:BR71" si="93">G54*G69/G18</f>
        <v>63784.89885709653</v>
      </c>
      <c r="H71" s="971">
        <f t="shared" si="93"/>
        <v>56205.068377129122</v>
      </c>
      <c r="I71" s="971">
        <f t="shared" si="93"/>
        <v>46030.551374004586</v>
      </c>
      <c r="J71" s="971">
        <f t="shared" si="93"/>
        <v>35562.971370656938</v>
      </c>
      <c r="K71" s="971">
        <f t="shared" si="93"/>
        <v>43603.864420850914</v>
      </c>
      <c r="L71" s="971">
        <f t="shared" si="93"/>
        <v>43639.812943616351</v>
      </c>
      <c r="M71" s="971">
        <f t="shared" si="93"/>
        <v>45431.266673830411</v>
      </c>
      <c r="N71" s="971">
        <f t="shared" si="93"/>
        <v>47886.040911287615</v>
      </c>
      <c r="O71" s="971">
        <f t="shared" si="93"/>
        <v>46224.057475690781</v>
      </c>
      <c r="P71" s="971">
        <f t="shared" si="93"/>
        <v>40151.963286097365</v>
      </c>
      <c r="Q71" s="971">
        <f t="shared" si="93"/>
        <v>36465.378466828726</v>
      </c>
      <c r="R71" s="971">
        <f t="shared" si="93"/>
        <v>38150.344445322429</v>
      </c>
      <c r="S71" s="971">
        <f t="shared" si="93"/>
        <v>39773.966800938091</v>
      </c>
      <c r="T71" s="971">
        <f t="shared" si="93"/>
        <v>41454.494594815988</v>
      </c>
      <c r="U71" s="971">
        <f t="shared" si="93"/>
        <v>40997.291286398373</v>
      </c>
      <c r="V71" s="971">
        <f t="shared" si="93"/>
        <v>32243.41581832579</v>
      </c>
      <c r="W71" s="971">
        <f t="shared" si="93"/>
        <v>30830.275371339343</v>
      </c>
      <c r="X71" s="971">
        <f t="shared" si="93"/>
        <v>33787.990660108255</v>
      </c>
      <c r="Y71" s="971">
        <f t="shared" si="93"/>
        <v>35904.445523171671</v>
      </c>
      <c r="Z71" s="971">
        <f t="shared" si="93"/>
        <v>37986.171004873322</v>
      </c>
      <c r="AA71" s="971">
        <f t="shared" si="93"/>
        <v>38897.318270999931</v>
      </c>
      <c r="AB71" s="971">
        <f t="shared" si="93"/>
        <v>34689.568410940294</v>
      </c>
      <c r="AC71" s="971">
        <f t="shared" si="93"/>
        <v>33115.856065837419</v>
      </c>
      <c r="AD71" s="971">
        <f t="shared" si="93"/>
        <v>35729.71952489805</v>
      </c>
      <c r="AE71" s="971">
        <f t="shared" si="93"/>
        <v>40208.739890439036</v>
      </c>
      <c r="AF71" s="971">
        <f t="shared" si="93"/>
        <v>41546.195655374206</v>
      </c>
      <c r="AG71" s="971">
        <f t="shared" si="93"/>
        <v>44085.293865646257</v>
      </c>
      <c r="AH71" s="971">
        <f t="shared" si="93"/>
        <v>47836.754103679792</v>
      </c>
      <c r="AI71" s="971">
        <f t="shared" si="93"/>
        <v>48427.852434002969</v>
      </c>
      <c r="AJ71" s="971">
        <f t="shared" si="93"/>
        <v>43722.916637696828</v>
      </c>
      <c r="AK71" s="971">
        <f t="shared" si="93"/>
        <v>41065.232990243705</v>
      </c>
      <c r="AL71" s="971">
        <f t="shared" si="93"/>
        <v>37623.907124041929</v>
      </c>
      <c r="AM71" s="971">
        <f t="shared" si="93"/>
        <v>35574.854651750829</v>
      </c>
      <c r="AN71" s="971">
        <f t="shared" si="93"/>
        <v>35291.285199070771</v>
      </c>
      <c r="AO71" s="971">
        <f t="shared" si="93"/>
        <v>40476.50813476889</v>
      </c>
      <c r="AP71" s="971">
        <f t="shared" si="93"/>
        <v>45192.564990831859</v>
      </c>
      <c r="AQ71" s="971">
        <f t="shared" si="93"/>
        <v>49099.017539203312</v>
      </c>
      <c r="AR71" s="971">
        <f t="shared" si="93"/>
        <v>54097.343425454274</v>
      </c>
      <c r="AS71" s="971">
        <f t="shared" si="93"/>
        <v>52970.528823311921</v>
      </c>
      <c r="AT71" s="971">
        <f t="shared" si="93"/>
        <v>52125.635466671651</v>
      </c>
      <c r="AU71" s="972">
        <f t="shared" si="93"/>
        <v>47738.546999606573</v>
      </c>
      <c r="AV71" s="972">
        <f t="shared" si="93"/>
        <v>47412.016950087265</v>
      </c>
      <c r="AW71" s="972">
        <f t="shared" si="93"/>
        <v>49937.722853100626</v>
      </c>
      <c r="AX71" s="972">
        <f t="shared" si="93"/>
        <v>57242.498193685555</v>
      </c>
      <c r="AY71" s="972">
        <f t="shared" si="93"/>
        <v>53429.465996894971</v>
      </c>
      <c r="AZ71" s="972">
        <f t="shared" si="93"/>
        <v>55579.97931572191</v>
      </c>
      <c r="BA71" s="972">
        <f t="shared" si="93"/>
        <v>57498.465699451663</v>
      </c>
      <c r="BB71" s="972">
        <f t="shared" si="93"/>
        <v>61720.046303224699</v>
      </c>
      <c r="BC71" s="972">
        <f t="shared" si="93"/>
        <v>64662.424691554996</v>
      </c>
      <c r="BD71" s="972">
        <f t="shared" si="93"/>
        <v>48504.392944270869</v>
      </c>
      <c r="BE71" s="972">
        <f t="shared" si="93"/>
        <v>44538.03938319267</v>
      </c>
      <c r="BF71" s="972">
        <f t="shared" si="93"/>
        <v>45795.646443052421</v>
      </c>
      <c r="BG71" s="972">
        <f t="shared" si="93"/>
        <v>50806.999707242649</v>
      </c>
      <c r="BH71" s="972">
        <f t="shared" si="93"/>
        <v>52315.670647181978</v>
      </c>
      <c r="BI71" s="972">
        <f t="shared" si="93"/>
        <v>55239.925555629037</v>
      </c>
      <c r="BJ71" s="972">
        <f t="shared" si="93"/>
        <v>53330.86517819803</v>
      </c>
      <c r="BK71" s="972">
        <f t="shared" si="93"/>
        <v>44239.552231007707</v>
      </c>
      <c r="BL71" s="972">
        <f t="shared" si="93"/>
        <v>45945.67090363233</v>
      </c>
      <c r="BM71" s="972">
        <f t="shared" si="93"/>
        <v>42333.124754613855</v>
      </c>
      <c r="BN71" s="972">
        <f t="shared" si="93"/>
        <v>43842.354094340299</v>
      </c>
      <c r="BO71" s="972">
        <f t="shared" si="93"/>
        <v>45208.939108376493</v>
      </c>
      <c r="BP71" s="972">
        <f t="shared" si="93"/>
        <v>49434.299349614957</v>
      </c>
      <c r="BQ71" s="972">
        <f t="shared" si="93"/>
        <v>53758.816693390647</v>
      </c>
      <c r="BR71" s="972">
        <f t="shared" si="93"/>
        <v>54197.711104030335</v>
      </c>
      <c r="BS71" s="972">
        <f t="shared" ref="BS71:CL71" si="94">BS54*BS69/BS18</f>
        <v>47566.063210403787</v>
      </c>
      <c r="BT71" s="972">
        <f t="shared" si="94"/>
        <v>30939.546489414024</v>
      </c>
      <c r="BU71" s="972">
        <f t="shared" si="94"/>
        <v>17403.918581177652</v>
      </c>
      <c r="BV71" s="972">
        <f t="shared" si="94"/>
        <v>32342.729493154369</v>
      </c>
      <c r="BW71" s="972">
        <f t="shared" si="94"/>
        <v>43654.878792637464</v>
      </c>
      <c r="BX71" s="972">
        <f t="shared" si="94"/>
        <v>44579.087348452493</v>
      </c>
      <c r="BY71" s="972">
        <f t="shared" si="94"/>
        <v>43938.807556618813</v>
      </c>
      <c r="BZ71" s="972">
        <f t="shared" si="94"/>
        <v>42629.302636200518</v>
      </c>
      <c r="CA71" s="972">
        <f t="shared" si="94"/>
        <v>42048.27684939852</v>
      </c>
      <c r="CB71" s="972">
        <f t="shared" si="94"/>
        <v>41898.876773365519</v>
      </c>
      <c r="CC71" s="972">
        <f t="shared" si="94"/>
        <v>44060.539382687115</v>
      </c>
      <c r="CD71" s="972">
        <f t="shared" si="94"/>
        <v>52499.173055071093</v>
      </c>
      <c r="CE71" s="972">
        <f t="shared" si="94"/>
        <v>60972.085120947864</v>
      </c>
      <c r="CF71" s="972">
        <f t="shared" si="94"/>
        <v>60853.104976339753</v>
      </c>
      <c r="CG71" s="972">
        <f t="shared" si="94"/>
        <v>54370.493420125022</v>
      </c>
      <c r="CH71" s="972">
        <f t="shared" si="94"/>
        <v>54792.145706701915</v>
      </c>
      <c r="CI71" s="972">
        <f t="shared" si="94"/>
        <v>59560.963384385643</v>
      </c>
      <c r="CJ71" s="972">
        <f t="shared" si="94"/>
        <v>65109.053254994818</v>
      </c>
      <c r="CK71" s="972">
        <f t="shared" si="94"/>
        <v>59713.180716676376</v>
      </c>
      <c r="CL71" s="972">
        <f t="shared" si="94"/>
        <v>63657.75749941598</v>
      </c>
      <c r="CM71" s="972">
        <f>AVERAGE(G71:CL71)</f>
        <v>46133.268121625209</v>
      </c>
      <c r="CN71" s="347"/>
      <c r="CO71" s="347"/>
      <c r="CP71" s="347"/>
      <c r="CQ71" s="347"/>
      <c r="CR71" s="347"/>
      <c r="CS71" s="347"/>
      <c r="CT71" s="347"/>
      <c r="CU71" s="347"/>
      <c r="CV71" s="347"/>
      <c r="CW71" s="347"/>
      <c r="CX71" s="347"/>
      <c r="CY71" s="347"/>
      <c r="CZ71" s="347"/>
      <c r="DA71" s="347"/>
      <c r="DB71" s="347"/>
      <c r="DC71" s="347"/>
      <c r="DD71" s="347"/>
      <c r="DE71" s="347"/>
      <c r="DF71" s="347"/>
      <c r="DG71" s="347"/>
      <c r="DH71" s="347"/>
      <c r="DI71" s="347"/>
      <c r="DJ71" s="347"/>
      <c r="DK71" s="347"/>
      <c r="DL71" s="347"/>
      <c r="DM71" s="347"/>
      <c r="DN71" s="347"/>
      <c r="DO71" s="347"/>
      <c r="DP71" s="347"/>
      <c r="DQ71" s="347"/>
      <c r="DR71" s="347"/>
      <c r="DS71" s="347"/>
      <c r="DT71" s="347"/>
      <c r="DU71" s="347"/>
      <c r="DV71" s="347"/>
      <c r="DW71" s="347"/>
      <c r="DX71" s="347"/>
      <c r="DY71" s="347"/>
      <c r="DZ71" s="347"/>
      <c r="EA71" s="347"/>
      <c r="EB71" s="347"/>
      <c r="EC71" s="347"/>
      <c r="ED71" s="347"/>
      <c r="EE71" s="347"/>
      <c r="EF71" s="347"/>
      <c r="EG71" s="347"/>
      <c r="EH71" s="347"/>
      <c r="EI71" s="347"/>
      <c r="EJ71" s="347"/>
      <c r="EK71" s="347"/>
      <c r="EL71" s="347"/>
      <c r="EM71" s="347"/>
      <c r="EN71" s="347"/>
      <c r="EO71" s="347"/>
      <c r="EP71" s="347"/>
      <c r="EQ71" s="347"/>
      <c r="ER71" s="347"/>
      <c r="ES71" s="347"/>
      <c r="ET71" s="347"/>
      <c r="EU71" s="347"/>
      <c r="EV71" s="347"/>
      <c r="EW71" s="347"/>
      <c r="EX71" s="347"/>
      <c r="EY71" s="347"/>
      <c r="EZ71" s="347"/>
      <c r="FA71" s="347"/>
      <c r="FB71" s="347"/>
      <c r="FC71" s="347"/>
      <c r="FD71" s="347"/>
      <c r="FE71" s="347"/>
      <c r="FF71" s="347"/>
      <c r="FG71" s="347"/>
      <c r="FH71" s="347"/>
      <c r="FI71" s="347"/>
      <c r="FJ71" s="347"/>
      <c r="FK71" s="347"/>
      <c r="FL71" s="347"/>
      <c r="FM71" s="347"/>
      <c r="FN71" s="347"/>
      <c r="FO71" s="347"/>
      <c r="FP71" s="347"/>
      <c r="FQ71" s="347"/>
      <c r="FR71" s="347"/>
      <c r="FS71" s="347"/>
      <c r="FT71" s="347"/>
      <c r="FU71" s="347"/>
      <c r="FV71" s="347"/>
    </row>
    <row r="72" spans="1:178">
      <c r="F72" s="323"/>
      <c r="G72" s="323"/>
      <c r="H72" s="323"/>
      <c r="I72" s="323"/>
      <c r="J72" s="323"/>
      <c r="K72" s="323"/>
      <c r="L72" s="323"/>
      <c r="M72" s="323"/>
      <c r="N72" s="323"/>
      <c r="O72" s="323"/>
      <c r="P72" s="323"/>
      <c r="Q72" s="323"/>
      <c r="R72" s="323"/>
      <c r="S72" s="352"/>
      <c r="T72" s="352"/>
      <c r="U72" s="352"/>
      <c r="V72" s="352"/>
      <c r="W72" s="352"/>
      <c r="X72" s="352"/>
      <c r="Y72" s="352"/>
      <c r="Z72" s="352"/>
      <c r="AA72" s="352"/>
      <c r="AB72" s="352"/>
      <c r="AC72" s="352"/>
      <c r="AD72" s="352"/>
      <c r="AE72" s="352"/>
      <c r="AF72" s="352"/>
      <c r="AG72" s="352"/>
      <c r="AH72" s="352"/>
      <c r="AI72" s="352"/>
      <c r="AJ72" s="352"/>
      <c r="AK72" s="352"/>
      <c r="AL72" s="352"/>
      <c r="AM72" s="352"/>
      <c r="AN72" s="352"/>
      <c r="AO72" s="352"/>
      <c r="AP72" s="352"/>
      <c r="AQ72" s="352"/>
      <c r="AR72" s="352"/>
      <c r="AS72" s="352"/>
      <c r="AT72" s="353"/>
      <c r="AU72" s="973"/>
      <c r="AV72" s="973"/>
      <c r="AW72" s="973"/>
      <c r="AX72" s="973"/>
      <c r="AY72" s="973"/>
      <c r="AZ72" s="973"/>
      <c r="BA72" s="973"/>
      <c r="BB72" s="973"/>
      <c r="BC72" s="973"/>
      <c r="BD72" s="973"/>
      <c r="BE72" s="973"/>
      <c r="BF72" s="973"/>
      <c r="BG72" s="973"/>
      <c r="BH72" s="973"/>
      <c r="BI72" s="973"/>
      <c r="BJ72" s="973"/>
      <c r="BK72" s="973"/>
      <c r="BL72" s="973"/>
      <c r="BM72" s="973"/>
      <c r="BN72" s="973"/>
      <c r="BO72" s="973"/>
      <c r="BP72" s="973"/>
      <c r="BQ72" s="973"/>
      <c r="BR72" s="973"/>
      <c r="BS72" s="973"/>
      <c r="BT72" s="973"/>
      <c r="BU72" s="973"/>
      <c r="BV72" s="973"/>
      <c r="BW72" s="973"/>
      <c r="BX72" s="973"/>
      <c r="BY72" s="973"/>
      <c r="BZ72" s="973"/>
      <c r="CA72" s="973"/>
      <c r="CB72" s="973"/>
      <c r="CC72" s="973"/>
      <c r="CD72" s="973"/>
      <c r="CE72" s="973"/>
      <c r="CF72" s="973"/>
      <c r="CG72" s="973"/>
      <c r="CH72" s="973"/>
      <c r="CI72" s="973"/>
      <c r="CJ72" s="973"/>
      <c r="CK72" s="973"/>
      <c r="CL72" s="973"/>
      <c r="CM72" s="356"/>
    </row>
    <row r="73" spans="1:178">
      <c r="F73" s="359" t="s">
        <v>270</v>
      </c>
      <c r="G73" s="359">
        <v>93308.112500000003</v>
      </c>
      <c r="H73" s="359">
        <v>89338.57</v>
      </c>
      <c r="I73" s="359">
        <v>84521.437916666662</v>
      </c>
      <c r="J73" s="359">
        <v>72138.256250000006</v>
      </c>
      <c r="K73" s="359">
        <v>69542.803749999992</v>
      </c>
      <c r="L73" s="359">
        <v>77202.935599999997</v>
      </c>
      <c r="M73" s="359">
        <v>85561.224749999994</v>
      </c>
      <c r="N73" s="359">
        <v>87810.504000000001</v>
      </c>
      <c r="O73" s="359">
        <v>82223.356874999998</v>
      </c>
      <c r="P73" s="359">
        <v>81008.455999999991</v>
      </c>
      <c r="Q73" s="359">
        <v>77755.603250000015</v>
      </c>
      <c r="R73" s="359">
        <v>75270.07650000001</v>
      </c>
      <c r="S73" s="521">
        <v>79308</v>
      </c>
      <c r="T73" s="521">
        <v>87844.5</v>
      </c>
      <c r="U73" s="521">
        <v>84301.2</v>
      </c>
      <c r="V73" s="521">
        <v>71658</v>
      </c>
      <c r="W73" s="521">
        <v>73467</v>
      </c>
      <c r="X73" s="521">
        <v>79317</v>
      </c>
      <c r="Y73" s="521">
        <v>83124</v>
      </c>
      <c r="Z73" s="521">
        <v>80424</v>
      </c>
      <c r="AA73" s="521">
        <v>78174</v>
      </c>
      <c r="AB73" s="521">
        <v>79992</v>
      </c>
      <c r="AC73" s="521">
        <v>80892</v>
      </c>
      <c r="AD73" s="521">
        <v>80892</v>
      </c>
      <c r="AE73" s="521">
        <v>79920</v>
      </c>
      <c r="AF73" s="521">
        <v>79920</v>
      </c>
      <c r="AG73" s="521">
        <v>79020</v>
      </c>
      <c r="AH73" s="521">
        <v>80838</v>
      </c>
      <c r="AI73" s="521">
        <v>80838</v>
      </c>
      <c r="AJ73" s="521">
        <v>81738</v>
      </c>
      <c r="AK73" s="521">
        <v>80838</v>
      </c>
      <c r="AL73" s="521">
        <v>80838</v>
      </c>
      <c r="AM73" s="521">
        <v>80838</v>
      </c>
      <c r="AN73" s="521">
        <v>80478</v>
      </c>
      <c r="AO73" s="521">
        <v>73638</v>
      </c>
      <c r="AP73" s="521">
        <v>73638</v>
      </c>
      <c r="AQ73" s="521">
        <v>73638</v>
      </c>
      <c r="AR73" s="521">
        <v>75069</v>
      </c>
      <c r="AS73" s="521">
        <v>74097</v>
      </c>
      <c r="AT73" s="522">
        <v>77120</v>
      </c>
      <c r="AU73" s="523">
        <v>78330</v>
      </c>
      <c r="AV73" s="523">
        <v>78330</v>
      </c>
      <c r="AW73" s="523">
        <v>79710</v>
      </c>
      <c r="AX73" s="523">
        <v>81840</v>
      </c>
      <c r="AY73" s="523">
        <v>82290</v>
      </c>
      <c r="AZ73" s="523">
        <v>81605</v>
      </c>
      <c r="BA73" s="523">
        <v>80450</v>
      </c>
      <c r="BB73" s="523">
        <v>82290</v>
      </c>
      <c r="BC73" s="523">
        <v>84860</v>
      </c>
      <c r="BD73" s="523">
        <v>82790</v>
      </c>
      <c r="BE73" s="523">
        <v>75410</v>
      </c>
      <c r="BF73" s="523">
        <v>75535</v>
      </c>
      <c r="BG73" s="523">
        <v>75515</v>
      </c>
      <c r="BH73" s="523">
        <v>76895</v>
      </c>
      <c r="BI73" s="523">
        <v>76895</v>
      </c>
      <c r="BJ73" s="523">
        <v>73118.75</v>
      </c>
      <c r="BK73" s="523">
        <v>69505.666666666672</v>
      </c>
      <c r="BL73" s="523">
        <v>68825</v>
      </c>
      <c r="BM73" s="523">
        <v>69518</v>
      </c>
      <c r="BN73" s="523">
        <v>66726.666666666672</v>
      </c>
      <c r="BO73" s="523">
        <v>68260</v>
      </c>
      <c r="BP73" s="523">
        <v>65340</v>
      </c>
      <c r="BQ73" s="523">
        <v>64110</v>
      </c>
      <c r="BR73" s="523">
        <v>65725</v>
      </c>
      <c r="BS73" s="523">
        <v>66420</v>
      </c>
      <c r="BT73" s="523">
        <v>66430</v>
      </c>
      <c r="BU73" s="523">
        <v>62745</v>
      </c>
      <c r="BV73" s="523">
        <v>59985</v>
      </c>
      <c r="BW73" s="523">
        <v>63743.333333333336</v>
      </c>
      <c r="BX73" s="523">
        <v>67265</v>
      </c>
      <c r="BY73" s="523">
        <v>67680</v>
      </c>
      <c r="BZ73" s="523">
        <v>68533.333333333328</v>
      </c>
      <c r="CA73" s="523">
        <v>71170</v>
      </c>
      <c r="CB73" s="523">
        <v>74566.666666666672</v>
      </c>
      <c r="CC73" s="523">
        <v>80425</v>
      </c>
      <c r="CD73" s="523">
        <v>79965</v>
      </c>
      <c r="CE73" s="523">
        <v>83513.333333333328</v>
      </c>
      <c r="CF73" s="523">
        <v>94750</v>
      </c>
      <c r="CG73" s="523">
        <v>97356.666666666672</v>
      </c>
      <c r="CH73" s="523">
        <v>88703.333333333328</v>
      </c>
      <c r="CI73" s="523">
        <v>85010</v>
      </c>
      <c r="CJ73" s="523">
        <v>87430</v>
      </c>
      <c r="CK73" s="523">
        <v>92103.333333333328</v>
      </c>
      <c r="CL73" s="523">
        <v>94270</v>
      </c>
      <c r="CM73" s="524">
        <f>AVERAGE(G73:CL73)</f>
        <v>77898.572865773807</v>
      </c>
    </row>
    <row r="74" spans="1:178">
      <c r="F74" s="357" t="s">
        <v>271</v>
      </c>
      <c r="G74" s="357">
        <v>94825.01304374999</v>
      </c>
      <c r="H74" s="357">
        <v>89531.853532499998</v>
      </c>
      <c r="I74" s="357">
        <v>85012.567467500005</v>
      </c>
      <c r="J74" s="357">
        <v>73145.637585937497</v>
      </c>
      <c r="K74" s="357">
        <v>69337.815106875001</v>
      </c>
      <c r="L74" s="357">
        <v>76428.891031799998</v>
      </c>
      <c r="M74" s="357">
        <v>85421.754279000001</v>
      </c>
      <c r="N74" s="357">
        <v>87695.729944499995</v>
      </c>
      <c r="O74" s="357">
        <v>84411.261556875004</v>
      </c>
      <c r="P74" s="357">
        <v>83437.817375999992</v>
      </c>
      <c r="Q74" s="357">
        <v>79078.185913500012</v>
      </c>
      <c r="R74" s="357">
        <v>76465.631594250022</v>
      </c>
      <c r="S74" s="525">
        <v>81045</v>
      </c>
      <c r="T74" s="525">
        <v>88461.9</v>
      </c>
      <c r="U74" s="525">
        <v>84411.9</v>
      </c>
      <c r="V74" s="525">
        <v>73836</v>
      </c>
      <c r="W74" s="525">
        <v>75195</v>
      </c>
      <c r="X74" s="525">
        <v>78795</v>
      </c>
      <c r="Y74" s="525">
        <v>81990</v>
      </c>
      <c r="Z74" s="525">
        <v>80190</v>
      </c>
      <c r="AA74" s="525">
        <v>78840</v>
      </c>
      <c r="AB74" s="525">
        <v>80235</v>
      </c>
      <c r="AC74" s="525">
        <v>80235</v>
      </c>
      <c r="AD74" s="525">
        <v>80235</v>
      </c>
      <c r="AE74" s="525">
        <v>78345</v>
      </c>
      <c r="AF74" s="525">
        <v>78345</v>
      </c>
      <c r="AG74" s="525">
        <v>76545</v>
      </c>
      <c r="AH74" s="525">
        <v>78399</v>
      </c>
      <c r="AI74" s="525">
        <v>78399</v>
      </c>
      <c r="AJ74" s="525">
        <v>78399</v>
      </c>
      <c r="AK74" s="525">
        <v>77499</v>
      </c>
      <c r="AL74" s="525">
        <v>77499</v>
      </c>
      <c r="AM74" s="525">
        <v>77499</v>
      </c>
      <c r="AN74" s="525">
        <v>74799</v>
      </c>
      <c r="AO74" s="525">
        <v>71199</v>
      </c>
      <c r="AP74" s="525">
        <v>71199</v>
      </c>
      <c r="AQ74" s="525">
        <v>72549</v>
      </c>
      <c r="AR74" s="525">
        <v>73008</v>
      </c>
      <c r="AS74" s="525">
        <v>74358</v>
      </c>
      <c r="AT74" s="526">
        <v>80539.58795362903</v>
      </c>
      <c r="AU74" s="527">
        <v>86934.170866935485</v>
      </c>
      <c r="AV74" s="527">
        <v>89341.653225806454</v>
      </c>
      <c r="AW74" s="527">
        <v>91140.766129032243</v>
      </c>
      <c r="AX74" s="527">
        <v>96099.868951612909</v>
      </c>
      <c r="AY74" s="527">
        <v>97828.508064516122</v>
      </c>
      <c r="AZ74" s="527">
        <v>97836.572580645152</v>
      </c>
      <c r="BA74" s="527">
        <v>97190.645161290318</v>
      </c>
      <c r="BB74" s="527">
        <v>97364.107862903213</v>
      </c>
      <c r="BC74" s="527">
        <v>98086.408770161288</v>
      </c>
      <c r="BD74" s="527">
        <v>93706.549059139783</v>
      </c>
      <c r="BE74" s="527">
        <v>83380.277217741939</v>
      </c>
      <c r="BF74" s="527">
        <v>81038.145161290318</v>
      </c>
      <c r="BG74" s="527">
        <v>79961.224798387091</v>
      </c>
      <c r="BH74" s="527">
        <v>79961.224798387091</v>
      </c>
      <c r="BI74" s="527">
        <v>79961.224798387091</v>
      </c>
      <c r="BJ74" s="527">
        <v>77660.846774193546</v>
      </c>
      <c r="BK74" s="527">
        <v>72853.889616935485</v>
      </c>
      <c r="BL74" s="527">
        <v>70820.866935483864</v>
      </c>
      <c r="BM74" s="527">
        <v>71429.147177419349</v>
      </c>
      <c r="BN74" s="527">
        <v>70584.057459677424</v>
      </c>
      <c r="BO74" s="527">
        <v>70105.042002688162</v>
      </c>
      <c r="BP74" s="527">
        <v>67182.930947580651</v>
      </c>
      <c r="BQ74" s="527">
        <v>66724.662298387091</v>
      </c>
      <c r="BR74" s="527">
        <v>67824.059979838712</v>
      </c>
      <c r="BS74" s="527">
        <v>68500.904737903227</v>
      </c>
      <c r="BT74" s="527">
        <v>68724.480846774197</v>
      </c>
      <c r="BU74" s="527">
        <v>66429.480846774182</v>
      </c>
      <c r="BV74" s="527">
        <v>63588.351814516129</v>
      </c>
      <c r="BW74" s="527">
        <v>66402.384072580651</v>
      </c>
      <c r="BX74" s="527">
        <v>70905.260416666657</v>
      </c>
      <c r="BY74" s="527">
        <v>72930.645161290318</v>
      </c>
      <c r="BZ74" s="527">
        <v>74167.31182795699</v>
      </c>
      <c r="CA74" s="527">
        <v>76190.645161290318</v>
      </c>
      <c r="CB74" s="527">
        <v>78563.440860215051</v>
      </c>
      <c r="CC74" s="527">
        <v>82576.774193548394</v>
      </c>
      <c r="CD74" s="527">
        <v>83057.285786290318</v>
      </c>
      <c r="CE74" s="527">
        <v>87461.036626344096</v>
      </c>
      <c r="CF74" s="527">
        <v>95744.682459677424</v>
      </c>
      <c r="CG74" s="527">
        <v>100247.4932795699</v>
      </c>
      <c r="CH74" s="527">
        <v>93822.923387096787</v>
      </c>
      <c r="CI74" s="527">
        <v>89059.213709677409</v>
      </c>
      <c r="CJ74" s="527">
        <v>89672.547043010738</v>
      </c>
      <c r="CK74" s="527">
        <v>92655.342741935485</v>
      </c>
      <c r="CL74" s="527">
        <v>93595.342741935485</v>
      </c>
      <c r="CM74" s="524">
        <f t="shared" ref="CM74:CM75" si="95">AVERAGE(G74:CL74)</f>
        <v>80549.463627852514</v>
      </c>
    </row>
    <row r="75" spans="1:178">
      <c r="F75" s="358" t="s">
        <v>272</v>
      </c>
      <c r="G75" s="358">
        <v>91404.880812874995</v>
      </c>
      <c r="H75" s="358">
        <v>87094.764578674993</v>
      </c>
      <c r="I75" s="358">
        <v>77256.38140569166</v>
      </c>
      <c r="J75" s="358">
        <v>61325.996379656252</v>
      </c>
      <c r="K75" s="358">
        <v>64119.948843824997</v>
      </c>
      <c r="L75" s="358">
        <v>77013.163535779997</v>
      </c>
      <c r="M75" s="358">
        <v>83162.763292252494</v>
      </c>
      <c r="N75" s="358">
        <v>86773.900204894991</v>
      </c>
      <c r="O75" s="358">
        <v>81044.034106035004</v>
      </c>
      <c r="P75" s="358">
        <v>74891.803732367989</v>
      </c>
      <c r="Q75" s="358">
        <v>68413.046297037508</v>
      </c>
      <c r="R75" s="358">
        <v>66765.586722307518</v>
      </c>
      <c r="S75" s="529">
        <v>73130.399999999994</v>
      </c>
      <c r="T75" s="529">
        <v>75137.399999999994</v>
      </c>
      <c r="U75" s="529">
        <v>70196.399999999994</v>
      </c>
      <c r="V75" s="529">
        <v>67642.2</v>
      </c>
      <c r="W75" s="529">
        <v>66744</v>
      </c>
      <c r="X75" s="529">
        <v>71694.899999999994</v>
      </c>
      <c r="Y75" s="529">
        <v>73773</v>
      </c>
      <c r="Z75" s="529">
        <v>70695</v>
      </c>
      <c r="AA75" s="529">
        <v>66735</v>
      </c>
      <c r="AB75" s="529">
        <v>72495</v>
      </c>
      <c r="AC75" s="529">
        <v>71613</v>
      </c>
      <c r="AD75" s="529">
        <v>71172</v>
      </c>
      <c r="AE75" s="529">
        <v>69300</v>
      </c>
      <c r="AF75" s="529">
        <v>71055</v>
      </c>
      <c r="AG75" s="529">
        <v>71055</v>
      </c>
      <c r="AH75" s="529">
        <v>75069</v>
      </c>
      <c r="AI75" s="529">
        <v>75069</v>
      </c>
      <c r="AJ75" s="529">
        <v>78147</v>
      </c>
      <c r="AK75" s="529">
        <v>74601</v>
      </c>
      <c r="AL75" s="529">
        <v>73314</v>
      </c>
      <c r="AM75" s="529">
        <v>73314</v>
      </c>
      <c r="AN75" s="529">
        <v>71992.800000000003</v>
      </c>
      <c r="AO75" s="529">
        <v>74170.8</v>
      </c>
      <c r="AP75" s="529">
        <v>75970.8</v>
      </c>
      <c r="AQ75" s="529">
        <v>79579.8</v>
      </c>
      <c r="AR75" s="529">
        <v>78679.8</v>
      </c>
      <c r="AS75" s="529">
        <v>78679.8</v>
      </c>
      <c r="AT75" s="530">
        <v>82316.144548146898</v>
      </c>
      <c r="AU75" s="531">
        <v>87120.247838398529</v>
      </c>
      <c r="AV75" s="531">
        <v>88230.55929702321</v>
      </c>
      <c r="AW75" s="531">
        <v>88137.702676638582</v>
      </c>
      <c r="AX75" s="531">
        <v>90726.081075997456</v>
      </c>
      <c r="AY75" s="531">
        <v>93640.936364928682</v>
      </c>
      <c r="AZ75" s="531">
        <v>92952.565226764884</v>
      </c>
      <c r="BA75" s="531">
        <v>90410.936364928682</v>
      </c>
      <c r="BB75" s="531">
        <v>92250.936364928682</v>
      </c>
      <c r="BC75" s="531">
        <v>94825.936364928682</v>
      </c>
      <c r="BD75" s="531">
        <v>91827.603031595354</v>
      </c>
      <c r="BE75" s="531">
        <v>79800.936364928682</v>
      </c>
      <c r="BF75" s="531">
        <v>79925.936364928668</v>
      </c>
      <c r="BG75" s="531">
        <v>82092.565226764898</v>
      </c>
      <c r="BH75" s="531">
        <v>83705.936364928682</v>
      </c>
      <c r="BI75" s="531">
        <v>86337.244991853178</v>
      </c>
      <c r="BJ75" s="531">
        <v>88343.09322299331</v>
      </c>
      <c r="BK75" s="531">
        <v>84371.0867978694</v>
      </c>
      <c r="BL75" s="531">
        <v>82533.667556645247</v>
      </c>
      <c r="BM75" s="531">
        <v>83915.296418481477</v>
      </c>
      <c r="BN75" s="531">
        <v>85998.353851846667</v>
      </c>
      <c r="BO75" s="531">
        <v>83680.839372426868</v>
      </c>
      <c r="BP75" s="531">
        <v>78296.420131202744</v>
      </c>
      <c r="BQ75" s="531">
        <v>74908.667556645261</v>
      </c>
      <c r="BR75" s="531">
        <v>75368.667556645261</v>
      </c>
      <c r="BS75" s="531">
        <v>74755.334223311933</v>
      </c>
      <c r="BT75" s="531">
        <v>71698.667556645261</v>
      </c>
      <c r="BU75" s="531">
        <v>67093.667556645261</v>
      </c>
      <c r="BV75" s="531">
        <v>66173.667556645261</v>
      </c>
      <c r="BW75" s="531">
        <v>70296.297866503111</v>
      </c>
      <c r="BX75" s="531">
        <v>73811.225510968739</v>
      </c>
      <c r="BY75" s="531">
        <v>73104.932138219243</v>
      </c>
      <c r="BZ75" s="531">
        <v>73109.932138219243</v>
      </c>
      <c r="CA75" s="531">
        <v>76518.265471552571</v>
      </c>
      <c r="CB75" s="531">
        <v>82074.932138219243</v>
      </c>
      <c r="CC75" s="531">
        <v>90244.932138219243</v>
      </c>
      <c r="CD75" s="531">
        <v>93047.449038505991</v>
      </c>
      <c r="CE75" s="531">
        <v>98603.920574120828</v>
      </c>
      <c r="CF75" s="531">
        <v>112597.05572119531</v>
      </c>
      <c r="CG75" s="531">
        <v>112518.32981716725</v>
      </c>
      <c r="CH75" s="531">
        <v>106216.66315050058</v>
      </c>
      <c r="CI75" s="531">
        <v>98978.114255042339</v>
      </c>
      <c r="CJ75" s="531">
        <v>99434.349797459188</v>
      </c>
      <c r="CK75" s="531">
        <v>103781.54397226339</v>
      </c>
      <c r="CL75" s="531">
        <v>105181.5439722634</v>
      </c>
      <c r="CM75" s="524">
        <f t="shared" si="95"/>
        <v>80729.185183779831</v>
      </c>
    </row>
    <row r="76" spans="1:178">
      <c r="F76" s="348"/>
      <c r="G76" s="349"/>
      <c r="H76" s="349"/>
      <c r="I76" s="349"/>
      <c r="J76" s="349"/>
      <c r="K76" s="349"/>
      <c r="L76" s="349"/>
      <c r="M76" s="349"/>
      <c r="N76" s="349"/>
      <c r="O76" s="349"/>
      <c r="P76" s="349"/>
      <c r="Q76" s="349"/>
      <c r="R76" s="349"/>
      <c r="S76" s="349"/>
      <c r="T76" s="349"/>
      <c r="U76" s="349"/>
      <c r="V76" s="349"/>
      <c r="W76" s="349"/>
      <c r="X76" s="349"/>
      <c r="Y76" s="349"/>
      <c r="Z76" s="349"/>
      <c r="AA76" s="349"/>
      <c r="AB76" s="349"/>
      <c r="AC76" s="349"/>
      <c r="AD76" s="349"/>
      <c r="AE76" s="349"/>
      <c r="AF76" s="349"/>
      <c r="AG76" s="349"/>
      <c r="AH76" s="349"/>
      <c r="AI76" s="349"/>
      <c r="AJ76" s="349"/>
      <c r="AK76" s="349"/>
      <c r="AL76" s="349"/>
      <c r="AM76" s="349"/>
      <c r="AN76" s="349"/>
      <c r="AO76" s="349"/>
      <c r="AP76" s="349"/>
      <c r="AQ76" s="349"/>
      <c r="AR76" s="349"/>
      <c r="AS76" s="349"/>
      <c r="AT76" s="326"/>
      <c r="AU76" s="843"/>
      <c r="AV76" s="843"/>
      <c r="AW76" s="843"/>
      <c r="AX76" s="843"/>
      <c r="AY76" s="843"/>
      <c r="AZ76" s="843"/>
      <c r="BA76" s="843"/>
      <c r="BB76" s="843"/>
      <c r="BC76" s="843"/>
      <c r="BD76" s="843"/>
      <c r="BE76" s="843"/>
      <c r="BF76" s="843"/>
      <c r="BG76" s="843"/>
      <c r="BH76" s="843"/>
      <c r="BI76" s="843"/>
      <c r="BJ76" s="843"/>
      <c r="BK76" s="843"/>
      <c r="BL76" s="843"/>
      <c r="BM76" s="843"/>
      <c r="BN76" s="843"/>
      <c r="BO76" s="843"/>
      <c r="BP76" s="843"/>
      <c r="BQ76" s="843"/>
      <c r="BR76" s="843"/>
      <c r="BS76" s="843"/>
      <c r="BT76" s="843"/>
      <c r="BU76" s="843"/>
      <c r="BV76" s="843"/>
      <c r="BW76" s="843"/>
      <c r="BX76" s="843"/>
      <c r="BY76" s="843"/>
      <c r="BZ76" s="843"/>
      <c r="CA76" s="843"/>
      <c r="CB76" s="843"/>
      <c r="CC76" s="843"/>
      <c r="CD76" s="843"/>
      <c r="CE76" s="843"/>
      <c r="CF76" s="843"/>
      <c r="CG76" s="843"/>
      <c r="CH76" s="843"/>
      <c r="CI76" s="843"/>
      <c r="CJ76" s="843"/>
      <c r="CK76" s="843"/>
      <c r="CL76" s="843"/>
      <c r="CM76" s="315"/>
    </row>
    <row r="77" spans="1:178" ht="15">
      <c r="A77" s="324"/>
      <c r="F77" s="1392" t="s">
        <v>547</v>
      </c>
      <c r="G77" s="1392"/>
      <c r="H77" s="1393"/>
      <c r="I77" s="1393"/>
      <c r="J77" s="1393"/>
      <c r="K77" s="1393"/>
    </row>
    <row r="78" spans="1:178" ht="15" customHeight="1">
      <c r="F78" s="974" t="s">
        <v>548</v>
      </c>
      <c r="G78" s="975">
        <f>'[10]Opex PVC'!B64</f>
        <v>161200</v>
      </c>
    </row>
    <row r="79" spans="1:178" ht="15" customHeight="1">
      <c r="F79" s="976" t="s">
        <v>549</v>
      </c>
      <c r="G79" s="67">
        <v>91750</v>
      </c>
    </row>
    <row r="80" spans="1:178">
      <c r="F80" s="976" t="s">
        <v>550</v>
      </c>
      <c r="G80" s="67">
        <f>'[10]Products Output'!B14*0.35*1000</f>
        <v>30786.6363372333</v>
      </c>
    </row>
    <row r="81" spans="6:7">
      <c r="F81" s="976" t="s">
        <v>551</v>
      </c>
      <c r="G81" s="67">
        <f>'[10]Products Output'!B14*0.65*1000</f>
        <v>57175.181769147566</v>
      </c>
    </row>
    <row r="82" spans="6:7">
      <c r="F82" s="976"/>
      <c r="G82" s="67"/>
    </row>
    <row r="83" spans="6:7">
      <c r="F83" s="976"/>
      <c r="G83" s="977"/>
    </row>
    <row r="84" spans="6:7">
      <c r="F84" s="894"/>
      <c r="G84" s="978"/>
    </row>
  </sheetData>
  <mergeCells count="13">
    <mergeCell ref="A3:A7"/>
    <mergeCell ref="A8:A12"/>
    <mergeCell ref="A13:A16"/>
    <mergeCell ref="E13:E16"/>
    <mergeCell ref="A17:A23"/>
    <mergeCell ref="E17:E23"/>
    <mergeCell ref="F77:K77"/>
    <mergeCell ref="A24:A34"/>
    <mergeCell ref="A35:A41"/>
    <mergeCell ref="E35:E41"/>
    <mergeCell ref="A43:A44"/>
    <mergeCell ref="A57:A58"/>
    <mergeCell ref="A60:E69"/>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5"/>
  <dimension ref="A1:FW83"/>
  <sheetViews>
    <sheetView showGridLines="0" topLeftCell="F1" zoomScale="90" zoomScaleNormal="90" workbookViewId="0">
      <selection activeCell="L16" sqref="L16"/>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75.28515625" style="324" customWidth="1"/>
    <col min="7" max="7" width="16.7109375" style="324" bestFit="1" customWidth="1"/>
    <col min="8" max="8" width="17.140625" style="324" customWidth="1"/>
    <col min="9" max="9" width="16.7109375" style="324" customWidth="1"/>
    <col min="10" max="10" width="16.140625" style="324" customWidth="1"/>
    <col min="11" max="11" width="15.85546875" style="324" customWidth="1"/>
    <col min="12" max="12" width="15.5703125" style="324" customWidth="1"/>
    <col min="13" max="13" width="15.85546875" style="324" customWidth="1"/>
    <col min="14" max="16" width="16.5703125" style="324" customWidth="1"/>
    <col min="17" max="17" width="14.5703125" style="324" customWidth="1"/>
    <col min="18" max="18" width="17.28515625" style="324" customWidth="1"/>
    <col min="19" max="19" width="16.7109375" style="324" customWidth="1"/>
    <col min="20" max="20" width="16.28515625" style="324" customWidth="1"/>
    <col min="21" max="21" width="16.5703125" style="324" customWidth="1"/>
    <col min="22" max="22" width="17.85546875" style="324" customWidth="1"/>
    <col min="23" max="42" width="16.28515625" style="324" customWidth="1"/>
    <col min="43" max="43" width="15.42578125" style="324" customWidth="1"/>
    <col min="44" max="45" width="16.28515625" style="324" customWidth="1"/>
    <col min="46" max="46" width="18.7109375" style="351" bestFit="1" customWidth="1"/>
    <col min="47" max="90" width="15.85546875" style="1" bestFit="1" customWidth="1"/>
    <col min="91" max="91" width="25.85546875" style="347"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ht="21" customHeight="1">
      <c r="A1" s="845" t="s">
        <v>420</v>
      </c>
      <c r="B1" s="845" t="s">
        <v>401</v>
      </c>
      <c r="C1" s="846" t="s">
        <v>166</v>
      </c>
      <c r="D1" s="846" t="s">
        <v>196</v>
      </c>
      <c r="E1" s="845" t="s">
        <v>396</v>
      </c>
      <c r="F1" s="847" t="s">
        <v>4</v>
      </c>
      <c r="G1" s="848">
        <v>41913</v>
      </c>
      <c r="H1" s="848">
        <v>41944</v>
      </c>
      <c r="I1" s="848">
        <v>41974</v>
      </c>
      <c r="J1" s="848">
        <v>42005</v>
      </c>
      <c r="K1" s="848">
        <v>42036</v>
      </c>
      <c r="L1" s="848">
        <v>42064</v>
      </c>
      <c r="M1" s="848">
        <v>42095</v>
      </c>
      <c r="N1" s="848">
        <v>42125</v>
      </c>
      <c r="O1" s="848">
        <v>42156</v>
      </c>
      <c r="P1" s="848">
        <v>42186</v>
      </c>
      <c r="Q1" s="848">
        <v>42217</v>
      </c>
      <c r="R1" s="848">
        <v>42248</v>
      </c>
      <c r="S1" s="848">
        <v>42278</v>
      </c>
      <c r="T1" s="848">
        <v>42309</v>
      </c>
      <c r="U1" s="848">
        <v>42339</v>
      </c>
      <c r="V1" s="848">
        <v>42370</v>
      </c>
      <c r="W1" s="848">
        <v>42401</v>
      </c>
      <c r="X1" s="848">
        <v>42430</v>
      </c>
      <c r="Y1" s="848">
        <v>42461</v>
      </c>
      <c r="Z1" s="848">
        <v>42491</v>
      </c>
      <c r="AA1" s="848">
        <v>42522</v>
      </c>
      <c r="AB1" s="848">
        <v>42552</v>
      </c>
      <c r="AC1" s="848">
        <v>42583</v>
      </c>
      <c r="AD1" s="848">
        <v>42614</v>
      </c>
      <c r="AE1" s="848">
        <v>42644</v>
      </c>
      <c r="AF1" s="848">
        <v>42675</v>
      </c>
      <c r="AG1" s="848">
        <v>42705</v>
      </c>
      <c r="AH1" s="848">
        <v>42736</v>
      </c>
      <c r="AI1" s="848">
        <v>42767</v>
      </c>
      <c r="AJ1" s="848">
        <v>42795</v>
      </c>
      <c r="AK1" s="848">
        <v>42826</v>
      </c>
      <c r="AL1" s="848">
        <v>42856</v>
      </c>
      <c r="AM1" s="848">
        <v>42887</v>
      </c>
      <c r="AN1" s="848">
        <v>42917</v>
      </c>
      <c r="AO1" s="848">
        <v>42948</v>
      </c>
      <c r="AP1" s="848">
        <v>42979</v>
      </c>
      <c r="AQ1" s="848">
        <v>43009</v>
      </c>
      <c r="AR1" s="848">
        <v>43040</v>
      </c>
      <c r="AS1" s="848">
        <v>43070</v>
      </c>
      <c r="AT1" s="848">
        <v>43101</v>
      </c>
      <c r="AU1" s="848">
        <v>43132</v>
      </c>
      <c r="AV1" s="848">
        <v>43160</v>
      </c>
      <c r="AW1" s="848">
        <v>43191</v>
      </c>
      <c r="AX1" s="848">
        <v>43221</v>
      </c>
      <c r="AY1" s="848">
        <v>43252</v>
      </c>
      <c r="AZ1" s="848">
        <v>43282</v>
      </c>
      <c r="BA1" s="848">
        <v>43313</v>
      </c>
      <c r="BB1" s="848">
        <v>43344</v>
      </c>
      <c r="BC1" s="848">
        <v>43374</v>
      </c>
      <c r="BD1" s="848">
        <v>43405</v>
      </c>
      <c r="BE1" s="848">
        <v>43435</v>
      </c>
      <c r="BF1" s="848">
        <v>43466</v>
      </c>
      <c r="BG1" s="848">
        <v>43497</v>
      </c>
      <c r="BH1" s="848">
        <v>43525</v>
      </c>
      <c r="BI1" s="848">
        <v>43556</v>
      </c>
      <c r="BJ1" s="848">
        <v>43586</v>
      </c>
      <c r="BK1" s="848">
        <v>43617</v>
      </c>
      <c r="BL1" s="848">
        <v>43647</v>
      </c>
      <c r="BM1" s="848">
        <v>43678</v>
      </c>
      <c r="BN1" s="848">
        <v>43709</v>
      </c>
      <c r="BO1" s="848">
        <v>43739</v>
      </c>
      <c r="BP1" s="848">
        <v>43770</v>
      </c>
      <c r="BQ1" s="848">
        <v>43800</v>
      </c>
      <c r="BR1" s="848">
        <v>43831</v>
      </c>
      <c r="BS1" s="848">
        <v>43862</v>
      </c>
      <c r="BT1" s="848">
        <v>43891</v>
      </c>
      <c r="BU1" s="848">
        <v>43922</v>
      </c>
      <c r="BV1" s="848">
        <v>43952</v>
      </c>
      <c r="BW1" s="848">
        <v>43983</v>
      </c>
      <c r="BX1" s="848">
        <v>44013</v>
      </c>
      <c r="BY1" s="848">
        <v>44044</v>
      </c>
      <c r="BZ1" s="848">
        <v>44075</v>
      </c>
      <c r="CA1" s="848">
        <v>44105</v>
      </c>
      <c r="CB1" s="848">
        <v>44136</v>
      </c>
      <c r="CC1" s="848">
        <v>44166</v>
      </c>
      <c r="CD1" s="848">
        <v>44197</v>
      </c>
      <c r="CE1" s="848">
        <v>44228</v>
      </c>
      <c r="CF1" s="848">
        <v>44256</v>
      </c>
      <c r="CG1" s="848">
        <v>44287</v>
      </c>
      <c r="CH1" s="848">
        <v>44317</v>
      </c>
      <c r="CI1" s="848">
        <v>44348</v>
      </c>
      <c r="CJ1" s="848">
        <v>44378</v>
      </c>
      <c r="CK1" s="848">
        <v>44409</v>
      </c>
      <c r="CL1" s="848">
        <v>44440</v>
      </c>
      <c r="CM1" s="849" t="s">
        <v>514</v>
      </c>
      <c r="CN1" s="347"/>
      <c r="CO1" s="347"/>
      <c r="CP1" s="347"/>
      <c r="CQ1" s="347"/>
      <c r="CR1" s="347"/>
      <c r="CS1" s="347"/>
      <c r="CT1" s="347"/>
      <c r="CU1" s="347"/>
      <c r="CV1" s="347"/>
      <c r="CW1" s="347"/>
      <c r="CX1" s="347"/>
      <c r="CY1" s="347"/>
      <c r="CZ1" s="347"/>
      <c r="DA1" s="347"/>
      <c r="DB1" s="347"/>
      <c r="DC1" s="347"/>
      <c r="DD1" s="347"/>
      <c r="DE1" s="347"/>
      <c r="DF1" s="347"/>
      <c r="DG1" s="347"/>
      <c r="DH1" s="347"/>
      <c r="DI1" s="347"/>
      <c r="DJ1" s="347"/>
      <c r="DK1" s="347"/>
      <c r="DL1" s="347"/>
      <c r="DM1" s="347"/>
      <c r="DN1" s="347"/>
      <c r="DO1" s="347"/>
      <c r="DP1" s="347"/>
      <c r="DQ1" s="347"/>
      <c r="DR1" s="347"/>
      <c r="DS1" s="347"/>
      <c r="DT1" s="347"/>
      <c r="DU1" s="347"/>
      <c r="DV1" s="347"/>
      <c r="DW1" s="347"/>
      <c r="DX1" s="347"/>
      <c r="DY1" s="347"/>
      <c r="DZ1" s="347"/>
      <c r="EA1" s="347"/>
      <c r="EB1" s="347"/>
      <c r="EC1" s="347"/>
      <c r="ED1" s="347"/>
      <c r="EE1" s="347"/>
      <c r="EF1" s="347"/>
      <c r="EG1" s="347"/>
      <c r="EH1" s="347"/>
      <c r="EI1" s="347"/>
      <c r="EJ1" s="347"/>
      <c r="EK1" s="347"/>
      <c r="EL1" s="347"/>
      <c r="EM1" s="347"/>
      <c r="EN1" s="347"/>
      <c r="EO1" s="347"/>
      <c r="EP1" s="347"/>
      <c r="EQ1" s="347"/>
      <c r="ER1" s="347"/>
      <c r="ES1" s="347"/>
      <c r="ET1" s="347"/>
      <c r="EU1" s="347"/>
      <c r="EV1" s="347"/>
      <c r="EW1" s="347"/>
      <c r="EX1" s="347"/>
      <c r="EY1" s="347"/>
      <c r="EZ1" s="347"/>
      <c r="FA1" s="347"/>
      <c r="FB1" s="347"/>
      <c r="FC1" s="347"/>
      <c r="FD1" s="347"/>
      <c r="FE1" s="347"/>
      <c r="FF1" s="347"/>
      <c r="FG1" s="347"/>
      <c r="FH1" s="347"/>
      <c r="FI1" s="347"/>
      <c r="FJ1" s="347"/>
      <c r="FK1" s="347"/>
      <c r="FL1" s="347"/>
      <c r="FM1" s="347"/>
      <c r="FN1" s="347"/>
      <c r="FO1" s="347"/>
      <c r="FP1" s="347"/>
      <c r="FQ1" s="347"/>
      <c r="FR1" s="347"/>
      <c r="FS1" s="347"/>
      <c r="FT1" s="347"/>
      <c r="FU1" s="347"/>
      <c r="FV1" s="347"/>
    </row>
    <row r="2" spans="1:178">
      <c r="A2" s="1399" t="s">
        <v>445</v>
      </c>
      <c r="B2" s="313" t="s">
        <v>400</v>
      </c>
      <c r="C2" s="583" t="s">
        <v>151</v>
      </c>
      <c r="D2" s="583"/>
      <c r="E2" s="850" t="s">
        <v>464</v>
      </c>
      <c r="F2" s="851" t="s">
        <v>168</v>
      </c>
      <c r="G2" s="436">
        <v>25051.559218632909</v>
      </c>
      <c r="H2" s="436">
        <v>27593.24204757651</v>
      </c>
      <c r="I2" s="436">
        <v>28012.136853410473</v>
      </c>
      <c r="J2" s="436">
        <v>27577.700544958916</v>
      </c>
      <c r="K2" s="436">
        <v>27481.31622840108</v>
      </c>
      <c r="L2" s="436">
        <v>27607.523931302298</v>
      </c>
      <c r="M2" s="436">
        <v>27597.74531564931</v>
      </c>
      <c r="N2" s="436">
        <v>27854.557455066533</v>
      </c>
      <c r="O2" s="436">
        <v>26743.261986573205</v>
      </c>
      <c r="P2" s="436">
        <v>26687.129720517063</v>
      </c>
      <c r="Q2" s="436">
        <v>27074.326659399911</v>
      </c>
      <c r="R2" s="436">
        <v>27285.646368670299</v>
      </c>
      <c r="S2" s="375">
        <v>26985.210786884072</v>
      </c>
      <c r="T2" s="375">
        <v>27119.712595203164</v>
      </c>
      <c r="U2" s="375">
        <v>24559.655377530657</v>
      </c>
      <c r="V2" s="375">
        <v>24801.57436204391</v>
      </c>
      <c r="W2" s="375">
        <v>24870.311190448319</v>
      </c>
      <c r="X2" s="375">
        <v>24446.934781510517</v>
      </c>
      <c r="Y2" s="375">
        <v>22045.867003269224</v>
      </c>
      <c r="Z2" s="375">
        <v>22137.574596072831</v>
      </c>
      <c r="AA2" s="375">
        <v>22178.854940817506</v>
      </c>
      <c r="AB2" s="375">
        <v>22379.603632359234</v>
      </c>
      <c r="AC2" s="375">
        <v>22316.947113023158</v>
      </c>
      <c r="AD2" s="375">
        <v>22332.476652334251</v>
      </c>
      <c r="AE2" s="375">
        <v>20547.189548460563</v>
      </c>
      <c r="AF2" s="375">
        <v>20686.688386935857</v>
      </c>
      <c r="AG2" s="375">
        <v>20767.688768450629</v>
      </c>
      <c r="AH2" s="375">
        <v>20974.727775313953</v>
      </c>
      <c r="AI2" s="375">
        <v>20672.545970582461</v>
      </c>
      <c r="AJ2" s="375">
        <v>20293.117385852278</v>
      </c>
      <c r="AK2" s="375">
        <v>20200.146638921942</v>
      </c>
      <c r="AL2" s="375">
        <v>20196.506776671627</v>
      </c>
      <c r="AM2" s="375">
        <v>20223.802937420794</v>
      </c>
      <c r="AN2" s="375">
        <v>20150.57410364203</v>
      </c>
      <c r="AO2" s="375">
        <v>20100.42716295533</v>
      </c>
      <c r="AP2" s="375">
        <v>20160.607048690799</v>
      </c>
      <c r="AQ2" s="375">
        <v>21512.598338117936</v>
      </c>
      <c r="AR2" s="375">
        <v>21440.681299757798</v>
      </c>
      <c r="AS2" s="375">
        <v>21375.006278206383</v>
      </c>
      <c r="AT2" s="504">
        <v>21264.945629393325</v>
      </c>
      <c r="AU2" s="375">
        <v>21626.25432492559</v>
      </c>
      <c r="AV2" s="375">
        <v>21445.092194859229</v>
      </c>
      <c r="AW2" s="375">
        <v>22147.037628372043</v>
      </c>
      <c r="AX2" s="375">
        <v>22445.482010415642</v>
      </c>
      <c r="AY2" s="375">
        <v>22538.5668207372</v>
      </c>
      <c r="AZ2" s="375">
        <v>22683.6305748698</v>
      </c>
      <c r="BA2" s="375">
        <v>22868.012166738616</v>
      </c>
      <c r="BB2" s="375">
        <v>23306.497621107381</v>
      </c>
      <c r="BC2" s="375">
        <v>24536.041846827407</v>
      </c>
      <c r="BD2" s="375">
        <v>24203.915200642215</v>
      </c>
      <c r="BE2" s="375">
        <v>24491.675246010553</v>
      </c>
      <c r="BF2" s="375">
        <v>24292.077229718714</v>
      </c>
      <c r="BG2" s="375">
        <v>24128.241318298198</v>
      </c>
      <c r="BH2" s="375">
        <v>23761.712949891597</v>
      </c>
      <c r="BI2" s="375">
        <v>24843.635694978242</v>
      </c>
      <c r="BJ2" s="375">
        <v>24889.595741342779</v>
      </c>
      <c r="BK2" s="375">
        <v>24792.951183985791</v>
      </c>
      <c r="BL2" s="375">
        <v>24652.724211645604</v>
      </c>
      <c r="BM2" s="375">
        <v>25061.274790299325</v>
      </c>
      <c r="BN2" s="375">
        <v>25041.412268402801</v>
      </c>
      <c r="BO2" s="375">
        <v>23495.434939051891</v>
      </c>
      <c r="BP2" s="375">
        <v>23673.81529877572</v>
      </c>
      <c r="BQ2" s="375">
        <v>23573.595963335527</v>
      </c>
      <c r="BR2" s="375">
        <v>23479.455550506904</v>
      </c>
      <c r="BS2" s="375">
        <v>23512.648105033688</v>
      </c>
      <c r="BT2" s="375">
        <v>24044.179913260727</v>
      </c>
      <c r="BU2" s="375">
        <v>21100.991191054774</v>
      </c>
      <c r="BV2" s="375">
        <v>21092.534393078553</v>
      </c>
      <c r="BW2" s="375">
        <v>21063.973291058388</v>
      </c>
      <c r="BX2" s="375">
        <v>20903.791448053176</v>
      </c>
      <c r="BY2" s="375">
        <v>20914.370973911587</v>
      </c>
      <c r="BZ2" s="375">
        <v>21019.732751442622</v>
      </c>
      <c r="CA2" s="375">
        <v>18780.274489166361</v>
      </c>
      <c r="CB2" s="375">
        <v>19076.949846441006</v>
      </c>
      <c r="CC2" s="375">
        <v>18985.314968969273</v>
      </c>
      <c r="CD2" s="375">
        <v>18811.337161167783</v>
      </c>
      <c r="CE2" s="375">
        <v>18898.47987721788</v>
      </c>
      <c r="CF2" s="375">
        <v>18893.208776558538</v>
      </c>
      <c r="CG2" s="375">
        <v>19011.609417033724</v>
      </c>
      <c r="CH2" s="375">
        <v>18930.779623608083</v>
      </c>
      <c r="CI2" s="375">
        <v>19067.811604202692</v>
      </c>
      <c r="CJ2" s="375">
        <v>19300.900599042274</v>
      </c>
      <c r="CK2" s="375">
        <v>19355.415368688551</v>
      </c>
      <c r="CL2" s="436">
        <v>19439.998983248683</v>
      </c>
      <c r="CM2" s="598">
        <f t="shared" ref="CM2:CM11" si="0">AVERAGE(G2:CL2)</f>
        <v>22779.649511535779</v>
      </c>
      <c r="CN2" s="853" t="s">
        <v>197</v>
      </c>
      <c r="CO2" s="853"/>
      <c r="CP2" s="853"/>
      <c r="CQ2" s="853"/>
      <c r="CR2" s="853"/>
      <c r="CS2" s="853"/>
      <c r="CT2" s="853"/>
      <c r="CU2" s="853"/>
      <c r="CV2" s="853"/>
      <c r="CW2" s="853"/>
      <c r="CX2" s="853"/>
      <c r="CY2" s="853"/>
      <c r="CZ2" s="853"/>
      <c r="DA2" s="853"/>
      <c r="DB2" s="853"/>
      <c r="DC2" s="853"/>
      <c r="DD2" s="853"/>
      <c r="DE2" s="853"/>
      <c r="DF2" s="853"/>
      <c r="DG2" s="853"/>
      <c r="DH2" s="853"/>
      <c r="DI2" s="853"/>
      <c r="DJ2" s="853"/>
      <c r="DK2" s="853"/>
      <c r="DL2" s="853"/>
      <c r="DM2" s="853"/>
      <c r="DN2" s="853"/>
      <c r="DO2" s="853"/>
      <c r="DP2" s="853"/>
      <c r="DQ2" s="853"/>
      <c r="DR2" s="853"/>
      <c r="DS2" s="853"/>
      <c r="DT2" s="853"/>
      <c r="DU2" s="853"/>
      <c r="DV2" s="853"/>
      <c r="DW2" s="853"/>
      <c r="DX2" s="853"/>
      <c r="DY2" s="853"/>
      <c r="DZ2" s="853"/>
      <c r="EA2" s="853"/>
      <c r="EB2" s="853"/>
      <c r="EC2" s="347"/>
      <c r="ED2" s="347"/>
      <c r="EE2" s="347"/>
      <c r="EF2" s="347"/>
      <c r="EG2" s="347"/>
      <c r="EH2" s="347"/>
      <c r="EI2" s="347"/>
      <c r="EJ2" s="347"/>
      <c r="EK2" s="347"/>
      <c r="EL2" s="347"/>
      <c r="EM2" s="347"/>
      <c r="EN2" s="347"/>
      <c r="EO2" s="347"/>
      <c r="EP2" s="347"/>
      <c r="EQ2" s="347"/>
      <c r="ER2" s="347"/>
      <c r="ES2" s="347"/>
      <c r="ET2" s="347"/>
      <c r="EU2" s="347"/>
      <c r="EV2" s="347"/>
      <c r="EW2" s="347"/>
      <c r="EX2" s="347"/>
      <c r="EY2" s="347"/>
      <c r="EZ2" s="347"/>
      <c r="FA2" s="347"/>
      <c r="FB2" s="347"/>
      <c r="FC2" s="347"/>
      <c r="FD2" s="347"/>
      <c r="FE2" s="347"/>
      <c r="FF2" s="347"/>
      <c r="FG2" s="347"/>
      <c r="FH2" s="347"/>
      <c r="FI2" s="347"/>
      <c r="FJ2" s="347"/>
      <c r="FK2" s="347"/>
      <c r="FL2" s="347"/>
      <c r="FM2" s="347"/>
      <c r="FN2" s="347"/>
      <c r="FO2" s="347"/>
      <c r="FP2" s="347"/>
      <c r="FQ2" s="347"/>
      <c r="FR2" s="347"/>
      <c r="FS2" s="347"/>
      <c r="FT2" s="347"/>
      <c r="FU2" s="347"/>
      <c r="FV2" s="347"/>
    </row>
    <row r="3" spans="1:178">
      <c r="A3" s="1394"/>
      <c r="B3" s="811" t="s">
        <v>400</v>
      </c>
      <c r="C3" s="581" t="s">
        <v>151</v>
      </c>
      <c r="D3" s="581"/>
      <c r="E3" s="347" t="s">
        <v>464</v>
      </c>
      <c r="F3" s="854" t="s">
        <v>0</v>
      </c>
      <c r="G3" s="438">
        <v>48731.438403966153</v>
      </c>
      <c r="H3" s="438">
        <v>40653.741966813206</v>
      </c>
      <c r="I3" s="438">
        <v>37277.757960008501</v>
      </c>
      <c r="J3" s="438">
        <v>28519.649598298754</v>
      </c>
      <c r="K3" s="438">
        <v>30164.233428148502</v>
      </c>
      <c r="L3" s="438">
        <v>33757.337777210007</v>
      </c>
      <c r="M3" s="438">
        <v>31176.922022252798</v>
      </c>
      <c r="N3" s="438">
        <v>32035.2307532835</v>
      </c>
      <c r="O3" s="438">
        <v>27927.254033858248</v>
      </c>
      <c r="P3" s="438">
        <v>27159.037925993551</v>
      </c>
      <c r="Q3" s="438">
        <v>25666.771575581202</v>
      </c>
      <c r="R3" s="438">
        <v>22528.1936837664</v>
      </c>
      <c r="S3" s="380">
        <v>25303.943832667195</v>
      </c>
      <c r="T3" s="380">
        <v>28232.645636790799</v>
      </c>
      <c r="U3" s="380">
        <v>33064.126052302599</v>
      </c>
      <c r="V3" s="380">
        <v>25129.762092000001</v>
      </c>
      <c r="W3" s="380">
        <v>20985.703351000004</v>
      </c>
      <c r="X3" s="380">
        <v>20863.787538</v>
      </c>
      <c r="Y3" s="380">
        <v>22980.5913</v>
      </c>
      <c r="Z3" s="380">
        <v>23490.911473</v>
      </c>
      <c r="AA3" s="380">
        <v>23940.813190000001</v>
      </c>
      <c r="AB3" s="380">
        <v>21332.030572000003</v>
      </c>
      <c r="AC3" s="380">
        <v>20596.220090000003</v>
      </c>
      <c r="AD3" s="380">
        <v>21258.665304000002</v>
      </c>
      <c r="AE3" s="380">
        <v>24488.894897999999</v>
      </c>
      <c r="AF3" s="380">
        <v>28548.799361000005</v>
      </c>
      <c r="AG3" s="380">
        <v>27794.647561999998</v>
      </c>
      <c r="AH3" s="380">
        <v>31947.337511000002</v>
      </c>
      <c r="AI3" s="380">
        <v>36811.023219000002</v>
      </c>
      <c r="AJ3" s="380">
        <v>34042.563253</v>
      </c>
      <c r="AK3" s="380">
        <v>29885.557700000001</v>
      </c>
      <c r="AL3" s="380">
        <v>26758.902602000002</v>
      </c>
      <c r="AM3" s="380">
        <v>26769.691612000002</v>
      </c>
      <c r="AN3" s="380">
        <v>23953.760002000003</v>
      </c>
      <c r="AO3" s="380">
        <v>28997.622177000001</v>
      </c>
      <c r="AP3" s="380">
        <v>33402.774960000002</v>
      </c>
      <c r="AQ3" s="380">
        <v>40322.845974000003</v>
      </c>
      <c r="AR3" s="380">
        <v>40216.034775</v>
      </c>
      <c r="AS3" s="380">
        <v>40827.771642</v>
      </c>
      <c r="AT3" s="561">
        <v>40534.310570000001</v>
      </c>
      <c r="AU3" s="380">
        <v>36555.323682000002</v>
      </c>
      <c r="AV3" s="380">
        <v>33697.314933000001</v>
      </c>
      <c r="AW3" s="380">
        <v>33723.208557000005</v>
      </c>
      <c r="AX3" s="380">
        <v>36395.646334000005</v>
      </c>
      <c r="AY3" s="380">
        <v>41040.315139000006</v>
      </c>
      <c r="AZ3" s="380">
        <v>41108.285902000003</v>
      </c>
      <c r="BA3" s="380">
        <v>43701.963906000004</v>
      </c>
      <c r="BB3" s="380">
        <v>46676.493963000001</v>
      </c>
      <c r="BC3" s="380">
        <v>51876.796783000005</v>
      </c>
      <c r="BD3" s="380">
        <v>41509.637073999998</v>
      </c>
      <c r="BE3" s="380">
        <v>33991.854906000008</v>
      </c>
      <c r="BF3" s="380">
        <v>32832.036331000003</v>
      </c>
      <c r="BG3" s="380">
        <v>33778.232508000001</v>
      </c>
      <c r="BH3" s="380">
        <v>36695.580812</v>
      </c>
      <c r="BI3" s="380">
        <v>38546.974928000003</v>
      </c>
      <c r="BJ3" s="380">
        <v>39516.906927000004</v>
      </c>
      <c r="BK3" s="380">
        <v>32215.98386</v>
      </c>
      <c r="BL3" s="380">
        <v>27843.198107</v>
      </c>
      <c r="BM3" s="380">
        <v>28393.437617000003</v>
      </c>
      <c r="BN3" s="380">
        <v>26826.873364999999</v>
      </c>
      <c r="BO3" s="380">
        <v>32126.435077000002</v>
      </c>
      <c r="BP3" s="380">
        <v>33215.046186000007</v>
      </c>
      <c r="BQ3" s="380">
        <v>33796.573824999999</v>
      </c>
      <c r="BR3" s="380">
        <v>43443.027666000002</v>
      </c>
      <c r="BS3" s="380">
        <v>39155.475092000001</v>
      </c>
      <c r="BT3" s="380">
        <v>34711.481873000004</v>
      </c>
      <c r="BU3" s="380">
        <v>18899.108817</v>
      </c>
      <c r="BV3" s="380">
        <v>27786.016353999999</v>
      </c>
      <c r="BW3" s="380">
        <v>28608.138916000004</v>
      </c>
      <c r="BX3" s="380">
        <v>29086.092059000002</v>
      </c>
      <c r="BY3" s="380">
        <v>29298.635556000001</v>
      </c>
      <c r="BZ3" s="380">
        <v>28929.651414</v>
      </c>
      <c r="CA3" s="380">
        <v>29806.797927</v>
      </c>
      <c r="CB3" s="380">
        <v>34388.890474</v>
      </c>
      <c r="CC3" s="380">
        <v>35712.702000999998</v>
      </c>
      <c r="CD3" s="380">
        <v>43363.188992000003</v>
      </c>
      <c r="CE3" s="380">
        <v>47639.952556000004</v>
      </c>
      <c r="CF3" s="380">
        <v>49092.153302000006</v>
      </c>
      <c r="CG3" s="380">
        <v>45010.670818999999</v>
      </c>
      <c r="CH3" s="380">
        <v>38956.957307999997</v>
      </c>
      <c r="CI3" s="380">
        <v>42177.476793000002</v>
      </c>
      <c r="CJ3" s="380">
        <v>49813.938071000004</v>
      </c>
      <c r="CK3" s="380">
        <v>52666.552315000008</v>
      </c>
      <c r="CL3" s="438">
        <v>52842.413178000003</v>
      </c>
      <c r="CM3" s="356">
        <f t="shared" si="0"/>
        <v>33637.294637904051</v>
      </c>
      <c r="CN3" s="347"/>
      <c r="CO3" s="853" t="s">
        <v>198</v>
      </c>
      <c r="CP3" s="853" t="s">
        <v>199</v>
      </c>
      <c r="CQ3" s="853" t="s">
        <v>200</v>
      </c>
      <c r="CR3" s="853" t="s">
        <v>1</v>
      </c>
      <c r="CS3" s="347"/>
      <c r="CT3" s="347"/>
      <c r="CU3" s="347"/>
      <c r="CV3" s="347"/>
      <c r="CW3" s="347"/>
      <c r="DB3" s="856"/>
      <c r="DC3" s="856"/>
      <c r="DD3" s="856"/>
      <c r="DE3" s="856"/>
      <c r="DF3" s="856"/>
      <c r="DG3" s="856"/>
      <c r="DH3" s="856"/>
      <c r="DI3" s="856"/>
      <c r="DJ3" s="856"/>
      <c r="DK3" s="856"/>
      <c r="DL3" s="856"/>
      <c r="DM3" s="856"/>
      <c r="DN3" s="856"/>
      <c r="DO3" s="856"/>
      <c r="DP3" s="856"/>
      <c r="DQ3" s="856"/>
      <c r="DR3" s="856"/>
      <c r="DS3" s="856"/>
      <c r="DT3" s="856"/>
      <c r="DU3" s="856"/>
      <c r="DV3" s="856"/>
      <c r="DW3" s="856"/>
      <c r="DX3" s="856"/>
      <c r="DY3" s="856"/>
      <c r="DZ3" s="856"/>
      <c r="EA3" s="856"/>
      <c r="EB3" s="856"/>
      <c r="EC3" s="347"/>
      <c r="ED3" s="347"/>
      <c r="EE3" s="347"/>
      <c r="EF3" s="347"/>
      <c r="EG3" s="347"/>
      <c r="EH3" s="347"/>
      <c r="EI3" s="347"/>
      <c r="EJ3" s="347"/>
      <c r="EK3" s="347"/>
      <c r="EL3" s="347"/>
      <c r="EM3" s="347"/>
      <c r="EN3" s="347"/>
      <c r="EO3" s="347"/>
      <c r="EP3" s="347"/>
      <c r="EQ3" s="347"/>
      <c r="ER3" s="347"/>
      <c r="ES3" s="347"/>
      <c r="ET3" s="347"/>
      <c r="EU3" s="347"/>
      <c r="EV3" s="347"/>
      <c r="EW3" s="347"/>
      <c r="EX3" s="347"/>
      <c r="EY3" s="347"/>
      <c r="EZ3" s="347"/>
      <c r="FA3" s="347"/>
      <c r="FB3" s="347"/>
      <c r="FC3" s="347"/>
      <c r="FD3" s="347"/>
      <c r="FE3" s="347"/>
      <c r="FF3" s="347"/>
      <c r="FG3" s="347"/>
      <c r="FH3" s="347"/>
      <c r="FI3" s="347"/>
      <c r="FJ3" s="347"/>
      <c r="FK3" s="347"/>
      <c r="FL3" s="347"/>
      <c r="FM3" s="347"/>
      <c r="FN3" s="347"/>
      <c r="FO3" s="347"/>
      <c r="FP3" s="347"/>
      <c r="FQ3" s="347"/>
      <c r="FR3" s="347"/>
      <c r="FS3" s="347"/>
      <c r="FT3" s="347"/>
      <c r="FU3" s="347"/>
      <c r="FV3" s="347"/>
    </row>
    <row r="4" spans="1:178">
      <c r="A4" s="1394"/>
      <c r="B4" s="811" t="s">
        <v>400</v>
      </c>
      <c r="C4" s="581" t="s">
        <v>151</v>
      </c>
      <c r="D4" s="581"/>
      <c r="E4" s="347" t="s">
        <v>464</v>
      </c>
      <c r="F4" s="854" t="s">
        <v>398</v>
      </c>
      <c r="G4" s="438">
        <v>49114.0222634565</v>
      </c>
      <c r="H4" s="438">
        <v>38720.781829679996</v>
      </c>
      <c r="I4" s="438">
        <v>37409.691468650999</v>
      </c>
      <c r="J4" s="438">
        <v>30540.439970405001</v>
      </c>
      <c r="K4" s="438">
        <v>31156.107426096001</v>
      </c>
      <c r="L4" s="438">
        <v>30073.099605308002</v>
      </c>
      <c r="M4" s="438">
        <v>30845.757435424002</v>
      </c>
      <c r="N4" s="438">
        <v>31687.697930225004</v>
      </c>
      <c r="O4" s="438">
        <v>29379.747895740002</v>
      </c>
      <c r="P4" s="438">
        <v>28296.217956442502</v>
      </c>
      <c r="Q4" s="438">
        <v>27237.080130880004</v>
      </c>
      <c r="R4" s="438">
        <v>23892.252103007999</v>
      </c>
      <c r="S4" s="380">
        <v>24842.812105361998</v>
      </c>
      <c r="T4" s="380">
        <v>30106.891295556001</v>
      </c>
      <c r="U4" s="380">
        <v>33060.925121352499</v>
      </c>
      <c r="V4" s="380">
        <v>27538</v>
      </c>
      <c r="W4" s="380">
        <v>22486</v>
      </c>
      <c r="X4" s="380">
        <v>22318</v>
      </c>
      <c r="Y4" s="380">
        <v>24367</v>
      </c>
      <c r="Z4" s="380">
        <v>26626</v>
      </c>
      <c r="AA4" s="380">
        <v>25670</v>
      </c>
      <c r="AB4" s="380">
        <v>21731</v>
      </c>
      <c r="AC4" s="380">
        <v>20316</v>
      </c>
      <c r="AD4" s="380">
        <v>22355</v>
      </c>
      <c r="AE4" s="380">
        <v>25834</v>
      </c>
      <c r="AF4" s="380">
        <v>31223</v>
      </c>
      <c r="AG4" s="380">
        <v>29781</v>
      </c>
      <c r="AH4" s="380">
        <v>35242</v>
      </c>
      <c r="AI4" s="380">
        <v>41983</v>
      </c>
      <c r="AJ4" s="380">
        <v>41252</v>
      </c>
      <c r="AK4" s="380">
        <v>33014</v>
      </c>
      <c r="AL4" s="380">
        <v>26278</v>
      </c>
      <c r="AM4" s="380">
        <v>26288</v>
      </c>
      <c r="AN4" s="380">
        <v>24567</v>
      </c>
      <c r="AO4" s="380">
        <v>30788</v>
      </c>
      <c r="AP4" s="380">
        <v>33730</v>
      </c>
      <c r="AQ4" s="380">
        <v>39430</v>
      </c>
      <c r="AR4" s="380">
        <v>39325</v>
      </c>
      <c r="AS4" s="380">
        <v>38237</v>
      </c>
      <c r="AT4" s="561">
        <v>37934.865946679616</v>
      </c>
      <c r="AU4" s="380">
        <v>33977.640442957862</v>
      </c>
      <c r="AV4" s="380">
        <v>31621.932879798373</v>
      </c>
      <c r="AW4" s="380">
        <v>32245.619069523007</v>
      </c>
      <c r="AX4" s="380">
        <v>35684.70245863789</v>
      </c>
      <c r="AY4" s="380">
        <v>39729.847125147098</v>
      </c>
      <c r="AZ4" s="380">
        <v>40952.16644234657</v>
      </c>
      <c r="BA4" s="380">
        <v>43265.008516764698</v>
      </c>
      <c r="BB4" s="380">
        <v>47988.175639430039</v>
      </c>
      <c r="BC4" s="380">
        <v>50433.177687914897</v>
      </c>
      <c r="BD4" s="380">
        <v>39526.941750297483</v>
      </c>
      <c r="BE4" s="380">
        <v>30706.727022092222</v>
      </c>
      <c r="BF4" s="380">
        <v>31116.496307792124</v>
      </c>
      <c r="BG4" s="380">
        <v>35009.966798561858</v>
      </c>
      <c r="BH4" s="380">
        <v>37788.034281404027</v>
      </c>
      <c r="BI4" s="380">
        <v>38867.056236388496</v>
      </c>
      <c r="BJ4" s="380">
        <v>38678.266268318395</v>
      </c>
      <c r="BK4" s="380">
        <v>30138.909034848981</v>
      </c>
      <c r="BL4" s="380">
        <v>25548.609383721534</v>
      </c>
      <c r="BM4" s="380">
        <v>26760.845915432019</v>
      </c>
      <c r="BN4" s="380">
        <v>26872.996097798805</v>
      </c>
      <c r="BO4" s="380">
        <v>32318.693176917925</v>
      </c>
      <c r="BP4" s="380">
        <v>33253.389942674119</v>
      </c>
      <c r="BQ4" s="380">
        <v>33880.879188109247</v>
      </c>
      <c r="BR4" s="380">
        <v>44015.264630194491</v>
      </c>
      <c r="BS4" s="380">
        <v>40776.774414982094</v>
      </c>
      <c r="BT4" s="380">
        <v>37265.269327664537</v>
      </c>
      <c r="BU4" s="380">
        <v>19125.668604651164</v>
      </c>
      <c r="BV4" s="380">
        <v>26903.941500000001</v>
      </c>
      <c r="BW4" s="380">
        <v>26159.661614028053</v>
      </c>
      <c r="BX4" s="380">
        <v>26674.737698603414</v>
      </c>
      <c r="BY4" s="380">
        <v>26951.072804257299</v>
      </c>
      <c r="BZ4" s="380">
        <v>27292.749632570878</v>
      </c>
      <c r="CA4" s="380">
        <v>29207.059319259082</v>
      </c>
      <c r="CB4" s="380">
        <v>34185.03825123742</v>
      </c>
      <c r="CC4" s="380">
        <v>35409.408776058146</v>
      </c>
      <c r="CD4" s="380">
        <v>40548.590675430503</v>
      </c>
      <c r="CE4" s="380">
        <v>44551.491526971819</v>
      </c>
      <c r="CF4" s="380">
        <v>45328.551547510528</v>
      </c>
      <c r="CG4" s="380">
        <v>41304.84915769448</v>
      </c>
      <c r="CH4" s="380">
        <v>36449.953636561011</v>
      </c>
      <c r="CI4" s="380">
        <v>40423.343654069329</v>
      </c>
      <c r="CJ4" s="380">
        <v>48277.23010084885</v>
      </c>
      <c r="CK4" s="380">
        <v>50779.51102849115</v>
      </c>
      <c r="CL4" s="438">
        <v>51112.515377978409</v>
      </c>
      <c r="CM4" s="356">
        <f t="shared" si="0"/>
        <v>33497.454231311982</v>
      </c>
      <c r="CN4" s="856" t="s">
        <v>201</v>
      </c>
      <c r="CO4" s="857">
        <f>'Cracker Yields'!B15</f>
        <v>0.98795180722891562</v>
      </c>
      <c r="CP4" s="857">
        <f>'Cracker Yields'!C15</f>
        <v>0.65714285714285725</v>
      </c>
      <c r="CQ4" s="857">
        <f>'Cracker Yields'!D15</f>
        <v>0.57894736842105254</v>
      </c>
      <c r="CR4" s="857">
        <f>'Cracker Yields'!E15</f>
        <v>0.62378167641325533</v>
      </c>
      <c r="CS4" s="856"/>
      <c r="CT4" s="856"/>
      <c r="CU4" s="856"/>
      <c r="CV4" s="856"/>
      <c r="CW4" s="856"/>
      <c r="DB4" s="856"/>
      <c r="DC4" s="856"/>
      <c r="DD4" s="856"/>
      <c r="DE4" s="856"/>
      <c r="DF4" s="856"/>
      <c r="DG4" s="856"/>
      <c r="DH4" s="856"/>
      <c r="DI4" s="856"/>
      <c r="DJ4" s="856"/>
      <c r="DK4" s="856"/>
      <c r="DL4" s="856"/>
      <c r="DM4" s="856"/>
      <c r="DN4" s="856"/>
      <c r="DO4" s="856"/>
      <c r="DP4" s="856"/>
      <c r="DQ4" s="856"/>
      <c r="DR4" s="856"/>
      <c r="DS4" s="856"/>
      <c r="DT4" s="856"/>
      <c r="DU4" s="856"/>
      <c r="DV4" s="856"/>
      <c r="DW4" s="856"/>
      <c r="DX4" s="856"/>
      <c r="DY4" s="856"/>
      <c r="DZ4" s="856"/>
      <c r="EA4" s="856"/>
      <c r="EB4" s="856"/>
      <c r="EC4" s="347"/>
      <c r="ED4" s="347"/>
      <c r="EE4" s="347"/>
      <c r="EF4" s="347"/>
      <c r="EG4" s="347"/>
      <c r="EH4" s="347"/>
      <c r="EI4" s="347"/>
      <c r="EJ4" s="347"/>
      <c r="EK4" s="347"/>
      <c r="EL4" s="347"/>
      <c r="EM4" s="347"/>
      <c r="EN4" s="347"/>
      <c r="EO4" s="347"/>
      <c r="EP4" s="347"/>
      <c r="EQ4" s="347"/>
      <c r="ER4" s="347"/>
      <c r="ES4" s="347"/>
      <c r="ET4" s="347"/>
      <c r="EU4" s="347"/>
      <c r="EV4" s="347"/>
      <c r="EW4" s="347"/>
      <c r="EX4" s="347"/>
      <c r="EY4" s="347"/>
      <c r="EZ4" s="347"/>
      <c r="FA4" s="347"/>
      <c r="FB4" s="347"/>
      <c r="FC4" s="347"/>
      <c r="FD4" s="347"/>
      <c r="FE4" s="347"/>
      <c r="FF4" s="347"/>
      <c r="FG4" s="347"/>
      <c r="FH4" s="347"/>
      <c r="FI4" s="347"/>
      <c r="FJ4" s="347"/>
      <c r="FK4" s="347"/>
      <c r="FL4" s="347"/>
      <c r="FM4" s="347"/>
      <c r="FN4" s="347"/>
      <c r="FO4" s="347"/>
      <c r="FP4" s="347"/>
      <c r="FQ4" s="347"/>
      <c r="FR4" s="347"/>
      <c r="FS4" s="347"/>
      <c r="FT4" s="347"/>
      <c r="FU4" s="347"/>
      <c r="FV4" s="347"/>
    </row>
    <row r="5" spans="1:178">
      <c r="A5" s="1394"/>
      <c r="B5" s="811" t="s">
        <v>400</v>
      </c>
      <c r="C5" s="581" t="s">
        <v>151</v>
      </c>
      <c r="D5" s="581"/>
      <c r="E5" s="347" t="s">
        <v>464</v>
      </c>
      <c r="F5" s="854" t="s">
        <v>1</v>
      </c>
      <c r="G5" s="438">
        <v>43594.392205285505</v>
      </c>
      <c r="H5" s="438">
        <v>39155.71514383961</v>
      </c>
      <c r="I5" s="438">
        <v>31205.187507289709</v>
      </c>
      <c r="J5" s="438">
        <v>24530.374962746326</v>
      </c>
      <c r="K5" s="438">
        <v>31352.703420095273</v>
      </c>
      <c r="L5" s="438">
        <v>31350.293727642711</v>
      </c>
      <c r="M5" s="438">
        <v>33094.659602829219</v>
      </c>
      <c r="N5" s="438">
        <v>35158.672597905686</v>
      </c>
      <c r="O5" s="438">
        <v>34178.670799784159</v>
      </c>
      <c r="P5" s="438">
        <v>29308.307533372776</v>
      </c>
      <c r="Q5" s="438">
        <v>26022.390122372584</v>
      </c>
      <c r="R5" s="438">
        <v>27712.104898688573</v>
      </c>
      <c r="S5" s="380">
        <v>28827.768659630921</v>
      </c>
      <c r="T5" s="380">
        <v>29094.822387737178</v>
      </c>
      <c r="U5" s="380">
        <v>26886.890867817812</v>
      </c>
      <c r="V5" s="380">
        <v>21844.688734059589</v>
      </c>
      <c r="W5" s="380">
        <v>20767.831879834364</v>
      </c>
      <c r="X5" s="380">
        <v>23223.822731382257</v>
      </c>
      <c r="Y5" s="380">
        <v>25372.805842741865</v>
      </c>
      <c r="Z5" s="380">
        <v>26624.27529594041</v>
      </c>
      <c r="AA5" s="380">
        <v>27599.202635587018</v>
      </c>
      <c r="AB5" s="380">
        <v>25101.411610800744</v>
      </c>
      <c r="AC5" s="380">
        <v>23865.305619197563</v>
      </c>
      <c r="AD5" s="380">
        <v>25533.347040363133</v>
      </c>
      <c r="AE5" s="380">
        <v>28633.233483942542</v>
      </c>
      <c r="AF5" s="380">
        <v>28608.40859486203</v>
      </c>
      <c r="AG5" s="380">
        <v>31423.081014416508</v>
      </c>
      <c r="AH5" s="380">
        <v>33914.908548845437</v>
      </c>
      <c r="AI5" s="380">
        <v>33944.517480330542</v>
      </c>
      <c r="AJ5" s="380">
        <v>29934.513944832401</v>
      </c>
      <c r="AK5" s="380">
        <v>30263.247825943356</v>
      </c>
      <c r="AL5" s="380">
        <v>28162.492473324022</v>
      </c>
      <c r="AM5" s="380">
        <v>26015.045947426181</v>
      </c>
      <c r="AN5" s="380">
        <v>26552.640491329257</v>
      </c>
      <c r="AO5" s="380">
        <v>28979.883784958522</v>
      </c>
      <c r="AP5" s="380">
        <v>32001.883054003727</v>
      </c>
      <c r="AQ5" s="380">
        <v>33715.766689119446</v>
      </c>
      <c r="AR5" s="380">
        <v>37600.895811939226</v>
      </c>
      <c r="AS5" s="380">
        <v>37410.707013780266</v>
      </c>
      <c r="AT5" s="561">
        <v>38006.59911477907</v>
      </c>
      <c r="AU5" s="380">
        <v>35544.33801215329</v>
      </c>
      <c r="AV5" s="380">
        <v>36698.479734370841</v>
      </c>
      <c r="AW5" s="380">
        <v>39387.568778159082</v>
      </c>
      <c r="AX5" s="380">
        <v>45018.079532289179</v>
      </c>
      <c r="AY5" s="380">
        <v>43028.399502793298</v>
      </c>
      <c r="AZ5" s="380">
        <v>44469.722398611812</v>
      </c>
      <c r="BA5" s="380">
        <v>45208.880685986958</v>
      </c>
      <c r="BB5" s="380">
        <v>48900.795197951578</v>
      </c>
      <c r="BC5" s="380">
        <v>49248.348533003395</v>
      </c>
      <c r="BD5" s="380">
        <v>36390.610603906178</v>
      </c>
      <c r="BE5" s="380">
        <v>32298.231716110076</v>
      </c>
      <c r="BF5" s="380">
        <v>32477.922407804301</v>
      </c>
      <c r="BG5" s="380">
        <v>35968.6655190358</v>
      </c>
      <c r="BH5" s="380">
        <v>37420.394962756058</v>
      </c>
      <c r="BI5" s="380">
        <v>39761.393729954776</v>
      </c>
      <c r="BJ5" s="380">
        <v>37690.985872173456</v>
      </c>
      <c r="BK5" s="380">
        <v>32175.430638269136</v>
      </c>
      <c r="BL5" s="380">
        <v>34553.474162011174</v>
      </c>
      <c r="BM5" s="380">
        <v>32251.974103701115</v>
      </c>
      <c r="BN5" s="380">
        <v>34452.579117763591</v>
      </c>
      <c r="BO5" s="380">
        <v>35126.200365523953</v>
      </c>
      <c r="BP5" s="380">
        <v>37523.099022698858</v>
      </c>
      <c r="BQ5" s="380">
        <v>39489.793487778654</v>
      </c>
      <c r="BR5" s="380">
        <v>38263.868255821581</v>
      </c>
      <c r="BS5" s="380">
        <v>33740.757723277464</v>
      </c>
      <c r="BT5" s="380">
        <v>19295.665822820381</v>
      </c>
      <c r="BU5" s="380">
        <v>8802.9007079719777</v>
      </c>
      <c r="BV5" s="380">
        <v>15546.581378150215</v>
      </c>
      <c r="BW5" s="380">
        <v>26682.305328165734</v>
      </c>
      <c r="BX5" s="380">
        <v>29337.828493109868</v>
      </c>
      <c r="BY5" s="380">
        <v>28671.953432839851</v>
      </c>
      <c r="BZ5" s="380">
        <v>28530.002731640419</v>
      </c>
      <c r="CA5" s="380">
        <v>28137.277504507365</v>
      </c>
      <c r="CB5" s="380">
        <v>27512.544130912476</v>
      </c>
      <c r="CC5" s="380">
        <v>31825.411403072623</v>
      </c>
      <c r="CD5" s="380">
        <v>37200.9067942365</v>
      </c>
      <c r="CE5" s="380">
        <v>40976.616123027539</v>
      </c>
      <c r="CF5" s="380">
        <v>42731.091001329856</v>
      </c>
      <c r="CG5" s="380">
        <v>41789.7323782655</v>
      </c>
      <c r="CH5" s="380">
        <v>43571.05361252377</v>
      </c>
      <c r="CI5" s="380">
        <v>47199.02071780515</v>
      </c>
      <c r="CJ5" s="380">
        <v>50700.253673233121</v>
      </c>
      <c r="CK5" s="380">
        <v>47231.266030614519</v>
      </c>
      <c r="CL5" s="438">
        <v>49846.774540043589</v>
      </c>
      <c r="CM5" s="356">
        <f t="shared" si="0"/>
        <v>33324.436321058973</v>
      </c>
      <c r="CN5" s="856" t="s">
        <v>202</v>
      </c>
      <c r="CO5" s="857">
        <f>'Cracker Yields'!B16</f>
        <v>1.2048192771084376E-2</v>
      </c>
      <c r="CP5" s="857">
        <f>'Cracker Yields'!C16</f>
        <v>0.34285714285714275</v>
      </c>
      <c r="CQ5" s="857">
        <f>'Cracker Yields'!D16</f>
        <v>0.42105263157894746</v>
      </c>
      <c r="CR5" s="857">
        <f>'Cracker Yields'!E16</f>
        <v>0.37621832358674467</v>
      </c>
      <c r="CS5" s="856"/>
      <c r="CT5" s="856"/>
      <c r="CU5" s="856"/>
      <c r="CV5" s="856"/>
      <c r="CW5" s="856"/>
      <c r="DB5" s="856"/>
      <c r="DC5" s="856"/>
      <c r="DD5" s="856"/>
      <c r="DE5" s="856"/>
      <c r="DF5" s="856"/>
      <c r="DG5" s="856"/>
      <c r="DH5" s="856"/>
      <c r="DI5" s="856"/>
      <c r="DJ5" s="856"/>
      <c r="DK5" s="856"/>
      <c r="DL5" s="856"/>
      <c r="DM5" s="856"/>
      <c r="DN5" s="856"/>
      <c r="DO5" s="856"/>
      <c r="DP5" s="856"/>
      <c r="DQ5" s="856"/>
      <c r="DR5" s="856"/>
      <c r="DS5" s="856"/>
      <c r="DT5" s="856"/>
      <c r="DU5" s="856"/>
      <c r="DV5" s="856"/>
      <c r="DW5" s="856"/>
      <c r="DX5" s="856"/>
      <c r="DY5" s="856"/>
      <c r="DZ5" s="856"/>
      <c r="EA5" s="856"/>
      <c r="EB5" s="856"/>
      <c r="EC5" s="858">
        <v>52.32</v>
      </c>
      <c r="ED5" s="856"/>
      <c r="EE5" s="856"/>
      <c r="EF5" s="856"/>
      <c r="EG5" s="347"/>
      <c r="EH5" s="347"/>
      <c r="EI5" s="347"/>
      <c r="EJ5" s="347"/>
      <c r="EK5" s="347"/>
      <c r="EL5" s="347"/>
      <c r="EM5" s="347"/>
      <c r="EN5" s="347"/>
      <c r="EO5" s="347"/>
      <c r="EP5" s="347"/>
      <c r="EQ5" s="347"/>
      <c r="ER5" s="347"/>
      <c r="ES5" s="347"/>
      <c r="ET5" s="347"/>
      <c r="EU5" s="347"/>
      <c r="EV5" s="347"/>
      <c r="EW5" s="347"/>
      <c r="EX5" s="347"/>
      <c r="EY5" s="347"/>
      <c r="EZ5" s="347"/>
      <c r="FA5" s="347"/>
      <c r="FB5" s="347"/>
      <c r="FC5" s="347"/>
      <c r="FD5" s="347"/>
      <c r="FE5" s="347"/>
      <c r="FF5" s="347"/>
      <c r="FG5" s="347"/>
      <c r="FH5" s="347"/>
      <c r="FI5" s="347"/>
      <c r="FJ5" s="347"/>
      <c r="FK5" s="347"/>
      <c r="FL5" s="347"/>
      <c r="FM5" s="347"/>
      <c r="FN5" s="347"/>
      <c r="FO5" s="347"/>
      <c r="FP5" s="347"/>
      <c r="FQ5" s="347"/>
      <c r="FR5" s="347"/>
      <c r="FS5" s="347"/>
      <c r="FT5" s="347"/>
      <c r="FU5" s="347"/>
      <c r="FV5" s="347"/>
    </row>
    <row r="6" spans="1:178">
      <c r="A6" s="1395"/>
      <c r="B6" s="859" t="s">
        <v>399</v>
      </c>
      <c r="C6" s="860" t="s">
        <v>397</v>
      </c>
      <c r="D6" s="860"/>
      <c r="E6" s="861" t="s">
        <v>464</v>
      </c>
      <c r="F6" s="862" t="s">
        <v>443</v>
      </c>
      <c r="G6" s="862">
        <v>690</v>
      </c>
      <c r="H6" s="862">
        <v>680</v>
      </c>
      <c r="I6" s="862">
        <v>640</v>
      </c>
      <c r="J6" s="862">
        <v>620</v>
      </c>
      <c r="K6" s="862">
        <v>595</v>
      </c>
      <c r="L6" s="862">
        <v>614</v>
      </c>
      <c r="M6" s="862">
        <v>602</v>
      </c>
      <c r="N6" s="862">
        <v>591</v>
      </c>
      <c r="O6" s="862">
        <v>582</v>
      </c>
      <c r="P6" s="862">
        <v>564</v>
      </c>
      <c r="Q6" s="862">
        <v>577</v>
      </c>
      <c r="R6" s="862">
        <v>544</v>
      </c>
      <c r="S6" s="356">
        <v>549</v>
      </c>
      <c r="T6" s="863">
        <v>562</v>
      </c>
      <c r="U6" s="863">
        <v>575</v>
      </c>
      <c r="V6" s="356">
        <v>588</v>
      </c>
      <c r="W6" s="863">
        <v>600</v>
      </c>
      <c r="X6" s="863">
        <v>614</v>
      </c>
      <c r="Y6" s="863">
        <v>628</v>
      </c>
      <c r="Z6" s="863">
        <v>638</v>
      </c>
      <c r="AA6" s="863">
        <v>651</v>
      </c>
      <c r="AB6" s="863">
        <v>664</v>
      </c>
      <c r="AC6" s="863">
        <v>677</v>
      </c>
      <c r="AD6" s="356">
        <v>689</v>
      </c>
      <c r="AE6" s="863">
        <v>602</v>
      </c>
      <c r="AF6" s="863">
        <v>615</v>
      </c>
      <c r="AG6" s="863">
        <v>628</v>
      </c>
      <c r="AH6" s="356">
        <v>640</v>
      </c>
      <c r="AI6" s="863">
        <v>654</v>
      </c>
      <c r="AJ6" s="863">
        <v>644</v>
      </c>
      <c r="AK6" s="863">
        <v>679</v>
      </c>
      <c r="AL6" s="863">
        <v>691</v>
      </c>
      <c r="AM6" s="863">
        <v>704</v>
      </c>
      <c r="AN6" s="863">
        <v>717</v>
      </c>
      <c r="AO6" s="863">
        <v>629.54360858123698</v>
      </c>
      <c r="AP6" s="863">
        <v>642.28255936563301</v>
      </c>
      <c r="AQ6" s="863">
        <v>655.02151015003005</v>
      </c>
      <c r="AR6" s="863">
        <v>667.76046093442596</v>
      </c>
      <c r="AS6" s="863">
        <v>680.49941171882301</v>
      </c>
      <c r="AT6" s="863">
        <v>693.23836250321904</v>
      </c>
      <c r="AU6" s="863">
        <v>725</v>
      </c>
      <c r="AV6" s="863">
        <v>731</v>
      </c>
      <c r="AW6" s="863">
        <v>683.35192411641094</v>
      </c>
      <c r="AX6" s="863">
        <v>727.45879248730159</v>
      </c>
      <c r="AY6" s="863">
        <v>790.46535767833188</v>
      </c>
      <c r="AZ6" s="863">
        <v>835.82228336641663</v>
      </c>
      <c r="BA6" s="863">
        <v>855.64779771974872</v>
      </c>
      <c r="BB6" s="863">
        <v>831.01152604586082</v>
      </c>
      <c r="BC6" s="863">
        <v>894.32305357357711</v>
      </c>
      <c r="BD6" s="863">
        <v>848.00352710543211</v>
      </c>
      <c r="BE6" s="863">
        <v>762.53950609685091</v>
      </c>
      <c r="BF6" s="863">
        <v>747.97322905859232</v>
      </c>
      <c r="BG6" s="863">
        <v>816.24945468112071</v>
      </c>
      <c r="BH6" s="863">
        <v>713.84568622483982</v>
      </c>
      <c r="BI6" s="863">
        <v>547.77</v>
      </c>
      <c r="BJ6" s="863">
        <v>505.25</v>
      </c>
      <c r="BK6" s="863">
        <v>522.21</v>
      </c>
      <c r="BL6" s="863">
        <v>559.08000000000004</v>
      </c>
      <c r="BM6" s="863">
        <v>496.47</v>
      </c>
      <c r="BN6" s="863">
        <v>463.19</v>
      </c>
      <c r="BO6" s="863">
        <v>620.35</v>
      </c>
      <c r="BP6" s="863">
        <v>540.62</v>
      </c>
      <c r="BQ6" s="863">
        <v>605.28</v>
      </c>
      <c r="BR6" s="863">
        <v>485.79</v>
      </c>
      <c r="BS6" s="863">
        <v>478.65</v>
      </c>
      <c r="BT6" s="863">
        <v>313.06</v>
      </c>
      <c r="BU6" s="863">
        <v>546.95000000000005</v>
      </c>
      <c r="BV6" s="863">
        <v>498.46</v>
      </c>
      <c r="BW6" s="863">
        <v>285.66000000000003</v>
      </c>
      <c r="BX6" s="863">
        <v>264.85000000000002</v>
      </c>
      <c r="BY6" s="863">
        <v>334.58</v>
      </c>
      <c r="BZ6" s="863">
        <v>410.09</v>
      </c>
      <c r="CA6" s="863">
        <v>471.71</v>
      </c>
      <c r="CB6" s="863">
        <v>532.29999999999995</v>
      </c>
      <c r="CC6" s="863">
        <v>588.39</v>
      </c>
      <c r="CD6" s="863">
        <v>675.69</v>
      </c>
      <c r="CE6" s="863">
        <v>872.05</v>
      </c>
      <c r="CF6" s="863">
        <v>766.06</v>
      </c>
      <c r="CG6" s="863">
        <v>565.04999999999995</v>
      </c>
      <c r="CH6" s="863">
        <v>567.25</v>
      </c>
      <c r="CI6" s="863">
        <v>619.33000000000004</v>
      </c>
      <c r="CJ6" s="863">
        <v>708.17</v>
      </c>
      <c r="CK6" s="863">
        <v>868.98</v>
      </c>
      <c r="CL6" s="864">
        <v>938.53</v>
      </c>
      <c r="CM6" s="356">
        <f t="shared" si="0"/>
        <v>629.65307204056967</v>
      </c>
      <c r="CN6" s="347"/>
      <c r="CO6" s="347"/>
      <c r="CP6" s="347"/>
      <c r="CQ6" s="347"/>
      <c r="CR6" s="347"/>
      <c r="CS6" s="347"/>
      <c r="CT6" s="347"/>
      <c r="CU6" s="347"/>
      <c r="CV6" s="347"/>
      <c r="CW6" s="347"/>
      <c r="CX6" s="347"/>
      <c r="CY6" s="347"/>
      <c r="CZ6" s="347"/>
      <c r="DA6" s="347"/>
      <c r="DB6" s="347"/>
      <c r="DC6" s="347"/>
      <c r="DD6" s="347"/>
      <c r="DE6" s="347"/>
      <c r="DF6" s="347"/>
      <c r="DG6" s="347"/>
      <c r="DH6" s="347"/>
      <c r="DI6" s="347"/>
      <c r="DJ6" s="347"/>
      <c r="DK6" s="347"/>
      <c r="DL6" s="347"/>
      <c r="DM6" s="347"/>
      <c r="DN6" s="347"/>
      <c r="DO6" s="347"/>
      <c r="DP6" s="347"/>
      <c r="DQ6" s="347"/>
      <c r="DR6" s="347"/>
      <c r="DS6" s="347"/>
      <c r="DT6" s="347"/>
      <c r="DU6" s="347"/>
      <c r="DV6" s="347"/>
      <c r="DW6" s="347"/>
      <c r="DX6" s="347"/>
      <c r="DY6" s="347"/>
      <c r="DZ6" s="347"/>
      <c r="EA6" s="347"/>
      <c r="EB6" s="347"/>
      <c r="EC6" s="347"/>
      <c r="ED6" s="347"/>
      <c r="EE6" s="347"/>
      <c r="EF6" s="347"/>
      <c r="EG6" s="347"/>
      <c r="EH6" s="347"/>
      <c r="EI6" s="347"/>
      <c r="EJ6" s="347"/>
      <c r="EK6" s="347"/>
      <c r="EL6" s="347"/>
      <c r="EM6" s="347"/>
      <c r="EN6" s="347"/>
      <c r="EO6" s="347"/>
      <c r="EP6" s="347"/>
      <c r="EQ6" s="347"/>
      <c r="ER6" s="347"/>
      <c r="ES6" s="347"/>
      <c r="ET6" s="347"/>
      <c r="EU6" s="347"/>
      <c r="EV6" s="347"/>
      <c r="EW6" s="347"/>
      <c r="EX6" s="347"/>
      <c r="EY6" s="347"/>
      <c r="EZ6" s="347"/>
      <c r="FA6" s="347"/>
      <c r="FB6" s="347"/>
      <c r="FC6" s="347"/>
      <c r="FD6" s="347"/>
      <c r="FE6" s="347"/>
      <c r="FF6" s="347"/>
      <c r="FG6" s="347"/>
      <c r="FH6" s="347"/>
      <c r="FI6" s="347"/>
      <c r="FJ6" s="347"/>
      <c r="FK6" s="347"/>
      <c r="FL6" s="347"/>
      <c r="FM6" s="347"/>
      <c r="FN6" s="347"/>
      <c r="FO6" s="347"/>
      <c r="FP6" s="347"/>
      <c r="FQ6" s="347"/>
      <c r="FR6" s="347"/>
      <c r="FS6" s="347"/>
      <c r="FT6" s="347"/>
      <c r="FU6" s="347"/>
      <c r="FV6" s="347"/>
    </row>
    <row r="7" spans="1:178">
      <c r="A7" s="1400" t="s">
        <v>446</v>
      </c>
      <c r="B7" s="313" t="s">
        <v>399</v>
      </c>
      <c r="C7" s="583" t="s">
        <v>151</v>
      </c>
      <c r="D7" s="583"/>
      <c r="E7" s="601" t="s">
        <v>464</v>
      </c>
      <c r="F7" s="865" t="s">
        <v>142</v>
      </c>
      <c r="G7" s="1322">
        <v>56500</v>
      </c>
      <c r="H7" s="866">
        <v>56300</v>
      </c>
      <c r="I7" s="866">
        <v>56100</v>
      </c>
      <c r="J7" s="866">
        <v>55900</v>
      </c>
      <c r="K7" s="866">
        <v>55800</v>
      </c>
      <c r="L7" s="866">
        <v>55600</v>
      </c>
      <c r="M7" s="866">
        <v>55200</v>
      </c>
      <c r="N7" s="866">
        <v>57300</v>
      </c>
      <c r="O7" s="866">
        <v>54100</v>
      </c>
      <c r="P7" s="866">
        <v>55200</v>
      </c>
      <c r="Q7" s="866">
        <v>52300</v>
      </c>
      <c r="R7" s="866">
        <v>45600</v>
      </c>
      <c r="S7" s="866">
        <v>47020</v>
      </c>
      <c r="T7" s="866">
        <v>45750</v>
      </c>
      <c r="U7" s="866">
        <v>46150</v>
      </c>
      <c r="V7" s="866">
        <v>45650</v>
      </c>
      <c r="W7" s="866">
        <v>36940</v>
      </c>
      <c r="X7" s="866">
        <v>36950</v>
      </c>
      <c r="Y7" s="866">
        <v>37390</v>
      </c>
      <c r="Z7" s="866">
        <v>37950</v>
      </c>
      <c r="AA7" s="866">
        <v>38680</v>
      </c>
      <c r="AB7" s="866">
        <v>39250</v>
      </c>
      <c r="AC7" s="866">
        <v>39610</v>
      </c>
      <c r="AD7" s="866">
        <v>39920</v>
      </c>
      <c r="AE7" s="866">
        <v>39990</v>
      </c>
      <c r="AF7" s="866">
        <v>40250</v>
      </c>
      <c r="AG7" s="866">
        <v>41270</v>
      </c>
      <c r="AH7" s="866">
        <v>42350</v>
      </c>
      <c r="AI7" s="866">
        <v>57680</v>
      </c>
      <c r="AJ7" s="866">
        <v>60070</v>
      </c>
      <c r="AK7" s="866">
        <v>58600</v>
      </c>
      <c r="AL7" s="866">
        <v>56250</v>
      </c>
      <c r="AM7" s="866">
        <v>54760</v>
      </c>
      <c r="AN7" s="866">
        <v>53400</v>
      </c>
      <c r="AO7" s="866">
        <v>52470</v>
      </c>
      <c r="AP7" s="866">
        <v>51630</v>
      </c>
      <c r="AQ7" s="866">
        <v>52140</v>
      </c>
      <c r="AR7" s="866">
        <v>52030</v>
      </c>
      <c r="AS7" s="866">
        <v>51990</v>
      </c>
      <c r="AT7" s="866">
        <v>57152</v>
      </c>
      <c r="AU7" s="866">
        <v>58526</v>
      </c>
      <c r="AV7" s="866">
        <v>58277</v>
      </c>
      <c r="AW7" s="866">
        <v>55909</v>
      </c>
      <c r="AX7" s="866">
        <v>55303</v>
      </c>
      <c r="AY7" s="866">
        <v>58424</v>
      </c>
      <c r="AZ7" s="866">
        <v>56706</v>
      </c>
      <c r="BA7" s="866">
        <v>57565</v>
      </c>
      <c r="BB7" s="866">
        <v>61481</v>
      </c>
      <c r="BC7" s="866">
        <v>61877</v>
      </c>
      <c r="BD7" s="866">
        <v>61367</v>
      </c>
      <c r="BE7" s="866">
        <v>49658</v>
      </c>
      <c r="BF7" s="866">
        <v>41296</v>
      </c>
      <c r="BG7" s="866">
        <v>39412</v>
      </c>
      <c r="BH7" s="866">
        <v>42670</v>
      </c>
      <c r="BI7" s="866">
        <v>42621</v>
      </c>
      <c r="BJ7" s="866">
        <v>43930</v>
      </c>
      <c r="BK7" s="866">
        <v>44300</v>
      </c>
      <c r="BL7" s="866">
        <v>44000</v>
      </c>
      <c r="BM7" s="866">
        <v>46900</v>
      </c>
      <c r="BN7" s="866">
        <v>48100</v>
      </c>
      <c r="BO7" s="866">
        <v>52100</v>
      </c>
      <c r="BP7" s="866">
        <v>48600</v>
      </c>
      <c r="BQ7" s="866">
        <v>47000</v>
      </c>
      <c r="BR7" s="866">
        <v>52400</v>
      </c>
      <c r="BS7" s="866">
        <v>52900</v>
      </c>
      <c r="BT7" s="866">
        <v>48400</v>
      </c>
      <c r="BU7" s="866">
        <v>37400</v>
      </c>
      <c r="BV7" s="866">
        <v>24900</v>
      </c>
      <c r="BW7" s="866">
        <v>30300</v>
      </c>
      <c r="BX7" s="866">
        <v>33900</v>
      </c>
      <c r="BY7" s="866">
        <v>33100</v>
      </c>
      <c r="BZ7" s="866">
        <v>34400</v>
      </c>
      <c r="CA7" s="866">
        <v>32600</v>
      </c>
      <c r="CB7" s="866">
        <v>32500</v>
      </c>
      <c r="CC7" s="866">
        <v>40800</v>
      </c>
      <c r="CD7" s="866">
        <v>47900</v>
      </c>
      <c r="CE7" s="866">
        <v>48900</v>
      </c>
      <c r="CF7" s="866">
        <v>57200</v>
      </c>
      <c r="CG7" s="866">
        <v>62200</v>
      </c>
      <c r="CH7" s="866">
        <v>70100</v>
      </c>
      <c r="CI7" s="866">
        <v>75100</v>
      </c>
      <c r="CJ7" s="866">
        <v>71430</v>
      </c>
      <c r="CK7" s="866">
        <v>78990</v>
      </c>
      <c r="CL7" s="866">
        <v>72940</v>
      </c>
      <c r="CM7" s="866">
        <f t="shared" si="0"/>
        <v>49804.452380952382</v>
      </c>
      <c r="CN7" s="347"/>
      <c r="CO7" s="347"/>
      <c r="CP7" s="347"/>
      <c r="CQ7" s="347"/>
      <c r="CR7" s="347"/>
      <c r="CS7" s="347"/>
      <c r="CT7" s="347"/>
      <c r="CU7" s="347"/>
      <c r="CV7" s="347"/>
      <c r="CW7" s="347"/>
      <c r="CX7" s="347"/>
      <c r="CY7" s="347"/>
      <c r="CZ7" s="347"/>
      <c r="DA7" s="347"/>
      <c r="DB7" s="347"/>
      <c r="DC7" s="347"/>
      <c r="DD7" s="347"/>
      <c r="DE7" s="347"/>
      <c r="DF7" s="347"/>
      <c r="DG7" s="347"/>
      <c r="DH7" s="347"/>
      <c r="DI7" s="347"/>
      <c r="DJ7" s="347"/>
      <c r="DK7" s="347"/>
      <c r="DL7" s="347"/>
      <c r="DM7" s="347"/>
      <c r="DN7" s="347"/>
      <c r="DO7" s="347"/>
      <c r="DP7" s="347"/>
      <c r="DQ7" s="347"/>
      <c r="DR7" s="347"/>
      <c r="DS7" s="347"/>
      <c r="DT7" s="347"/>
      <c r="DU7" s="347"/>
      <c r="DV7" s="347"/>
      <c r="DW7" s="347"/>
      <c r="DX7" s="347"/>
      <c r="DY7" s="347"/>
      <c r="DZ7" s="347"/>
      <c r="EA7" s="347"/>
      <c r="EB7" s="347"/>
      <c r="EC7" s="347"/>
      <c r="ED7" s="347"/>
      <c r="EE7" s="347"/>
      <c r="EF7" s="347"/>
      <c r="EG7" s="347"/>
      <c r="EH7" s="347"/>
      <c r="EI7" s="347"/>
      <c r="EJ7" s="347"/>
      <c r="EK7" s="347"/>
      <c r="EL7" s="347"/>
      <c r="EM7" s="347"/>
      <c r="EN7" s="347"/>
      <c r="EO7" s="347"/>
      <c r="EP7" s="347"/>
      <c r="EQ7" s="347"/>
      <c r="ER7" s="347"/>
      <c r="ES7" s="347"/>
      <c r="ET7" s="347"/>
      <c r="EU7" s="347"/>
      <c r="EV7" s="347"/>
      <c r="EW7" s="347"/>
      <c r="EX7" s="347"/>
      <c r="EY7" s="347"/>
      <c r="EZ7" s="347"/>
      <c r="FA7" s="347"/>
      <c r="FB7" s="347"/>
      <c r="FC7" s="347"/>
      <c r="FD7" s="347"/>
      <c r="FE7" s="347"/>
      <c r="FF7" s="347"/>
      <c r="FG7" s="347"/>
      <c r="FH7" s="347"/>
      <c r="FI7" s="347"/>
      <c r="FJ7" s="347"/>
      <c r="FK7" s="347"/>
      <c r="FL7" s="347"/>
      <c r="FM7" s="347"/>
      <c r="FN7" s="347"/>
      <c r="FO7" s="347"/>
      <c r="FP7" s="347"/>
      <c r="FQ7" s="347"/>
      <c r="FR7" s="347"/>
      <c r="FS7" s="347"/>
      <c r="FT7" s="347"/>
      <c r="FU7" s="347"/>
      <c r="FV7" s="347"/>
    </row>
    <row r="8" spans="1:178">
      <c r="A8" s="1404"/>
      <c r="B8" s="811" t="s">
        <v>399</v>
      </c>
      <c r="C8" s="581" t="s">
        <v>151</v>
      </c>
      <c r="D8" s="581"/>
      <c r="E8" s="812" t="s">
        <v>464</v>
      </c>
      <c r="F8" s="867" t="s">
        <v>499</v>
      </c>
      <c r="G8" s="1323">
        <v>78900</v>
      </c>
      <c r="H8" s="868">
        <v>75500</v>
      </c>
      <c r="I8" s="868">
        <v>76300</v>
      </c>
      <c r="J8" s="868">
        <v>77300</v>
      </c>
      <c r="K8" s="868">
        <v>74500</v>
      </c>
      <c r="L8" s="868">
        <v>78800</v>
      </c>
      <c r="M8" s="868">
        <v>75500</v>
      </c>
      <c r="N8" s="868">
        <v>77200</v>
      </c>
      <c r="O8" s="868">
        <v>71900</v>
      </c>
      <c r="P8" s="868">
        <v>74600</v>
      </c>
      <c r="Q8" s="868">
        <v>72500</v>
      </c>
      <c r="R8" s="868">
        <v>70300</v>
      </c>
      <c r="S8" s="868">
        <v>69049</v>
      </c>
      <c r="T8" s="868">
        <v>68803</v>
      </c>
      <c r="U8" s="868">
        <v>60570</v>
      </c>
      <c r="V8" s="868">
        <v>69050</v>
      </c>
      <c r="W8" s="868">
        <v>64550</v>
      </c>
      <c r="X8" s="868">
        <v>64300</v>
      </c>
      <c r="Y8" s="868">
        <v>69051</v>
      </c>
      <c r="Z8" s="868">
        <v>64800</v>
      </c>
      <c r="AA8" s="868">
        <v>67700</v>
      </c>
      <c r="AB8" s="868">
        <v>69052</v>
      </c>
      <c r="AC8" s="868">
        <v>69405</v>
      </c>
      <c r="AD8" s="868">
        <v>63700</v>
      </c>
      <c r="AE8" s="868">
        <v>69053</v>
      </c>
      <c r="AF8" s="868">
        <v>62939</v>
      </c>
      <c r="AG8" s="868">
        <v>65350</v>
      </c>
      <c r="AH8" s="868">
        <v>69054</v>
      </c>
      <c r="AI8" s="868">
        <v>63700</v>
      </c>
      <c r="AJ8" s="868">
        <v>61750</v>
      </c>
      <c r="AK8" s="868">
        <v>69055</v>
      </c>
      <c r="AL8" s="868">
        <v>68800</v>
      </c>
      <c r="AM8" s="868">
        <v>63500</v>
      </c>
      <c r="AN8" s="868">
        <v>69056</v>
      </c>
      <c r="AO8" s="868">
        <v>64500</v>
      </c>
      <c r="AP8" s="868">
        <v>64580</v>
      </c>
      <c r="AQ8" s="868">
        <v>69057</v>
      </c>
      <c r="AR8" s="868">
        <v>62925</v>
      </c>
      <c r="AS8" s="868">
        <v>71158</v>
      </c>
      <c r="AT8" s="868">
        <v>69058</v>
      </c>
      <c r="AU8" s="868">
        <v>79391</v>
      </c>
      <c r="AV8" s="868">
        <v>87624</v>
      </c>
      <c r="AW8" s="868">
        <v>91678</v>
      </c>
      <c r="AX8" s="868">
        <v>90255</v>
      </c>
      <c r="AY8" s="868">
        <v>110428</v>
      </c>
      <c r="AZ8" s="868">
        <v>113142</v>
      </c>
      <c r="BA8" s="868">
        <v>109389</v>
      </c>
      <c r="BB8" s="868">
        <v>117818</v>
      </c>
      <c r="BC8" s="868">
        <v>104990</v>
      </c>
      <c r="BD8" s="868">
        <v>79612</v>
      </c>
      <c r="BE8" s="868">
        <v>76089</v>
      </c>
      <c r="BF8" s="868">
        <v>79660</v>
      </c>
      <c r="BG8" s="868">
        <v>80367</v>
      </c>
      <c r="BH8" s="868">
        <v>75404</v>
      </c>
      <c r="BI8" s="868">
        <v>71634</v>
      </c>
      <c r="BJ8" s="868">
        <v>63615</v>
      </c>
      <c r="BK8" s="868">
        <v>66900</v>
      </c>
      <c r="BL8" s="868">
        <v>74300</v>
      </c>
      <c r="BM8" s="868">
        <v>76800</v>
      </c>
      <c r="BN8" s="868">
        <v>85000</v>
      </c>
      <c r="BO8" s="868">
        <v>87600</v>
      </c>
      <c r="BP8" s="868">
        <v>81700</v>
      </c>
      <c r="BQ8" s="868">
        <v>62200</v>
      </c>
      <c r="BR8" s="868">
        <v>63400</v>
      </c>
      <c r="BS8" s="868">
        <v>65100</v>
      </c>
      <c r="BT8" s="868">
        <v>56000</v>
      </c>
      <c r="BU8" s="868">
        <v>50100</v>
      </c>
      <c r="BV8" s="868">
        <v>28400</v>
      </c>
      <c r="BW8" s="868">
        <v>21600</v>
      </c>
      <c r="BX8" s="868">
        <v>22700</v>
      </c>
      <c r="BY8" s="868">
        <v>28600</v>
      </c>
      <c r="BZ8" s="868">
        <v>40200</v>
      </c>
      <c r="CA8" s="868">
        <v>50700</v>
      </c>
      <c r="CB8" s="868">
        <v>66900</v>
      </c>
      <c r="CC8" s="868">
        <v>94800</v>
      </c>
      <c r="CD8" s="868">
        <v>86100</v>
      </c>
      <c r="CE8" s="868">
        <v>58900</v>
      </c>
      <c r="CF8" s="868">
        <v>57400</v>
      </c>
      <c r="CG8" s="868">
        <v>80900</v>
      </c>
      <c r="CH8" s="868">
        <v>72100</v>
      </c>
      <c r="CI8" s="868">
        <v>73600</v>
      </c>
      <c r="CJ8" s="868">
        <v>88040</v>
      </c>
      <c r="CK8" s="868">
        <v>107190</v>
      </c>
      <c r="CL8" s="868">
        <v>116560</v>
      </c>
      <c r="CM8" s="868">
        <f t="shared" si="0"/>
        <v>72163.702380952382</v>
      </c>
      <c r="CN8" s="347"/>
      <c r="CO8" s="347"/>
      <c r="CP8" s="347"/>
      <c r="CQ8" s="347"/>
      <c r="CR8" s="347"/>
      <c r="CS8" s="347"/>
      <c r="CT8" s="347"/>
      <c r="CU8" s="347"/>
      <c r="CV8" s="347"/>
      <c r="CW8" s="347"/>
      <c r="CX8" s="347"/>
      <c r="CY8" s="347"/>
      <c r="CZ8" s="347"/>
      <c r="DA8" s="347"/>
      <c r="DB8" s="347"/>
      <c r="DC8" s="347"/>
      <c r="DD8" s="347"/>
      <c r="DE8" s="347"/>
      <c r="DF8" s="347"/>
      <c r="DG8" s="347"/>
      <c r="DH8" s="347"/>
      <c r="DI8" s="347"/>
      <c r="DJ8" s="347"/>
      <c r="DK8" s="347"/>
      <c r="DL8" s="347"/>
      <c r="DM8" s="347"/>
      <c r="DN8" s="347"/>
      <c r="DO8" s="347"/>
      <c r="DP8" s="347"/>
      <c r="DQ8" s="347"/>
      <c r="DR8" s="347"/>
      <c r="DS8" s="347"/>
      <c r="DT8" s="347"/>
      <c r="DU8" s="347"/>
      <c r="DV8" s="347"/>
      <c r="DW8" s="347"/>
      <c r="DX8" s="347"/>
      <c r="DY8" s="347"/>
      <c r="DZ8" s="347"/>
      <c r="EA8" s="347"/>
      <c r="EB8" s="347"/>
      <c r="EC8" s="347"/>
      <c r="ED8" s="347"/>
      <c r="EE8" s="347"/>
      <c r="EF8" s="347"/>
      <c r="EG8" s="347"/>
      <c r="EH8" s="347"/>
      <c r="EI8" s="347"/>
      <c r="EJ8" s="347"/>
      <c r="EK8" s="347"/>
      <c r="EL8" s="347"/>
      <c r="EM8" s="347"/>
      <c r="EN8" s="347"/>
      <c r="EO8" s="347"/>
      <c r="EP8" s="347"/>
      <c r="EQ8" s="347"/>
      <c r="ER8" s="347"/>
      <c r="ES8" s="347"/>
      <c r="ET8" s="347"/>
      <c r="EU8" s="347"/>
      <c r="EV8" s="347"/>
      <c r="EW8" s="347"/>
      <c r="EX8" s="347"/>
      <c r="EY8" s="347"/>
      <c r="EZ8" s="347"/>
      <c r="FA8" s="347"/>
      <c r="FB8" s="347"/>
      <c r="FC8" s="347"/>
      <c r="FD8" s="347"/>
      <c r="FE8" s="347"/>
      <c r="FF8" s="347"/>
      <c r="FG8" s="347"/>
      <c r="FH8" s="347"/>
      <c r="FI8" s="347"/>
      <c r="FJ8" s="347"/>
      <c r="FK8" s="347"/>
      <c r="FL8" s="347"/>
      <c r="FM8" s="347"/>
      <c r="FN8" s="347"/>
      <c r="FO8" s="347"/>
      <c r="FP8" s="347"/>
      <c r="FQ8" s="347"/>
      <c r="FR8" s="347"/>
      <c r="FS8" s="347"/>
      <c r="FT8" s="347"/>
      <c r="FU8" s="347"/>
      <c r="FV8" s="347"/>
    </row>
    <row r="9" spans="1:178">
      <c r="A9" s="1404"/>
      <c r="B9" s="811" t="s">
        <v>399</v>
      </c>
      <c r="C9" s="581" t="s">
        <v>151</v>
      </c>
      <c r="D9" s="581"/>
      <c r="E9" s="812" t="s">
        <v>464</v>
      </c>
      <c r="F9" s="867" t="s">
        <v>141</v>
      </c>
      <c r="G9" s="1323">
        <v>24398.880000000001</v>
      </c>
      <c r="H9" s="868">
        <v>25035.784242424201</v>
      </c>
      <c r="I9" s="868">
        <v>25672.688484848499</v>
      </c>
      <c r="J9" s="868">
        <v>26309.592727272699</v>
      </c>
      <c r="K9" s="868">
        <v>26946.496969697</v>
      </c>
      <c r="L9" s="868">
        <v>27583.4012121212</v>
      </c>
      <c r="M9" s="868">
        <v>28220.305454545502</v>
      </c>
      <c r="N9" s="868">
        <v>28857.209696969701</v>
      </c>
      <c r="O9" s="868">
        <v>29494.113939393901</v>
      </c>
      <c r="P9" s="868">
        <v>30131.018181818199</v>
      </c>
      <c r="Q9" s="868">
        <v>30767.922424242399</v>
      </c>
      <c r="R9" s="868">
        <v>31404.8266666667</v>
      </c>
      <c r="S9" s="868">
        <v>31722.6</v>
      </c>
      <c r="T9" s="868">
        <v>32547.5</v>
      </c>
      <c r="U9" s="868">
        <v>34500</v>
      </c>
      <c r="V9" s="868">
        <v>33372.400000000001</v>
      </c>
      <c r="W9" s="868">
        <v>34197.300000000003</v>
      </c>
      <c r="X9" s="868">
        <v>35022.199999999997</v>
      </c>
      <c r="Y9" s="868">
        <v>35847.1</v>
      </c>
      <c r="Z9" s="868">
        <v>37700</v>
      </c>
      <c r="AA9" s="868">
        <v>36672</v>
      </c>
      <c r="AB9" s="868">
        <v>37496.9</v>
      </c>
      <c r="AC9" s="868">
        <v>38321.800000000003</v>
      </c>
      <c r="AD9" s="868">
        <v>39146.699999999997</v>
      </c>
      <c r="AE9" s="868">
        <v>35300</v>
      </c>
      <c r="AF9" s="868">
        <v>39971.599999999999</v>
      </c>
      <c r="AG9" s="868">
        <v>40796.5</v>
      </c>
      <c r="AH9" s="868">
        <v>41621.4</v>
      </c>
      <c r="AI9" s="868">
        <v>42446.3</v>
      </c>
      <c r="AJ9" s="868">
        <v>38276</v>
      </c>
      <c r="AK9" s="868">
        <v>40271.199999999997</v>
      </c>
      <c r="AL9" s="868">
        <v>40096.1</v>
      </c>
      <c r="AM9" s="868">
        <v>41921</v>
      </c>
      <c r="AN9" s="868">
        <v>40745.9</v>
      </c>
      <c r="AO9" s="868">
        <v>40250</v>
      </c>
      <c r="AP9" s="868">
        <v>41570.800000000003</v>
      </c>
      <c r="AQ9" s="868">
        <v>39395.699999999997</v>
      </c>
      <c r="AR9" s="868">
        <v>38220.6</v>
      </c>
      <c r="AS9" s="868">
        <v>39045.5</v>
      </c>
      <c r="AT9" s="868">
        <v>40278</v>
      </c>
      <c r="AU9" s="868">
        <v>40825</v>
      </c>
      <c r="AV9" s="868">
        <v>39651</v>
      </c>
      <c r="AW9" s="868">
        <v>40745</v>
      </c>
      <c r="AX9" s="868">
        <v>43210</v>
      </c>
      <c r="AY9" s="868">
        <v>49220</v>
      </c>
      <c r="AZ9" s="868">
        <v>47166</v>
      </c>
      <c r="BA9" s="868">
        <v>48765</v>
      </c>
      <c r="BB9" s="868">
        <v>49461</v>
      </c>
      <c r="BC9" s="868">
        <v>53775</v>
      </c>
      <c r="BD9" s="868">
        <v>54370</v>
      </c>
      <c r="BE9" s="868">
        <v>41640</v>
      </c>
      <c r="BF9" s="868">
        <v>37117</v>
      </c>
      <c r="BG9" s="868">
        <v>37203</v>
      </c>
      <c r="BH9" s="868">
        <v>40633</v>
      </c>
      <c r="BI9" s="868">
        <v>41946</v>
      </c>
      <c r="BJ9" s="868">
        <v>44260</v>
      </c>
      <c r="BK9" s="868">
        <v>46500</v>
      </c>
      <c r="BL9" s="868">
        <v>40900</v>
      </c>
      <c r="BM9" s="868">
        <v>43100</v>
      </c>
      <c r="BN9" s="868">
        <v>41200</v>
      </c>
      <c r="BO9" s="868">
        <v>43200</v>
      </c>
      <c r="BP9" s="868">
        <v>43200</v>
      </c>
      <c r="BQ9" s="868">
        <v>45400</v>
      </c>
      <c r="BR9" s="868">
        <v>48300</v>
      </c>
      <c r="BS9" s="868">
        <v>47500</v>
      </c>
      <c r="BT9" s="868">
        <v>43200</v>
      </c>
      <c r="BU9" s="868">
        <v>30300</v>
      </c>
      <c r="BV9" s="868">
        <v>20000</v>
      </c>
      <c r="BW9" s="868">
        <v>25600</v>
      </c>
      <c r="BX9" s="868">
        <v>36800</v>
      </c>
      <c r="BY9" s="868">
        <v>39400</v>
      </c>
      <c r="BZ9" s="868">
        <v>39300</v>
      </c>
      <c r="CA9" s="868">
        <v>38800</v>
      </c>
      <c r="CB9" s="868">
        <v>38500</v>
      </c>
      <c r="CC9" s="868">
        <v>34300</v>
      </c>
      <c r="CD9" s="868">
        <v>37200</v>
      </c>
      <c r="CE9" s="868">
        <v>42600</v>
      </c>
      <c r="CF9" s="868">
        <v>46400</v>
      </c>
      <c r="CG9" s="868">
        <v>47800</v>
      </c>
      <c r="CH9" s="868">
        <v>47000</v>
      </c>
      <c r="CI9" s="868">
        <v>49100</v>
      </c>
      <c r="CJ9" s="868">
        <v>52210</v>
      </c>
      <c r="CK9" s="868">
        <v>56230</v>
      </c>
      <c r="CL9" s="868">
        <v>53120</v>
      </c>
      <c r="CM9" s="868">
        <f t="shared" si="0"/>
        <v>39151.45642857143</v>
      </c>
      <c r="CN9" s="347"/>
      <c r="CO9" s="347"/>
      <c r="CP9" s="347"/>
      <c r="CQ9" s="347"/>
      <c r="CR9" s="347"/>
      <c r="CS9" s="347"/>
      <c r="CT9" s="347"/>
      <c r="CU9" s="347"/>
      <c r="CV9" s="347"/>
      <c r="CW9" s="347"/>
      <c r="CX9" s="347"/>
      <c r="CY9" s="347"/>
      <c r="CZ9" s="347"/>
      <c r="DA9" s="347"/>
      <c r="DB9" s="347"/>
      <c r="DC9" s="347"/>
      <c r="DD9" s="347"/>
      <c r="DE9" s="347"/>
      <c r="DF9" s="347"/>
      <c r="DG9" s="347"/>
      <c r="DH9" s="347"/>
      <c r="DI9" s="347"/>
      <c r="DJ9" s="347"/>
      <c r="DK9" s="347"/>
      <c r="DL9" s="347"/>
      <c r="DM9" s="347"/>
      <c r="DN9" s="347"/>
      <c r="DO9" s="347"/>
      <c r="DP9" s="347"/>
      <c r="DQ9" s="347"/>
      <c r="DR9" s="347"/>
      <c r="DS9" s="347"/>
      <c r="DT9" s="347"/>
      <c r="DU9" s="347"/>
      <c r="DV9" s="347"/>
      <c r="DW9" s="347"/>
      <c r="DX9" s="347"/>
      <c r="DY9" s="347"/>
      <c r="DZ9" s="347"/>
      <c r="EA9" s="347"/>
      <c r="EB9" s="347"/>
      <c r="EC9" s="347"/>
      <c r="ED9" s="347"/>
      <c r="EE9" s="347"/>
      <c r="EF9" s="347"/>
      <c r="EG9" s="347"/>
      <c r="EH9" s="347"/>
      <c r="EI9" s="347"/>
      <c r="EJ9" s="347"/>
      <c r="EK9" s="347"/>
      <c r="EL9" s="347"/>
      <c r="EM9" s="347"/>
      <c r="EN9" s="347"/>
      <c r="EO9" s="347"/>
      <c r="EP9" s="347"/>
      <c r="EQ9" s="347"/>
      <c r="ER9" s="347"/>
      <c r="ES9" s="347"/>
      <c r="ET9" s="347"/>
      <c r="EU9" s="347"/>
      <c r="EV9" s="347"/>
      <c r="EW9" s="347"/>
      <c r="EX9" s="347"/>
      <c r="EY9" s="347"/>
      <c r="EZ9" s="347"/>
      <c r="FA9" s="347"/>
      <c r="FB9" s="347"/>
      <c r="FC9" s="347"/>
      <c r="FD9" s="347"/>
      <c r="FE9" s="347"/>
      <c r="FF9" s="347"/>
      <c r="FG9" s="347"/>
      <c r="FH9" s="347"/>
      <c r="FI9" s="347"/>
      <c r="FJ9" s="347"/>
      <c r="FK9" s="347"/>
      <c r="FL9" s="347"/>
      <c r="FM9" s="347"/>
      <c r="FN9" s="347"/>
      <c r="FO9" s="347"/>
      <c r="FP9" s="347"/>
      <c r="FQ9" s="347"/>
      <c r="FR9" s="347"/>
      <c r="FS9" s="347"/>
      <c r="FT9" s="347"/>
      <c r="FU9" s="347"/>
      <c r="FV9" s="347"/>
    </row>
    <row r="10" spans="1:178">
      <c r="A10" s="1404"/>
      <c r="B10" s="811" t="s">
        <v>399</v>
      </c>
      <c r="C10" s="581" t="s">
        <v>151</v>
      </c>
      <c r="D10" s="581"/>
      <c r="E10" s="812" t="s">
        <v>464</v>
      </c>
      <c r="F10" s="867" t="s">
        <v>140</v>
      </c>
      <c r="G10" s="1323">
        <v>37759.000000000102</v>
      </c>
      <c r="H10" s="868">
        <v>36931.1292929294</v>
      </c>
      <c r="I10" s="868">
        <v>36103.258585858697</v>
      </c>
      <c r="J10" s="868">
        <v>35275.3878787879</v>
      </c>
      <c r="K10" s="868">
        <v>34447.517171717198</v>
      </c>
      <c r="L10" s="868">
        <v>33619.646464646503</v>
      </c>
      <c r="M10" s="868">
        <v>32791.775757575801</v>
      </c>
      <c r="N10" s="868">
        <v>31963.905050505098</v>
      </c>
      <c r="O10" s="868">
        <v>31136.034343434399</v>
      </c>
      <c r="P10" s="868">
        <v>30308.163636363701</v>
      </c>
      <c r="Q10" s="868">
        <v>29480.292929292998</v>
      </c>
      <c r="R10" s="868">
        <v>28652.422222222202</v>
      </c>
      <c r="S10" s="868">
        <v>31782.666666666701</v>
      </c>
      <c r="T10" s="868">
        <v>31356.666666666701</v>
      </c>
      <c r="U10" s="868">
        <v>22930</v>
      </c>
      <c r="V10" s="868">
        <v>22278</v>
      </c>
      <c r="W10" s="868">
        <v>20505</v>
      </c>
      <c r="X10" s="868">
        <v>21079</v>
      </c>
      <c r="Y10" s="868">
        <v>22653</v>
      </c>
      <c r="Z10" s="868">
        <v>22279</v>
      </c>
      <c r="AA10" s="868">
        <v>22327</v>
      </c>
      <c r="AB10" s="868">
        <v>23801</v>
      </c>
      <c r="AC10" s="868">
        <v>22740</v>
      </c>
      <c r="AD10" s="868">
        <v>22280</v>
      </c>
      <c r="AE10" s="868">
        <v>21799</v>
      </c>
      <c r="AF10" s="868">
        <v>21523</v>
      </c>
      <c r="AG10" s="868">
        <v>23055</v>
      </c>
      <c r="AH10" s="868">
        <v>22281</v>
      </c>
      <c r="AI10" s="868">
        <v>21450</v>
      </c>
      <c r="AJ10" s="868">
        <v>22640</v>
      </c>
      <c r="AK10" s="868">
        <v>25818.666666666701</v>
      </c>
      <c r="AL10" s="868">
        <v>22282</v>
      </c>
      <c r="AM10" s="868">
        <v>25392.666666666701</v>
      </c>
      <c r="AN10" s="868">
        <v>24966.666666666701</v>
      </c>
      <c r="AO10" s="868">
        <v>24540.666666666701</v>
      </c>
      <c r="AP10" s="868">
        <v>22283</v>
      </c>
      <c r="AQ10" s="868">
        <v>24114.666666666701</v>
      </c>
      <c r="AR10" s="868">
        <v>23688.666666666701</v>
      </c>
      <c r="AS10" s="868">
        <v>23262.666666666701</v>
      </c>
      <c r="AT10" s="868">
        <v>22284</v>
      </c>
      <c r="AU10" s="868">
        <v>23133</v>
      </c>
      <c r="AV10" s="868">
        <v>21818</v>
      </c>
      <c r="AW10" s="868">
        <v>22281</v>
      </c>
      <c r="AX10" s="868">
        <v>24177</v>
      </c>
      <c r="AY10" s="868">
        <v>28071</v>
      </c>
      <c r="AZ10" s="868">
        <v>28045</v>
      </c>
      <c r="BA10" s="868">
        <v>29524</v>
      </c>
      <c r="BB10" s="868">
        <v>28439</v>
      </c>
      <c r="BC10" s="868">
        <v>30668</v>
      </c>
      <c r="BD10" s="868">
        <v>33226</v>
      </c>
      <c r="BE10" s="868">
        <v>28437</v>
      </c>
      <c r="BF10" s="868">
        <v>23915</v>
      </c>
      <c r="BG10" s="868">
        <v>25268</v>
      </c>
      <c r="BH10" s="868">
        <v>28957</v>
      </c>
      <c r="BI10" s="868">
        <v>29150</v>
      </c>
      <c r="BJ10" s="868">
        <v>30044</v>
      </c>
      <c r="BK10" s="868">
        <v>28400</v>
      </c>
      <c r="BL10" s="868">
        <v>25400</v>
      </c>
      <c r="BM10" s="868">
        <v>26700</v>
      </c>
      <c r="BN10" s="868">
        <v>22400</v>
      </c>
      <c r="BO10" s="868">
        <v>24500</v>
      </c>
      <c r="BP10" s="868">
        <v>21200</v>
      </c>
      <c r="BQ10" s="868">
        <v>18600</v>
      </c>
      <c r="BR10" s="868">
        <v>21400</v>
      </c>
      <c r="BS10" s="868">
        <v>22400</v>
      </c>
      <c r="BT10" s="868">
        <v>23100</v>
      </c>
      <c r="BU10" s="868">
        <v>14400</v>
      </c>
      <c r="BV10" s="868">
        <v>10800</v>
      </c>
      <c r="BW10" s="868">
        <v>14100</v>
      </c>
      <c r="BX10" s="868">
        <v>18300</v>
      </c>
      <c r="BY10" s="868">
        <v>20100</v>
      </c>
      <c r="BZ10" s="868">
        <v>21300</v>
      </c>
      <c r="CA10" s="868">
        <v>20000</v>
      </c>
      <c r="CB10" s="868">
        <v>20600</v>
      </c>
      <c r="CC10" s="868">
        <v>21500</v>
      </c>
      <c r="CD10" s="868">
        <v>23400</v>
      </c>
      <c r="CE10" s="868">
        <v>24700</v>
      </c>
      <c r="CF10" s="868">
        <v>27200</v>
      </c>
      <c r="CG10" s="868">
        <v>28300</v>
      </c>
      <c r="CH10" s="868">
        <v>29000</v>
      </c>
      <c r="CI10" s="868">
        <v>29700</v>
      </c>
      <c r="CJ10" s="868">
        <v>31350</v>
      </c>
      <c r="CK10" s="868">
        <v>30470</v>
      </c>
      <c r="CL10" s="868">
        <v>31250</v>
      </c>
      <c r="CM10" s="868">
        <f t="shared" si="0"/>
        <v>25495.053968253982</v>
      </c>
      <c r="CN10" s="347"/>
      <c r="CO10" s="347"/>
      <c r="CP10" s="347"/>
      <c r="CQ10" s="347"/>
      <c r="CR10" s="347"/>
      <c r="CS10" s="347"/>
      <c r="CT10" s="347"/>
      <c r="CU10" s="347"/>
      <c r="CV10" s="347"/>
      <c r="CW10" s="347"/>
      <c r="CX10" s="347"/>
      <c r="CY10" s="347"/>
      <c r="CZ10" s="347"/>
      <c r="DA10" s="347"/>
      <c r="DB10" s="347"/>
      <c r="DC10" s="347"/>
      <c r="DD10" s="347"/>
      <c r="DE10" s="347"/>
      <c r="DF10" s="347"/>
      <c r="DG10" s="347"/>
      <c r="DH10" s="347"/>
      <c r="DI10" s="347"/>
      <c r="DJ10" s="347"/>
      <c r="DK10" s="347"/>
      <c r="DL10" s="347"/>
      <c r="DM10" s="347"/>
      <c r="DN10" s="347"/>
      <c r="DO10" s="347"/>
      <c r="DP10" s="347"/>
      <c r="DQ10" s="347"/>
      <c r="DR10" s="347"/>
      <c r="DS10" s="347"/>
      <c r="DT10" s="347"/>
      <c r="DU10" s="347"/>
      <c r="DV10" s="347"/>
      <c r="DW10" s="347"/>
      <c r="DX10" s="347"/>
      <c r="DY10" s="347"/>
      <c r="DZ10" s="347"/>
      <c r="EA10" s="347"/>
      <c r="EB10" s="347"/>
      <c r="EC10" s="347"/>
      <c r="ED10" s="347"/>
      <c r="EE10" s="347"/>
      <c r="EF10" s="347"/>
      <c r="EG10" s="347"/>
      <c r="EH10" s="347"/>
      <c r="EI10" s="347"/>
      <c r="EJ10" s="347"/>
      <c r="EK10" s="347"/>
      <c r="EL10" s="347"/>
      <c r="EM10" s="347"/>
      <c r="EN10" s="347"/>
      <c r="EO10" s="347"/>
      <c r="EP10" s="347"/>
      <c r="EQ10" s="347"/>
      <c r="ER10" s="347"/>
      <c r="ES10" s="347"/>
      <c r="ET10" s="347"/>
      <c r="EU10" s="347"/>
      <c r="EV10" s="347"/>
      <c r="EW10" s="347"/>
      <c r="EX10" s="347"/>
      <c r="EY10" s="347"/>
      <c r="EZ10" s="347"/>
      <c r="FA10" s="347"/>
      <c r="FB10" s="347"/>
      <c r="FC10" s="347"/>
      <c r="FD10" s="347"/>
      <c r="FE10" s="347"/>
      <c r="FF10" s="347"/>
      <c r="FG10" s="347"/>
      <c r="FH10" s="347"/>
      <c r="FI10" s="347"/>
      <c r="FJ10" s="347"/>
      <c r="FK10" s="347"/>
      <c r="FL10" s="347"/>
      <c r="FM10" s="347"/>
      <c r="FN10" s="347"/>
      <c r="FO10" s="347"/>
      <c r="FP10" s="347"/>
      <c r="FQ10" s="347"/>
      <c r="FR10" s="347"/>
      <c r="FS10" s="347"/>
      <c r="FT10" s="347"/>
      <c r="FU10" s="347"/>
      <c r="FV10" s="347"/>
    </row>
    <row r="11" spans="1:178">
      <c r="A11" s="1401"/>
      <c r="B11" s="859" t="s">
        <v>399</v>
      </c>
      <c r="C11" s="860" t="s">
        <v>151</v>
      </c>
      <c r="D11" s="860"/>
      <c r="E11" s="315" t="s">
        <v>464</v>
      </c>
      <c r="F11" s="869" t="s">
        <v>139</v>
      </c>
      <c r="G11" s="1324">
        <v>32175.4666666667</v>
      </c>
      <c r="H11" s="870">
        <v>32270.216161616201</v>
      </c>
      <c r="I11" s="870">
        <v>32364.965656565699</v>
      </c>
      <c r="J11" s="870">
        <v>32459.7151515152</v>
      </c>
      <c r="K11" s="870">
        <v>32554.464646464701</v>
      </c>
      <c r="L11" s="870">
        <v>32649.214141414199</v>
      </c>
      <c r="M11" s="870">
        <v>32743.9636363637</v>
      </c>
      <c r="N11" s="870">
        <v>32838.713131313198</v>
      </c>
      <c r="O11" s="870">
        <v>32933.462626262699</v>
      </c>
      <c r="P11" s="870">
        <v>33028.212121212098</v>
      </c>
      <c r="Q11" s="870">
        <v>33122.9616161616</v>
      </c>
      <c r="R11" s="870">
        <v>33217.711111111101</v>
      </c>
      <c r="S11" s="870">
        <v>33015.666666666701</v>
      </c>
      <c r="T11" s="870">
        <v>33126.166666666701</v>
      </c>
      <c r="U11" s="870">
        <v>33236.666666666701</v>
      </c>
      <c r="V11" s="870">
        <v>35084</v>
      </c>
      <c r="W11" s="870">
        <v>33347.166666666701</v>
      </c>
      <c r="X11" s="870">
        <v>33457.666666666701</v>
      </c>
      <c r="Y11" s="870">
        <v>33568.166666666701</v>
      </c>
      <c r="Z11" s="870">
        <v>35085</v>
      </c>
      <c r="AA11" s="870">
        <v>33678.666666666701</v>
      </c>
      <c r="AB11" s="870">
        <v>33789.166666666701</v>
      </c>
      <c r="AC11" s="870">
        <v>33899.666666666701</v>
      </c>
      <c r="AD11" s="870">
        <v>35086</v>
      </c>
      <c r="AE11" s="870">
        <v>34010.166666666701</v>
      </c>
      <c r="AF11" s="870">
        <v>34120.666666666701</v>
      </c>
      <c r="AG11" s="870">
        <v>34231.166666666701</v>
      </c>
      <c r="AH11" s="870">
        <v>35087</v>
      </c>
      <c r="AI11" s="870">
        <v>34341.666666666701</v>
      </c>
      <c r="AJ11" s="870">
        <v>34452.166666666701</v>
      </c>
      <c r="AK11" s="870">
        <v>34562.666666666701</v>
      </c>
      <c r="AL11" s="870">
        <v>35088</v>
      </c>
      <c r="AM11" s="870">
        <v>34673.166666666701</v>
      </c>
      <c r="AN11" s="870">
        <v>34783.666666666701</v>
      </c>
      <c r="AO11" s="870">
        <v>34894.166666666701</v>
      </c>
      <c r="AP11" s="870">
        <v>35089</v>
      </c>
      <c r="AQ11" s="870">
        <v>35004.666666666701</v>
      </c>
      <c r="AR11" s="870">
        <v>35115.166666666701</v>
      </c>
      <c r="AS11" s="870">
        <v>35225.666666666701</v>
      </c>
      <c r="AT11" s="870">
        <v>35090</v>
      </c>
      <c r="AU11" s="870">
        <v>35648</v>
      </c>
      <c r="AV11" s="870">
        <v>34823</v>
      </c>
      <c r="AW11" s="870">
        <v>35869</v>
      </c>
      <c r="AX11" s="870">
        <v>38900</v>
      </c>
      <c r="AY11" s="870">
        <v>48637</v>
      </c>
      <c r="AZ11" s="870">
        <v>46484</v>
      </c>
      <c r="BA11" s="870">
        <v>48182</v>
      </c>
      <c r="BB11" s="870">
        <v>48880</v>
      </c>
      <c r="BC11" s="870">
        <v>53437</v>
      </c>
      <c r="BD11" s="870">
        <v>53976</v>
      </c>
      <c r="BE11" s="870">
        <v>40000</v>
      </c>
      <c r="BF11" s="870">
        <v>35076</v>
      </c>
      <c r="BG11" s="870">
        <v>35172</v>
      </c>
      <c r="BH11" s="870">
        <v>38937</v>
      </c>
      <c r="BI11" s="870">
        <v>40545</v>
      </c>
      <c r="BJ11" s="870">
        <v>43117</v>
      </c>
      <c r="BK11" s="870">
        <v>41200</v>
      </c>
      <c r="BL11" s="870">
        <v>35000</v>
      </c>
      <c r="BM11" s="870">
        <v>37500</v>
      </c>
      <c r="BN11" s="870">
        <v>35100</v>
      </c>
      <c r="BO11" s="870">
        <v>37300</v>
      </c>
      <c r="BP11" s="870">
        <v>37300</v>
      </c>
      <c r="BQ11" s="870">
        <v>39700</v>
      </c>
      <c r="BR11" s="870">
        <v>41700</v>
      </c>
      <c r="BS11" s="870">
        <v>40900</v>
      </c>
      <c r="BT11" s="870">
        <v>38000</v>
      </c>
      <c r="BU11" s="870">
        <v>25000</v>
      </c>
      <c r="BV11" s="870">
        <v>19100</v>
      </c>
      <c r="BW11" s="870">
        <v>25000</v>
      </c>
      <c r="BX11" s="870">
        <v>31800</v>
      </c>
      <c r="BY11" s="870">
        <v>33800</v>
      </c>
      <c r="BZ11" s="870">
        <v>35100</v>
      </c>
      <c r="CA11" s="870">
        <v>36000</v>
      </c>
      <c r="CB11" s="870">
        <v>35700</v>
      </c>
      <c r="CC11" s="870">
        <v>35700</v>
      </c>
      <c r="CD11" s="870">
        <v>39300</v>
      </c>
      <c r="CE11" s="870">
        <v>42500</v>
      </c>
      <c r="CF11" s="870">
        <v>46600</v>
      </c>
      <c r="CG11" s="870">
        <v>48300</v>
      </c>
      <c r="CH11" s="870">
        <v>44700</v>
      </c>
      <c r="CI11" s="870">
        <v>47100</v>
      </c>
      <c r="CJ11" s="870">
        <v>50610</v>
      </c>
      <c r="CK11" s="870">
        <v>50620</v>
      </c>
      <c r="CL11" s="870">
        <v>44350</v>
      </c>
      <c r="CM11" s="870">
        <f t="shared" si="0"/>
        <v>36990.060317460338</v>
      </c>
      <c r="CN11" s="347"/>
      <c r="CO11" s="347"/>
      <c r="CP11" s="347"/>
      <c r="CQ11" s="347"/>
      <c r="CR11" s="347"/>
      <c r="CS11" s="347"/>
      <c r="CT11" s="347"/>
      <c r="CU11" s="347"/>
      <c r="CV11" s="347"/>
      <c r="CW11" s="347"/>
      <c r="CX11" s="347"/>
      <c r="CY11" s="347"/>
      <c r="CZ11" s="347"/>
      <c r="DA11" s="347"/>
      <c r="DB11" s="347"/>
      <c r="DC11" s="347"/>
      <c r="DD11" s="347"/>
      <c r="DE11" s="347"/>
      <c r="DF11" s="347"/>
      <c r="DG11" s="347"/>
      <c r="DH11" s="347"/>
      <c r="DI11" s="347"/>
      <c r="DJ11" s="347"/>
      <c r="DK11" s="347"/>
      <c r="DL11" s="347"/>
      <c r="DM11" s="347"/>
      <c r="DN11" s="347"/>
      <c r="DO11" s="347"/>
      <c r="DP11" s="347"/>
      <c r="DQ11" s="347"/>
      <c r="DR11" s="347"/>
      <c r="DS11" s="347"/>
      <c r="DT11" s="347"/>
      <c r="DU11" s="347"/>
      <c r="DV11" s="347"/>
      <c r="DW11" s="347"/>
      <c r="DX11" s="347"/>
      <c r="DY11" s="347"/>
      <c r="DZ11" s="347"/>
      <c r="EA11" s="347"/>
      <c r="EB11" s="347"/>
      <c r="EC11" s="347"/>
      <c r="ED11" s="347"/>
      <c r="EE11" s="347"/>
      <c r="EF11" s="347"/>
      <c r="EG11" s="347"/>
      <c r="EH11" s="347"/>
      <c r="EI11" s="347"/>
      <c r="EJ11" s="347"/>
      <c r="EK11" s="347"/>
      <c r="EL11" s="347"/>
      <c r="EM11" s="347"/>
      <c r="EN11" s="347"/>
      <c r="EO11" s="347"/>
      <c r="EP11" s="347"/>
      <c r="EQ11" s="347"/>
      <c r="ER11" s="347"/>
      <c r="ES11" s="347"/>
      <c r="ET11" s="347"/>
      <c r="EU11" s="347"/>
      <c r="EV11" s="347"/>
      <c r="EW11" s="347"/>
      <c r="EX11" s="347"/>
      <c r="EY11" s="347"/>
      <c r="EZ11" s="347"/>
      <c r="FA11" s="347"/>
      <c r="FB11" s="347"/>
      <c r="FC11" s="347"/>
      <c r="FD11" s="347"/>
      <c r="FE11" s="347"/>
      <c r="FF11" s="347"/>
      <c r="FG11" s="347"/>
      <c r="FH11" s="347"/>
      <c r="FI11" s="347"/>
      <c r="FJ11" s="347"/>
      <c r="FK11" s="347"/>
      <c r="FL11" s="347"/>
      <c r="FM11" s="347"/>
      <c r="FN11" s="347"/>
      <c r="FO11" s="347"/>
      <c r="FP11" s="347"/>
      <c r="FQ11" s="347"/>
      <c r="FR11" s="347"/>
      <c r="FS11" s="347"/>
      <c r="FT11" s="347"/>
      <c r="FU11" s="347"/>
      <c r="FV11" s="347"/>
    </row>
    <row r="12" spans="1:178" ht="12.75" customHeight="1">
      <c r="A12" s="1405" t="s">
        <v>650</v>
      </c>
      <c r="B12" s="871" t="s">
        <v>403</v>
      </c>
      <c r="C12" s="872" t="s">
        <v>402</v>
      </c>
      <c r="D12" s="872"/>
      <c r="E12" s="1407" t="s">
        <v>447</v>
      </c>
      <c r="F12" s="873" t="s">
        <v>168</v>
      </c>
      <c r="G12" s="874">
        <f>Feed!$F$4*1000/12</f>
        <v>47416.666666666664</v>
      </c>
      <c r="H12" s="874">
        <f>Feed!$F$4*1000/12</f>
        <v>47416.666666666664</v>
      </c>
      <c r="I12" s="874">
        <f>Feed!$F$4*1000/12</f>
        <v>47416.666666666664</v>
      </c>
      <c r="J12" s="874">
        <f>Feed!$F$4*1000/12</f>
        <v>47416.666666666664</v>
      </c>
      <c r="K12" s="874">
        <f>Feed!$F$4*1000/12</f>
        <v>47416.666666666664</v>
      </c>
      <c r="L12" s="874">
        <f>Feed!$F$4*1000/12</f>
        <v>47416.666666666664</v>
      </c>
      <c r="M12" s="874">
        <f>Feed!$F$4*1000/12</f>
        <v>47416.666666666664</v>
      </c>
      <c r="N12" s="874">
        <f>Feed!$F$4*1000/12</f>
        <v>47416.666666666664</v>
      </c>
      <c r="O12" s="874">
        <f>Feed!$F$4*1000/12</f>
        <v>47416.666666666664</v>
      </c>
      <c r="P12" s="874">
        <f>Feed!$F$4*1000/12</f>
        <v>47416.666666666664</v>
      </c>
      <c r="Q12" s="874">
        <f>Feed!$F$4*1000/12</f>
        <v>47416.666666666664</v>
      </c>
      <c r="R12" s="874">
        <f>Feed!$F$4*1000/12</f>
        <v>47416.666666666664</v>
      </c>
      <c r="S12" s="874">
        <f>Feed!$F$4*1000/12</f>
        <v>47416.666666666664</v>
      </c>
      <c r="T12" s="874">
        <f>Feed!$F$4*1000/12</f>
        <v>47416.666666666664</v>
      </c>
      <c r="U12" s="874">
        <f>Feed!$F$4*1000/12</f>
        <v>47416.666666666664</v>
      </c>
      <c r="V12" s="874">
        <f>Feed!$F$4*1000/12</f>
        <v>47416.666666666664</v>
      </c>
      <c r="W12" s="874">
        <f>Feed!$F$4*1000/12</f>
        <v>47416.666666666664</v>
      </c>
      <c r="X12" s="874">
        <f>Feed!$F$4*1000/12</f>
        <v>47416.666666666664</v>
      </c>
      <c r="Y12" s="874">
        <f>Feed!$F$4*1000/12</f>
        <v>47416.666666666664</v>
      </c>
      <c r="Z12" s="874">
        <f>Feed!$F$4*1000/12</f>
        <v>47416.666666666664</v>
      </c>
      <c r="AA12" s="874">
        <f>Feed!$F$4*1000/12</f>
        <v>47416.666666666664</v>
      </c>
      <c r="AB12" s="874">
        <f>Feed!$F$4*1000/12</f>
        <v>47416.666666666664</v>
      </c>
      <c r="AC12" s="874">
        <f>Feed!$F$4*1000/12</f>
        <v>47416.666666666664</v>
      </c>
      <c r="AD12" s="874">
        <f>Feed!$F$4*1000/12</f>
        <v>47416.666666666664</v>
      </c>
      <c r="AE12" s="874">
        <f>Feed!$F$4*1000/12</f>
        <v>47416.666666666664</v>
      </c>
      <c r="AF12" s="874">
        <f>Feed!$F$4*1000/12</f>
        <v>47416.666666666664</v>
      </c>
      <c r="AG12" s="874">
        <f>Feed!$F$4*1000/12</f>
        <v>47416.666666666664</v>
      </c>
      <c r="AH12" s="874">
        <f>Feed!$F$4*1000/12</f>
        <v>47416.666666666664</v>
      </c>
      <c r="AI12" s="874">
        <f>Feed!$F$4*1000/12</f>
        <v>47416.666666666664</v>
      </c>
      <c r="AJ12" s="874">
        <f>Feed!$F$4*1000/12</f>
        <v>47416.666666666664</v>
      </c>
      <c r="AK12" s="874">
        <f>Feed!$F$4*1000/12</f>
        <v>47416.666666666664</v>
      </c>
      <c r="AL12" s="874">
        <f>Feed!$F$4*1000/12</f>
        <v>47416.666666666664</v>
      </c>
      <c r="AM12" s="874">
        <f>Feed!$F$4*1000/12</f>
        <v>47416.666666666664</v>
      </c>
      <c r="AN12" s="874">
        <f>Feed!$F$4*1000/12</f>
        <v>47416.666666666664</v>
      </c>
      <c r="AO12" s="874">
        <f>Feed!$F$4*1000/12</f>
        <v>47416.666666666664</v>
      </c>
      <c r="AP12" s="874">
        <f>Feed!$F$4*1000/12</f>
        <v>47416.666666666664</v>
      </c>
      <c r="AQ12" s="874">
        <f>Feed!$F$4*1000/12</f>
        <v>47416.666666666664</v>
      </c>
      <c r="AR12" s="874">
        <f>Feed!$F$4*1000/12</f>
        <v>47416.666666666664</v>
      </c>
      <c r="AS12" s="874">
        <f>Feed!$F$4*1000/12</f>
        <v>47416.666666666664</v>
      </c>
      <c r="AT12" s="874">
        <f>Feed!$F$4*1000/12</f>
        <v>47416.666666666664</v>
      </c>
      <c r="AU12" s="874">
        <f>Feed!$F$4*1000/12</f>
        <v>47416.666666666664</v>
      </c>
      <c r="AV12" s="874">
        <f>Feed!$F$4*1000/12</f>
        <v>47416.666666666664</v>
      </c>
      <c r="AW12" s="874">
        <f>Feed!$F$4*1000/12</f>
        <v>47416.666666666664</v>
      </c>
      <c r="AX12" s="874">
        <f>Feed!$F$4*1000/12</f>
        <v>47416.666666666664</v>
      </c>
      <c r="AY12" s="874">
        <f>Feed!$F$4*1000/12</f>
        <v>47416.666666666664</v>
      </c>
      <c r="AZ12" s="874">
        <f>Feed!$F$4*1000/12</f>
        <v>47416.666666666664</v>
      </c>
      <c r="BA12" s="874">
        <f>Feed!$F$4*1000/12</f>
        <v>47416.666666666664</v>
      </c>
      <c r="BB12" s="874">
        <f>Feed!$F$4*1000/12</f>
        <v>47416.666666666664</v>
      </c>
      <c r="BC12" s="874">
        <f>Feed!$F$4*1000/12</f>
        <v>47416.666666666664</v>
      </c>
      <c r="BD12" s="874">
        <f>Feed!$F$4*1000/12</f>
        <v>47416.666666666664</v>
      </c>
      <c r="BE12" s="874">
        <f>Feed!$F$4*1000/12</f>
        <v>47416.666666666664</v>
      </c>
      <c r="BF12" s="874">
        <f>Feed!$F$4*1000/12</f>
        <v>47416.666666666664</v>
      </c>
      <c r="BG12" s="874">
        <f>Feed!$F$4*1000/12</f>
        <v>47416.666666666664</v>
      </c>
      <c r="BH12" s="874">
        <f>Feed!$F$4*1000/12</f>
        <v>47416.666666666664</v>
      </c>
      <c r="BI12" s="874">
        <f>Feed!$F$4*1000/12</f>
        <v>47416.666666666664</v>
      </c>
      <c r="BJ12" s="874">
        <f>Feed!$F$4*1000/12</f>
        <v>47416.666666666664</v>
      </c>
      <c r="BK12" s="874">
        <f>Feed!$F$4*1000/12</f>
        <v>47416.666666666664</v>
      </c>
      <c r="BL12" s="874">
        <f>Feed!$F$4*1000/12</f>
        <v>47416.666666666664</v>
      </c>
      <c r="BM12" s="874">
        <f>Feed!$F$4*1000/12</f>
        <v>47416.666666666664</v>
      </c>
      <c r="BN12" s="874">
        <f>Feed!$F$4*1000/12</f>
        <v>47416.666666666664</v>
      </c>
      <c r="BO12" s="874">
        <f>Feed!$F$4*1000/12</f>
        <v>47416.666666666664</v>
      </c>
      <c r="BP12" s="874">
        <f>Feed!$F$4*1000/12</f>
        <v>47416.666666666664</v>
      </c>
      <c r="BQ12" s="874">
        <f>Feed!$F$4*1000/12</f>
        <v>47416.666666666664</v>
      </c>
      <c r="BR12" s="874">
        <f>Feed!$F$4*1000/12</f>
        <v>47416.666666666664</v>
      </c>
      <c r="BS12" s="874">
        <f>Feed!$F$4*1000/12</f>
        <v>47416.666666666664</v>
      </c>
      <c r="BT12" s="874">
        <f>Feed!$F$4*1000/12</f>
        <v>47416.666666666664</v>
      </c>
      <c r="BU12" s="874">
        <f>Feed!$F$4*1000/12</f>
        <v>47416.666666666664</v>
      </c>
      <c r="BV12" s="874">
        <f>Feed!$F$4*1000/12</f>
        <v>47416.666666666664</v>
      </c>
      <c r="BW12" s="874">
        <f>Feed!$F$4*1000/12</f>
        <v>47416.666666666664</v>
      </c>
      <c r="BX12" s="874">
        <f>Feed!$F$4*1000/12</f>
        <v>47416.666666666664</v>
      </c>
      <c r="BY12" s="874">
        <f>Feed!$F$4*1000/12</f>
        <v>47416.666666666664</v>
      </c>
      <c r="BZ12" s="874">
        <f>Feed!$F$4*1000/12</f>
        <v>47416.666666666664</v>
      </c>
      <c r="CA12" s="874">
        <f>Feed!$F$4*1000/12</f>
        <v>47416.666666666664</v>
      </c>
      <c r="CB12" s="874">
        <f>Feed!$F$4*1000/12</f>
        <v>47416.666666666664</v>
      </c>
      <c r="CC12" s="874">
        <f>Feed!$F$4*1000/12</f>
        <v>47416.666666666664</v>
      </c>
      <c r="CD12" s="874">
        <f>Feed!$F$4*1000/12</f>
        <v>47416.666666666664</v>
      </c>
      <c r="CE12" s="874">
        <f>Feed!$F$4*1000/12</f>
        <v>47416.666666666664</v>
      </c>
      <c r="CF12" s="874">
        <f>Feed!$F$4*1000/12</f>
        <v>47416.666666666664</v>
      </c>
      <c r="CG12" s="874">
        <f>Feed!$F$4*1000/12</f>
        <v>47416.666666666664</v>
      </c>
      <c r="CH12" s="874">
        <f>Feed!$F$4*1000/12</f>
        <v>47416.666666666664</v>
      </c>
      <c r="CI12" s="874">
        <f>Feed!$F$4*1000/12</f>
        <v>47416.666666666664</v>
      </c>
      <c r="CJ12" s="874">
        <f>Feed!$F$4*1000/12</f>
        <v>47416.666666666664</v>
      </c>
      <c r="CK12" s="874">
        <f>Feed!$F$4*1000/12</f>
        <v>47416.666666666664</v>
      </c>
      <c r="CL12" s="874">
        <f>Feed!$F$4*1000/12</f>
        <v>47416.666666666664</v>
      </c>
      <c r="CM12" s="874">
        <f>Feed!$F$4*1000/12</f>
        <v>47416.666666666664</v>
      </c>
      <c r="CN12" s="347"/>
      <c r="CO12" s="347"/>
      <c r="CP12" s="347"/>
      <c r="CQ12" s="347"/>
      <c r="CR12" s="347"/>
      <c r="CS12" s="347"/>
      <c r="CT12" s="347"/>
      <c r="CU12" s="347"/>
      <c r="CV12" s="347"/>
      <c r="CW12" s="347"/>
      <c r="CX12" s="347"/>
      <c r="CY12" s="347"/>
      <c r="CZ12" s="347"/>
      <c r="DA12" s="347"/>
      <c r="DB12" s="347"/>
      <c r="DC12" s="347"/>
      <c r="DD12" s="347"/>
      <c r="DE12" s="347"/>
      <c r="DF12" s="347"/>
      <c r="DG12" s="347"/>
      <c r="DH12" s="347"/>
      <c r="DI12" s="347"/>
      <c r="DJ12" s="347"/>
      <c r="DK12" s="347"/>
      <c r="DL12" s="347"/>
      <c r="DM12" s="347"/>
      <c r="DN12" s="347"/>
      <c r="DO12" s="347"/>
      <c r="DP12" s="347"/>
      <c r="DQ12" s="347"/>
      <c r="DR12" s="347"/>
      <c r="DS12" s="347"/>
      <c r="DT12" s="347"/>
      <c r="DU12" s="347"/>
      <c r="DV12" s="347"/>
      <c r="DW12" s="347"/>
      <c r="DX12" s="347"/>
      <c r="DY12" s="347"/>
      <c r="DZ12" s="347"/>
      <c r="EA12" s="347"/>
      <c r="EB12" s="347"/>
      <c r="EC12" s="347"/>
      <c r="ED12" s="347"/>
      <c r="EE12" s="347"/>
      <c r="EF12" s="347"/>
      <c r="EG12" s="347"/>
      <c r="EH12" s="347"/>
      <c r="EI12" s="347"/>
      <c r="EJ12" s="347"/>
      <c r="EK12" s="347"/>
      <c r="EL12" s="347"/>
      <c r="EM12" s="347"/>
      <c r="EN12" s="347"/>
      <c r="EO12" s="347"/>
      <c r="EP12" s="347"/>
      <c r="EQ12" s="347"/>
      <c r="ER12" s="347"/>
      <c r="ES12" s="347"/>
      <c r="ET12" s="347"/>
      <c r="EU12" s="347"/>
      <c r="EV12" s="347"/>
      <c r="EW12" s="347"/>
      <c r="EX12" s="347"/>
      <c r="EY12" s="347"/>
      <c r="EZ12" s="347"/>
      <c r="FA12" s="347"/>
      <c r="FB12" s="347"/>
      <c r="FC12" s="347"/>
      <c r="FD12" s="347"/>
      <c r="FE12" s="347"/>
      <c r="FF12" s="347"/>
      <c r="FG12" s="347"/>
      <c r="FH12" s="347"/>
      <c r="FI12" s="347"/>
      <c r="FJ12" s="347"/>
      <c r="FK12" s="347"/>
      <c r="FL12" s="347"/>
      <c r="FM12" s="347"/>
      <c r="FN12" s="347"/>
      <c r="FO12" s="347"/>
      <c r="FP12" s="347"/>
      <c r="FQ12" s="347"/>
      <c r="FR12" s="347"/>
      <c r="FS12" s="347"/>
      <c r="FT12" s="347"/>
      <c r="FU12" s="347"/>
      <c r="FV12" s="347"/>
    </row>
    <row r="13" spans="1:178">
      <c r="A13" s="1406"/>
      <c r="B13" s="876" t="s">
        <v>403</v>
      </c>
      <c r="C13" s="877" t="s">
        <v>402</v>
      </c>
      <c r="D13" s="877"/>
      <c r="E13" s="1398"/>
      <c r="F13" s="878" t="s">
        <v>0</v>
      </c>
      <c r="G13" s="874">
        <f>Feed!$F$6*1000/12</f>
        <v>58083.333333333336</v>
      </c>
      <c r="H13" s="874">
        <f>Feed!$F$6*1000/12</f>
        <v>58083.333333333336</v>
      </c>
      <c r="I13" s="874">
        <f>Feed!$F$6*1000/12</f>
        <v>58083.333333333336</v>
      </c>
      <c r="J13" s="874">
        <f>Feed!$F$6*1000/12</f>
        <v>58083.333333333336</v>
      </c>
      <c r="K13" s="874">
        <f>Feed!$F$6*1000/12</f>
        <v>58083.333333333336</v>
      </c>
      <c r="L13" s="874">
        <f>Feed!$F$6*1000/12</f>
        <v>58083.333333333336</v>
      </c>
      <c r="M13" s="874">
        <f>Feed!$F$6*1000/12</f>
        <v>58083.333333333336</v>
      </c>
      <c r="N13" s="874">
        <f>Feed!$F$6*1000/12</f>
        <v>58083.333333333336</v>
      </c>
      <c r="O13" s="874">
        <f>Feed!$F$6*1000/12</f>
        <v>58083.333333333336</v>
      </c>
      <c r="P13" s="874">
        <f>Feed!$F$6*1000/12</f>
        <v>58083.333333333336</v>
      </c>
      <c r="Q13" s="874">
        <f>Feed!$F$6*1000/12</f>
        <v>58083.333333333336</v>
      </c>
      <c r="R13" s="874">
        <f>Feed!$F$6*1000/12</f>
        <v>58083.333333333336</v>
      </c>
      <c r="S13" s="874">
        <f>Feed!$F$6*1000/12</f>
        <v>58083.333333333336</v>
      </c>
      <c r="T13" s="874">
        <f>Feed!$F$6*1000/12</f>
        <v>58083.333333333336</v>
      </c>
      <c r="U13" s="874">
        <f>Feed!$F$6*1000/12</f>
        <v>58083.333333333336</v>
      </c>
      <c r="V13" s="874">
        <f>Feed!$F$6*1000/12</f>
        <v>58083.333333333336</v>
      </c>
      <c r="W13" s="874">
        <f>Feed!$F$6*1000/12</f>
        <v>58083.333333333336</v>
      </c>
      <c r="X13" s="874">
        <f>Feed!$F$6*1000/12</f>
        <v>58083.333333333336</v>
      </c>
      <c r="Y13" s="874">
        <f>Feed!$F$6*1000/12</f>
        <v>58083.333333333336</v>
      </c>
      <c r="Z13" s="874">
        <f>Feed!$F$6*1000/12</f>
        <v>58083.333333333336</v>
      </c>
      <c r="AA13" s="874">
        <f>Feed!$F$6*1000/12</f>
        <v>58083.333333333336</v>
      </c>
      <c r="AB13" s="874">
        <f>Feed!$F$6*1000/12</f>
        <v>58083.333333333336</v>
      </c>
      <c r="AC13" s="874">
        <f>Feed!$F$6*1000/12</f>
        <v>58083.333333333336</v>
      </c>
      <c r="AD13" s="874">
        <f>Feed!$F$6*1000/12</f>
        <v>58083.333333333336</v>
      </c>
      <c r="AE13" s="874">
        <f>Feed!$F$6*1000/12</f>
        <v>58083.333333333336</v>
      </c>
      <c r="AF13" s="874">
        <f>Feed!$F$6*1000/12</f>
        <v>58083.333333333336</v>
      </c>
      <c r="AG13" s="874">
        <f>Feed!$F$6*1000/12</f>
        <v>58083.333333333336</v>
      </c>
      <c r="AH13" s="874">
        <f>Feed!$F$6*1000/12</f>
        <v>58083.333333333336</v>
      </c>
      <c r="AI13" s="874">
        <f>Feed!$F$6*1000/12</f>
        <v>58083.333333333336</v>
      </c>
      <c r="AJ13" s="874">
        <f>Feed!$F$6*1000/12</f>
        <v>58083.333333333336</v>
      </c>
      <c r="AK13" s="874">
        <f>Feed!$F$6*1000/12</f>
        <v>58083.333333333336</v>
      </c>
      <c r="AL13" s="874">
        <f>Feed!$F$6*1000/12</f>
        <v>58083.333333333336</v>
      </c>
      <c r="AM13" s="874">
        <f>Feed!$F$6*1000/12</f>
        <v>58083.333333333336</v>
      </c>
      <c r="AN13" s="874">
        <f>Feed!$F$6*1000/12</f>
        <v>58083.333333333336</v>
      </c>
      <c r="AO13" s="874">
        <f>Feed!$F$6*1000/12</f>
        <v>58083.333333333336</v>
      </c>
      <c r="AP13" s="874">
        <f>Feed!$F$6*1000/12</f>
        <v>58083.333333333336</v>
      </c>
      <c r="AQ13" s="874">
        <f>Feed!$F$6*1000/12</f>
        <v>58083.333333333336</v>
      </c>
      <c r="AR13" s="874">
        <f>Feed!$F$6*1000/12</f>
        <v>58083.333333333336</v>
      </c>
      <c r="AS13" s="874">
        <f>Feed!$F$6*1000/12</f>
        <v>58083.333333333336</v>
      </c>
      <c r="AT13" s="874">
        <f>Feed!$F$6*1000/12</f>
        <v>58083.333333333336</v>
      </c>
      <c r="AU13" s="874">
        <f>Feed!$F$6*1000/12</f>
        <v>58083.333333333336</v>
      </c>
      <c r="AV13" s="874">
        <f>Feed!$F$6*1000/12</f>
        <v>58083.333333333336</v>
      </c>
      <c r="AW13" s="874">
        <f>Feed!$F$6*1000/12</f>
        <v>58083.333333333336</v>
      </c>
      <c r="AX13" s="874">
        <f>Feed!$F$6*1000/12</f>
        <v>58083.333333333336</v>
      </c>
      <c r="AY13" s="874">
        <f>Feed!$F$6*1000/12</f>
        <v>58083.333333333336</v>
      </c>
      <c r="AZ13" s="874">
        <f>Feed!$F$6*1000/12</f>
        <v>58083.333333333336</v>
      </c>
      <c r="BA13" s="874">
        <f>Feed!$F$6*1000/12</f>
        <v>58083.333333333336</v>
      </c>
      <c r="BB13" s="874">
        <f>Feed!$F$6*1000/12</f>
        <v>58083.333333333336</v>
      </c>
      <c r="BC13" s="874">
        <f>Feed!$F$6*1000/12</f>
        <v>58083.333333333336</v>
      </c>
      <c r="BD13" s="874">
        <f>Feed!$F$6*1000/12</f>
        <v>58083.333333333336</v>
      </c>
      <c r="BE13" s="874">
        <f>Feed!$F$6*1000/12</f>
        <v>58083.333333333336</v>
      </c>
      <c r="BF13" s="874">
        <f>Feed!$F$6*1000/12</f>
        <v>58083.333333333336</v>
      </c>
      <c r="BG13" s="874">
        <f>Feed!$F$6*1000/12</f>
        <v>58083.333333333336</v>
      </c>
      <c r="BH13" s="874">
        <f>Feed!$F$6*1000/12</f>
        <v>58083.333333333336</v>
      </c>
      <c r="BI13" s="874">
        <f>Feed!$F$6*1000/12</f>
        <v>58083.333333333336</v>
      </c>
      <c r="BJ13" s="874">
        <f>Feed!$F$6*1000/12</f>
        <v>58083.333333333336</v>
      </c>
      <c r="BK13" s="874">
        <f>Feed!$F$6*1000/12</f>
        <v>58083.333333333336</v>
      </c>
      <c r="BL13" s="874">
        <f>Feed!$F$6*1000/12</f>
        <v>58083.333333333336</v>
      </c>
      <c r="BM13" s="874">
        <f>Feed!$F$6*1000/12</f>
        <v>58083.333333333336</v>
      </c>
      <c r="BN13" s="874">
        <f>Feed!$F$6*1000/12</f>
        <v>58083.333333333336</v>
      </c>
      <c r="BO13" s="874">
        <f>Feed!$F$6*1000/12</f>
        <v>58083.333333333336</v>
      </c>
      <c r="BP13" s="874">
        <f>Feed!$F$6*1000/12</f>
        <v>58083.333333333336</v>
      </c>
      <c r="BQ13" s="874">
        <f>Feed!$F$6*1000/12</f>
        <v>58083.333333333336</v>
      </c>
      <c r="BR13" s="874">
        <f>Feed!$F$6*1000/12</f>
        <v>58083.333333333336</v>
      </c>
      <c r="BS13" s="874">
        <f>Feed!$F$6*1000/12</f>
        <v>58083.333333333336</v>
      </c>
      <c r="BT13" s="874">
        <f>Feed!$F$6*1000/12</f>
        <v>58083.333333333336</v>
      </c>
      <c r="BU13" s="874">
        <f>Feed!$F$6*1000/12</f>
        <v>58083.333333333336</v>
      </c>
      <c r="BV13" s="874">
        <f>Feed!$F$6*1000/12</f>
        <v>58083.333333333336</v>
      </c>
      <c r="BW13" s="874">
        <f>Feed!$F$6*1000/12</f>
        <v>58083.333333333336</v>
      </c>
      <c r="BX13" s="874">
        <f>Feed!$F$6*1000/12</f>
        <v>58083.333333333336</v>
      </c>
      <c r="BY13" s="874">
        <f>Feed!$F$6*1000/12</f>
        <v>58083.333333333336</v>
      </c>
      <c r="BZ13" s="874">
        <f>Feed!$F$6*1000/12</f>
        <v>58083.333333333336</v>
      </c>
      <c r="CA13" s="874">
        <f>Feed!$F$6*1000/12</f>
        <v>58083.333333333336</v>
      </c>
      <c r="CB13" s="874">
        <f>Feed!$F$6*1000/12</f>
        <v>58083.333333333336</v>
      </c>
      <c r="CC13" s="874">
        <f>Feed!$F$6*1000/12</f>
        <v>58083.333333333336</v>
      </c>
      <c r="CD13" s="874">
        <f>Feed!$F$6*1000/12</f>
        <v>58083.333333333336</v>
      </c>
      <c r="CE13" s="874">
        <f>Feed!$F$6*1000/12</f>
        <v>58083.333333333336</v>
      </c>
      <c r="CF13" s="874">
        <f>Feed!$F$6*1000/12</f>
        <v>58083.333333333336</v>
      </c>
      <c r="CG13" s="874">
        <f>Feed!$F$6*1000/12</f>
        <v>58083.333333333336</v>
      </c>
      <c r="CH13" s="874">
        <f>Feed!$F$6*1000/12</f>
        <v>58083.333333333336</v>
      </c>
      <c r="CI13" s="874">
        <f>Feed!$F$6*1000/12</f>
        <v>58083.333333333336</v>
      </c>
      <c r="CJ13" s="874">
        <f>Feed!$F$6*1000/12</f>
        <v>58083.333333333336</v>
      </c>
      <c r="CK13" s="874">
        <f>Feed!$F$6*1000/12</f>
        <v>58083.333333333336</v>
      </c>
      <c r="CL13" s="874">
        <f>Feed!$F$6*1000/12</f>
        <v>58083.333333333336</v>
      </c>
      <c r="CM13" s="874">
        <f>Feed!$F$6*1000/12</f>
        <v>58083.333333333336</v>
      </c>
      <c r="CN13" s="347"/>
      <c r="CO13" s="347"/>
      <c r="CP13" s="347"/>
      <c r="CQ13" s="347"/>
      <c r="CR13" s="347"/>
      <c r="CS13" s="347"/>
      <c r="CT13" s="347"/>
      <c r="CU13" s="347"/>
      <c r="CV13" s="347"/>
      <c r="CW13" s="347"/>
      <c r="CX13" s="347"/>
      <c r="CY13" s="347"/>
      <c r="CZ13" s="347"/>
      <c r="DA13" s="347"/>
      <c r="DB13" s="347"/>
      <c r="DC13" s="347"/>
      <c r="DD13" s="347"/>
      <c r="DE13" s="347"/>
      <c r="DF13" s="347"/>
      <c r="DG13" s="347"/>
      <c r="DH13" s="347"/>
      <c r="DI13" s="347"/>
      <c r="DJ13" s="347"/>
      <c r="DK13" s="347"/>
      <c r="DL13" s="347"/>
      <c r="DM13" s="347"/>
      <c r="DN13" s="347"/>
      <c r="DO13" s="347"/>
      <c r="DP13" s="347"/>
      <c r="DQ13" s="347"/>
      <c r="DR13" s="347"/>
      <c r="DS13" s="347"/>
      <c r="DT13" s="347"/>
      <c r="DU13" s="347"/>
      <c r="DV13" s="347"/>
      <c r="DW13" s="347"/>
      <c r="DX13" s="347"/>
      <c r="DY13" s="347"/>
      <c r="DZ13" s="347"/>
      <c r="EA13" s="347"/>
      <c r="EB13" s="347"/>
      <c r="EC13" s="347"/>
      <c r="ED13" s="347"/>
      <c r="EE13" s="347"/>
      <c r="EF13" s="347"/>
      <c r="EG13" s="347"/>
      <c r="EH13" s="347"/>
      <c r="EI13" s="347"/>
      <c r="EJ13" s="347"/>
      <c r="EK13" s="347"/>
      <c r="EL13" s="347"/>
      <c r="EM13" s="347"/>
      <c r="EN13" s="347"/>
      <c r="EO13" s="347"/>
      <c r="EP13" s="347"/>
      <c r="EQ13" s="347"/>
      <c r="ER13" s="347"/>
      <c r="ES13" s="347"/>
      <c r="ET13" s="347"/>
      <c r="EU13" s="347"/>
      <c r="EV13" s="347"/>
      <c r="EW13" s="347"/>
      <c r="EX13" s="347"/>
      <c r="EY13" s="347"/>
      <c r="EZ13" s="347"/>
      <c r="FA13" s="347"/>
      <c r="FB13" s="347"/>
      <c r="FC13" s="347"/>
      <c r="FD13" s="347"/>
      <c r="FE13" s="347"/>
      <c r="FF13" s="347"/>
      <c r="FG13" s="347"/>
      <c r="FH13" s="347"/>
      <c r="FI13" s="347"/>
      <c r="FJ13" s="347"/>
      <c r="FK13" s="347"/>
      <c r="FL13" s="347"/>
      <c r="FM13" s="347"/>
      <c r="FN13" s="347"/>
      <c r="FO13" s="347"/>
      <c r="FP13" s="347"/>
      <c r="FQ13" s="347"/>
      <c r="FR13" s="347"/>
      <c r="FS13" s="347"/>
      <c r="FT13" s="347"/>
      <c r="FU13" s="347"/>
      <c r="FV13" s="347"/>
    </row>
    <row r="14" spans="1:178">
      <c r="A14" s="1406"/>
      <c r="B14" s="876" t="s">
        <v>403</v>
      </c>
      <c r="C14" s="877" t="s">
        <v>402</v>
      </c>
      <c r="D14" s="877"/>
      <c r="E14" s="1398"/>
      <c r="F14" s="878" t="s">
        <v>398</v>
      </c>
      <c r="G14" s="874">
        <f>Feed!$F$7*1000/12</f>
        <v>11333.333333333334</v>
      </c>
      <c r="H14" s="874">
        <f>Feed!$F$7*1000/12</f>
        <v>11333.333333333334</v>
      </c>
      <c r="I14" s="874">
        <f>Feed!$F$7*1000/12</f>
        <v>11333.333333333334</v>
      </c>
      <c r="J14" s="874">
        <f>Feed!$F$7*1000/12</f>
        <v>11333.333333333334</v>
      </c>
      <c r="K14" s="874">
        <f>Feed!$F$7*1000/12</f>
        <v>11333.333333333334</v>
      </c>
      <c r="L14" s="874">
        <f>Feed!$F$7*1000/12</f>
        <v>11333.333333333334</v>
      </c>
      <c r="M14" s="874">
        <f>Feed!$F$7*1000/12</f>
        <v>11333.333333333334</v>
      </c>
      <c r="N14" s="874">
        <f>Feed!$F$7*1000/12</f>
        <v>11333.333333333334</v>
      </c>
      <c r="O14" s="874">
        <f>Feed!$F$7*1000/12</f>
        <v>11333.333333333334</v>
      </c>
      <c r="P14" s="874">
        <f>Feed!$F$7*1000/12</f>
        <v>11333.333333333334</v>
      </c>
      <c r="Q14" s="874">
        <f>Feed!$F$7*1000/12</f>
        <v>11333.333333333334</v>
      </c>
      <c r="R14" s="874">
        <f>Feed!$F$7*1000/12</f>
        <v>11333.333333333334</v>
      </c>
      <c r="S14" s="874">
        <f>Feed!$F$7*1000/12</f>
        <v>11333.333333333334</v>
      </c>
      <c r="T14" s="874">
        <f>Feed!$F$7*1000/12</f>
        <v>11333.333333333334</v>
      </c>
      <c r="U14" s="874">
        <f>Feed!$F$7*1000/12</f>
        <v>11333.333333333334</v>
      </c>
      <c r="V14" s="874">
        <f>Feed!$F$7*1000/12</f>
        <v>11333.333333333334</v>
      </c>
      <c r="W14" s="874">
        <f>Feed!$F$7*1000/12</f>
        <v>11333.333333333334</v>
      </c>
      <c r="X14" s="874">
        <f>Feed!$F$7*1000/12</f>
        <v>11333.333333333334</v>
      </c>
      <c r="Y14" s="874">
        <f>Feed!$F$7*1000/12</f>
        <v>11333.333333333334</v>
      </c>
      <c r="Z14" s="874">
        <f>Feed!$F$7*1000/12</f>
        <v>11333.333333333334</v>
      </c>
      <c r="AA14" s="874">
        <f>Feed!$F$7*1000/12</f>
        <v>11333.333333333334</v>
      </c>
      <c r="AB14" s="874">
        <f>Feed!$F$7*1000/12</f>
        <v>11333.333333333334</v>
      </c>
      <c r="AC14" s="874">
        <f>Feed!$F$7*1000/12</f>
        <v>11333.333333333334</v>
      </c>
      <c r="AD14" s="874">
        <f>Feed!$F$7*1000/12</f>
        <v>11333.333333333334</v>
      </c>
      <c r="AE14" s="874">
        <f>Feed!$F$7*1000/12</f>
        <v>11333.333333333334</v>
      </c>
      <c r="AF14" s="874">
        <f>Feed!$F$7*1000/12</f>
        <v>11333.333333333334</v>
      </c>
      <c r="AG14" s="874">
        <f>Feed!$F$7*1000/12</f>
        <v>11333.333333333334</v>
      </c>
      <c r="AH14" s="874">
        <f>Feed!$F$7*1000/12</f>
        <v>11333.333333333334</v>
      </c>
      <c r="AI14" s="874">
        <f>Feed!$F$7*1000/12</f>
        <v>11333.333333333334</v>
      </c>
      <c r="AJ14" s="874">
        <f>Feed!$F$7*1000/12</f>
        <v>11333.333333333334</v>
      </c>
      <c r="AK14" s="874">
        <f>Feed!$F$7*1000/12</f>
        <v>11333.333333333334</v>
      </c>
      <c r="AL14" s="874">
        <f>Feed!$F$7*1000/12</f>
        <v>11333.333333333334</v>
      </c>
      <c r="AM14" s="874">
        <f>Feed!$F$7*1000/12</f>
        <v>11333.333333333334</v>
      </c>
      <c r="AN14" s="874">
        <f>Feed!$F$7*1000/12</f>
        <v>11333.333333333334</v>
      </c>
      <c r="AO14" s="874">
        <f>Feed!$F$7*1000/12</f>
        <v>11333.333333333334</v>
      </c>
      <c r="AP14" s="874">
        <f>Feed!$F$7*1000/12</f>
        <v>11333.333333333334</v>
      </c>
      <c r="AQ14" s="874">
        <f>Feed!$F$7*1000/12</f>
        <v>11333.333333333334</v>
      </c>
      <c r="AR14" s="874">
        <f>Feed!$F$7*1000/12</f>
        <v>11333.333333333334</v>
      </c>
      <c r="AS14" s="874">
        <f>Feed!$F$7*1000/12</f>
        <v>11333.333333333334</v>
      </c>
      <c r="AT14" s="874">
        <f>Feed!$F$7*1000/12</f>
        <v>11333.333333333334</v>
      </c>
      <c r="AU14" s="874">
        <f>Feed!$F$7*1000/12</f>
        <v>11333.333333333334</v>
      </c>
      <c r="AV14" s="874">
        <f>Feed!$F$7*1000/12</f>
        <v>11333.333333333334</v>
      </c>
      <c r="AW14" s="874">
        <f>Feed!$F$7*1000/12</f>
        <v>11333.333333333334</v>
      </c>
      <c r="AX14" s="874">
        <f>Feed!$F$7*1000/12</f>
        <v>11333.333333333334</v>
      </c>
      <c r="AY14" s="874">
        <f>Feed!$F$7*1000/12</f>
        <v>11333.333333333334</v>
      </c>
      <c r="AZ14" s="874">
        <f>Feed!$F$7*1000/12</f>
        <v>11333.333333333334</v>
      </c>
      <c r="BA14" s="874">
        <f>Feed!$F$7*1000/12</f>
        <v>11333.333333333334</v>
      </c>
      <c r="BB14" s="874">
        <f>Feed!$F$7*1000/12</f>
        <v>11333.333333333334</v>
      </c>
      <c r="BC14" s="874">
        <f>Feed!$F$7*1000/12</f>
        <v>11333.333333333334</v>
      </c>
      <c r="BD14" s="874">
        <f>Feed!$F$7*1000/12</f>
        <v>11333.333333333334</v>
      </c>
      <c r="BE14" s="874">
        <f>Feed!$F$7*1000/12</f>
        <v>11333.333333333334</v>
      </c>
      <c r="BF14" s="874">
        <f>Feed!$F$7*1000/12</f>
        <v>11333.333333333334</v>
      </c>
      <c r="BG14" s="874">
        <f>Feed!$F$7*1000/12</f>
        <v>11333.333333333334</v>
      </c>
      <c r="BH14" s="874">
        <f>Feed!$F$7*1000/12</f>
        <v>11333.333333333334</v>
      </c>
      <c r="BI14" s="874">
        <f>Feed!$F$7*1000/12</f>
        <v>11333.333333333334</v>
      </c>
      <c r="BJ14" s="874">
        <f>Feed!$F$7*1000/12</f>
        <v>11333.333333333334</v>
      </c>
      <c r="BK14" s="874">
        <f>Feed!$F$7*1000/12</f>
        <v>11333.333333333334</v>
      </c>
      <c r="BL14" s="874">
        <f>Feed!$F$7*1000/12</f>
        <v>11333.333333333334</v>
      </c>
      <c r="BM14" s="874">
        <f>Feed!$F$7*1000/12</f>
        <v>11333.333333333334</v>
      </c>
      <c r="BN14" s="874">
        <f>Feed!$F$7*1000/12</f>
        <v>11333.333333333334</v>
      </c>
      <c r="BO14" s="874">
        <f>Feed!$F$7*1000/12</f>
        <v>11333.333333333334</v>
      </c>
      <c r="BP14" s="874">
        <f>Feed!$F$7*1000/12</f>
        <v>11333.333333333334</v>
      </c>
      <c r="BQ14" s="874">
        <f>Feed!$F$7*1000/12</f>
        <v>11333.333333333334</v>
      </c>
      <c r="BR14" s="874">
        <f>Feed!$F$7*1000/12</f>
        <v>11333.333333333334</v>
      </c>
      <c r="BS14" s="874">
        <f>Feed!$F$7*1000/12</f>
        <v>11333.333333333334</v>
      </c>
      <c r="BT14" s="874">
        <f>Feed!$F$7*1000/12</f>
        <v>11333.333333333334</v>
      </c>
      <c r="BU14" s="874">
        <f>Feed!$F$7*1000/12</f>
        <v>11333.333333333334</v>
      </c>
      <c r="BV14" s="874">
        <f>Feed!$F$7*1000/12</f>
        <v>11333.333333333334</v>
      </c>
      <c r="BW14" s="874">
        <f>Feed!$F$7*1000/12</f>
        <v>11333.333333333334</v>
      </c>
      <c r="BX14" s="874">
        <f>Feed!$F$7*1000/12</f>
        <v>11333.333333333334</v>
      </c>
      <c r="BY14" s="874">
        <f>Feed!$F$7*1000/12</f>
        <v>11333.333333333334</v>
      </c>
      <c r="BZ14" s="874">
        <f>Feed!$F$7*1000/12</f>
        <v>11333.333333333334</v>
      </c>
      <c r="CA14" s="874">
        <f>Feed!$F$7*1000/12</f>
        <v>11333.333333333334</v>
      </c>
      <c r="CB14" s="874">
        <f>Feed!$F$7*1000/12</f>
        <v>11333.333333333334</v>
      </c>
      <c r="CC14" s="874">
        <f>Feed!$F$7*1000/12</f>
        <v>11333.333333333334</v>
      </c>
      <c r="CD14" s="874">
        <f>Feed!$F$7*1000/12</f>
        <v>11333.333333333334</v>
      </c>
      <c r="CE14" s="874">
        <f>Feed!$F$7*1000/12</f>
        <v>11333.333333333334</v>
      </c>
      <c r="CF14" s="874">
        <f>Feed!$F$7*1000/12</f>
        <v>11333.333333333334</v>
      </c>
      <c r="CG14" s="874">
        <f>Feed!$F$7*1000/12</f>
        <v>11333.333333333334</v>
      </c>
      <c r="CH14" s="874">
        <f>Feed!$F$7*1000/12</f>
        <v>11333.333333333334</v>
      </c>
      <c r="CI14" s="874">
        <f>Feed!$F$7*1000/12</f>
        <v>11333.333333333334</v>
      </c>
      <c r="CJ14" s="874">
        <f>Feed!$F$7*1000/12</f>
        <v>11333.333333333334</v>
      </c>
      <c r="CK14" s="874">
        <f>Feed!$F$7*1000/12</f>
        <v>11333.333333333334</v>
      </c>
      <c r="CL14" s="874">
        <f>Feed!$F$7*1000/12</f>
        <v>11333.333333333334</v>
      </c>
      <c r="CM14" s="874">
        <f>Feed!$F$7*1000/12</f>
        <v>11333.333333333334</v>
      </c>
      <c r="CN14" s="347"/>
      <c r="CO14" s="347"/>
      <c r="CP14" s="347"/>
      <c r="CQ14" s="347"/>
      <c r="CR14" s="347"/>
      <c r="CS14" s="347"/>
      <c r="CT14" s="347"/>
      <c r="CU14" s="347"/>
      <c r="CV14" s="347"/>
      <c r="CW14" s="347"/>
      <c r="CX14" s="347"/>
      <c r="CY14" s="347"/>
      <c r="CZ14" s="347"/>
      <c r="DA14" s="347"/>
      <c r="DB14" s="347"/>
      <c r="DC14" s="347"/>
      <c r="DD14" s="347"/>
      <c r="DE14" s="347"/>
      <c r="DF14" s="347"/>
      <c r="DG14" s="347"/>
      <c r="DH14" s="347"/>
      <c r="DI14" s="347"/>
      <c r="DJ14" s="347"/>
      <c r="DK14" s="347"/>
      <c r="DL14" s="347"/>
      <c r="DM14" s="347"/>
      <c r="DN14" s="347"/>
      <c r="DO14" s="347"/>
      <c r="DP14" s="347"/>
      <c r="DQ14" s="347"/>
      <c r="DR14" s="347"/>
      <c r="DS14" s="347"/>
      <c r="DT14" s="347"/>
      <c r="DU14" s="347"/>
      <c r="DV14" s="347"/>
      <c r="DW14" s="347"/>
      <c r="DX14" s="347"/>
      <c r="DY14" s="347"/>
      <c r="DZ14" s="347"/>
      <c r="EA14" s="347"/>
      <c r="EB14" s="347"/>
      <c r="EC14" s="347"/>
      <c r="ED14" s="347"/>
      <c r="EE14" s="347"/>
      <c r="EF14" s="347"/>
      <c r="EG14" s="347"/>
      <c r="EH14" s="347"/>
      <c r="EI14" s="347"/>
      <c r="EJ14" s="347"/>
      <c r="EK14" s="347"/>
      <c r="EL14" s="347"/>
      <c r="EM14" s="347"/>
      <c r="EN14" s="347"/>
      <c r="EO14" s="347"/>
      <c r="EP14" s="347"/>
      <c r="EQ14" s="347"/>
      <c r="ER14" s="347"/>
      <c r="ES14" s="347"/>
      <c r="ET14" s="347"/>
      <c r="EU14" s="347"/>
      <c r="EV14" s="347"/>
      <c r="EW14" s="347"/>
      <c r="EX14" s="347"/>
      <c r="EY14" s="347"/>
      <c r="EZ14" s="347"/>
      <c r="FA14" s="347"/>
      <c r="FB14" s="347"/>
      <c r="FC14" s="347"/>
      <c r="FD14" s="347"/>
      <c r="FE14" s="347"/>
      <c r="FF14" s="347"/>
      <c r="FG14" s="347"/>
      <c r="FH14" s="347"/>
      <c r="FI14" s="347"/>
      <c r="FJ14" s="347"/>
      <c r="FK14" s="347"/>
      <c r="FL14" s="347"/>
      <c r="FM14" s="347"/>
      <c r="FN14" s="347"/>
      <c r="FO14" s="347"/>
      <c r="FP14" s="347"/>
      <c r="FQ14" s="347"/>
      <c r="FR14" s="347"/>
      <c r="FS14" s="347"/>
      <c r="FT14" s="347"/>
      <c r="FU14" s="347"/>
      <c r="FV14" s="347"/>
    </row>
    <row r="15" spans="1:178">
      <c r="A15" s="1406"/>
      <c r="B15" s="876" t="s">
        <v>403</v>
      </c>
      <c r="C15" s="877" t="s">
        <v>402</v>
      </c>
      <c r="D15" s="877"/>
      <c r="E15" s="1398"/>
      <c r="F15" s="878" t="s">
        <v>1</v>
      </c>
      <c r="G15" s="874">
        <f>Feed!$F$5*1000/12</f>
        <v>134250</v>
      </c>
      <c r="H15" s="874">
        <f>Feed!$F$5*1000/12</f>
        <v>134250</v>
      </c>
      <c r="I15" s="874">
        <f>Feed!$F$5*1000/12</f>
        <v>134250</v>
      </c>
      <c r="J15" s="874">
        <f>Feed!$F$5*1000/12</f>
        <v>134250</v>
      </c>
      <c r="K15" s="874">
        <f>Feed!$F$5*1000/12</f>
        <v>134250</v>
      </c>
      <c r="L15" s="874">
        <f>Feed!$F$5*1000/12</f>
        <v>134250</v>
      </c>
      <c r="M15" s="874">
        <f>Feed!$F$5*1000/12</f>
        <v>134250</v>
      </c>
      <c r="N15" s="874">
        <f>Feed!$F$5*1000/12</f>
        <v>134250</v>
      </c>
      <c r="O15" s="874">
        <f>Feed!$F$5*1000/12</f>
        <v>134250</v>
      </c>
      <c r="P15" s="874">
        <f>Feed!$F$5*1000/12</f>
        <v>134250</v>
      </c>
      <c r="Q15" s="874">
        <f>Feed!$F$5*1000/12</f>
        <v>134250</v>
      </c>
      <c r="R15" s="874">
        <f>Feed!$F$5*1000/12</f>
        <v>134250</v>
      </c>
      <c r="S15" s="874">
        <f>Feed!$F$5*1000/12</f>
        <v>134250</v>
      </c>
      <c r="T15" s="874">
        <f>Feed!$F$5*1000/12</f>
        <v>134250</v>
      </c>
      <c r="U15" s="874">
        <f>Feed!$F$5*1000/12</f>
        <v>134250</v>
      </c>
      <c r="V15" s="874">
        <f>Feed!$F$5*1000/12</f>
        <v>134250</v>
      </c>
      <c r="W15" s="874">
        <f>Feed!$F$5*1000/12</f>
        <v>134250</v>
      </c>
      <c r="X15" s="874">
        <f>Feed!$F$5*1000/12</f>
        <v>134250</v>
      </c>
      <c r="Y15" s="874">
        <f>Feed!$F$5*1000/12</f>
        <v>134250</v>
      </c>
      <c r="Z15" s="874">
        <f>Feed!$F$5*1000/12</f>
        <v>134250</v>
      </c>
      <c r="AA15" s="874">
        <f>Feed!$F$5*1000/12</f>
        <v>134250</v>
      </c>
      <c r="AB15" s="874">
        <f>Feed!$F$5*1000/12</f>
        <v>134250</v>
      </c>
      <c r="AC15" s="874">
        <f>Feed!$F$5*1000/12</f>
        <v>134250</v>
      </c>
      <c r="AD15" s="874">
        <f>Feed!$F$5*1000/12</f>
        <v>134250</v>
      </c>
      <c r="AE15" s="874">
        <f>Feed!$F$5*1000/12</f>
        <v>134250</v>
      </c>
      <c r="AF15" s="874">
        <f>Feed!$F$5*1000/12</f>
        <v>134250</v>
      </c>
      <c r="AG15" s="874">
        <f>Feed!$F$5*1000/12</f>
        <v>134250</v>
      </c>
      <c r="AH15" s="874">
        <f>Feed!$F$5*1000/12</f>
        <v>134250</v>
      </c>
      <c r="AI15" s="874">
        <f>Feed!$F$5*1000/12</f>
        <v>134250</v>
      </c>
      <c r="AJ15" s="874">
        <f>Feed!$F$5*1000/12</f>
        <v>134250</v>
      </c>
      <c r="AK15" s="874">
        <f>Feed!$F$5*1000/12</f>
        <v>134250</v>
      </c>
      <c r="AL15" s="874">
        <f>Feed!$F$5*1000/12</f>
        <v>134250</v>
      </c>
      <c r="AM15" s="874">
        <f>Feed!$F$5*1000/12</f>
        <v>134250</v>
      </c>
      <c r="AN15" s="874">
        <f>Feed!$F$5*1000/12</f>
        <v>134250</v>
      </c>
      <c r="AO15" s="874">
        <f>Feed!$F$5*1000/12</f>
        <v>134250</v>
      </c>
      <c r="AP15" s="874">
        <f>Feed!$F$5*1000/12</f>
        <v>134250</v>
      </c>
      <c r="AQ15" s="874">
        <f>Feed!$F$5*1000/12</f>
        <v>134250</v>
      </c>
      <c r="AR15" s="874">
        <f>Feed!$F$5*1000/12</f>
        <v>134250</v>
      </c>
      <c r="AS15" s="874">
        <f>Feed!$F$5*1000/12</f>
        <v>134250</v>
      </c>
      <c r="AT15" s="874">
        <f>Feed!$F$5*1000/12</f>
        <v>134250</v>
      </c>
      <c r="AU15" s="874">
        <f>Feed!$F$5*1000/12</f>
        <v>134250</v>
      </c>
      <c r="AV15" s="874">
        <f>Feed!$F$5*1000/12</f>
        <v>134250</v>
      </c>
      <c r="AW15" s="874">
        <f>Feed!$F$5*1000/12</f>
        <v>134250</v>
      </c>
      <c r="AX15" s="874">
        <f>Feed!$F$5*1000/12</f>
        <v>134250</v>
      </c>
      <c r="AY15" s="874">
        <f>Feed!$F$5*1000/12</f>
        <v>134250</v>
      </c>
      <c r="AZ15" s="874">
        <f>Feed!$F$5*1000/12</f>
        <v>134250</v>
      </c>
      <c r="BA15" s="874">
        <f>Feed!$F$5*1000/12</f>
        <v>134250</v>
      </c>
      <c r="BB15" s="874">
        <f>Feed!$F$5*1000/12</f>
        <v>134250</v>
      </c>
      <c r="BC15" s="874">
        <f>Feed!$F$5*1000/12</f>
        <v>134250</v>
      </c>
      <c r="BD15" s="874">
        <f>Feed!$F$5*1000/12</f>
        <v>134250</v>
      </c>
      <c r="BE15" s="874">
        <f>Feed!$F$5*1000/12</f>
        <v>134250</v>
      </c>
      <c r="BF15" s="874">
        <f>Feed!$F$5*1000/12</f>
        <v>134250</v>
      </c>
      <c r="BG15" s="874">
        <f>Feed!$F$5*1000/12</f>
        <v>134250</v>
      </c>
      <c r="BH15" s="874">
        <f>Feed!$F$5*1000/12</f>
        <v>134250</v>
      </c>
      <c r="BI15" s="874">
        <f>Feed!$F$5*1000/12</f>
        <v>134250</v>
      </c>
      <c r="BJ15" s="874">
        <f>Feed!$F$5*1000/12</f>
        <v>134250</v>
      </c>
      <c r="BK15" s="874">
        <f>Feed!$F$5*1000/12</f>
        <v>134250</v>
      </c>
      <c r="BL15" s="874">
        <f>Feed!$F$5*1000/12</f>
        <v>134250</v>
      </c>
      <c r="BM15" s="874">
        <f>Feed!$F$5*1000/12</f>
        <v>134250</v>
      </c>
      <c r="BN15" s="874">
        <f>Feed!$F$5*1000/12</f>
        <v>134250</v>
      </c>
      <c r="BO15" s="874">
        <f>Feed!$F$5*1000/12</f>
        <v>134250</v>
      </c>
      <c r="BP15" s="874">
        <f>Feed!$F$5*1000/12</f>
        <v>134250</v>
      </c>
      <c r="BQ15" s="874">
        <f>Feed!$F$5*1000/12</f>
        <v>134250</v>
      </c>
      <c r="BR15" s="874">
        <f>Feed!$F$5*1000/12</f>
        <v>134250</v>
      </c>
      <c r="BS15" s="874">
        <f>Feed!$F$5*1000/12</f>
        <v>134250</v>
      </c>
      <c r="BT15" s="874">
        <f>Feed!$F$5*1000/12</f>
        <v>134250</v>
      </c>
      <c r="BU15" s="874">
        <f>Feed!$F$5*1000/12</f>
        <v>134250</v>
      </c>
      <c r="BV15" s="874">
        <f>Feed!$F$5*1000/12</f>
        <v>134250</v>
      </c>
      <c r="BW15" s="874">
        <f>Feed!$F$5*1000/12</f>
        <v>134250</v>
      </c>
      <c r="BX15" s="874">
        <f>Feed!$F$5*1000/12</f>
        <v>134250</v>
      </c>
      <c r="BY15" s="874">
        <f>Feed!$F$5*1000/12</f>
        <v>134250</v>
      </c>
      <c r="BZ15" s="874">
        <f>Feed!$F$5*1000/12</f>
        <v>134250</v>
      </c>
      <c r="CA15" s="874">
        <f>Feed!$F$5*1000/12</f>
        <v>134250</v>
      </c>
      <c r="CB15" s="874">
        <f>Feed!$F$5*1000/12</f>
        <v>134250</v>
      </c>
      <c r="CC15" s="874">
        <f>Feed!$F$5*1000/12</f>
        <v>134250</v>
      </c>
      <c r="CD15" s="874">
        <f>Feed!$F$5*1000/12</f>
        <v>134250</v>
      </c>
      <c r="CE15" s="874">
        <f>Feed!$F$5*1000/12</f>
        <v>134250</v>
      </c>
      <c r="CF15" s="874">
        <f>Feed!$F$5*1000/12</f>
        <v>134250</v>
      </c>
      <c r="CG15" s="874">
        <f>Feed!$F$5*1000/12</f>
        <v>134250</v>
      </c>
      <c r="CH15" s="874">
        <f>Feed!$F$5*1000/12</f>
        <v>134250</v>
      </c>
      <c r="CI15" s="874">
        <f>Feed!$F$5*1000/12</f>
        <v>134250</v>
      </c>
      <c r="CJ15" s="874">
        <f>Feed!$F$5*1000/12</f>
        <v>134250</v>
      </c>
      <c r="CK15" s="874">
        <f>Feed!$F$5*1000/12</f>
        <v>134250</v>
      </c>
      <c r="CL15" s="874">
        <f>Feed!$F$5*1000/12</f>
        <v>134250</v>
      </c>
      <c r="CM15" s="874">
        <f>Feed!$F$5*1000/12</f>
        <v>134250</v>
      </c>
      <c r="CN15" s="347"/>
      <c r="CO15" s="347"/>
      <c r="CP15" s="347"/>
      <c r="CQ15" s="347"/>
      <c r="CR15" s="347"/>
      <c r="CS15" s="347"/>
      <c r="CT15" s="347"/>
      <c r="CU15" s="347"/>
      <c r="CV15" s="347"/>
      <c r="CW15" s="347"/>
      <c r="CX15" s="347"/>
      <c r="CY15" s="347"/>
      <c r="CZ15" s="347"/>
      <c r="DA15" s="347"/>
      <c r="DB15" s="347"/>
      <c r="DC15" s="347"/>
      <c r="DD15" s="347"/>
      <c r="DE15" s="347"/>
      <c r="DF15" s="347"/>
      <c r="DG15" s="347"/>
      <c r="DH15" s="347"/>
      <c r="DI15" s="347"/>
      <c r="DJ15" s="347"/>
      <c r="DK15" s="347"/>
      <c r="DL15" s="347"/>
      <c r="DM15" s="347"/>
      <c r="DN15" s="347"/>
      <c r="DO15" s="347"/>
      <c r="DP15" s="347"/>
      <c r="DQ15" s="347"/>
      <c r="DR15" s="347"/>
      <c r="DS15" s="347"/>
      <c r="DT15" s="347"/>
      <c r="DU15" s="347"/>
      <c r="DV15" s="347"/>
      <c r="DW15" s="347"/>
      <c r="DX15" s="347"/>
      <c r="DY15" s="347"/>
      <c r="DZ15" s="347"/>
      <c r="EA15" s="347"/>
      <c r="EB15" s="347"/>
      <c r="EC15" s="347"/>
      <c r="ED15" s="347"/>
      <c r="EE15" s="347"/>
      <c r="EF15" s="347"/>
      <c r="EG15" s="347"/>
      <c r="EH15" s="347"/>
      <c r="EI15" s="347"/>
      <c r="EJ15" s="347"/>
      <c r="EK15" s="347"/>
      <c r="EL15" s="347"/>
      <c r="EM15" s="347"/>
      <c r="EN15" s="347"/>
      <c r="EO15" s="347"/>
      <c r="EP15" s="347"/>
      <c r="EQ15" s="347"/>
      <c r="ER15" s="347"/>
      <c r="ES15" s="347"/>
      <c r="ET15" s="347"/>
      <c r="EU15" s="347"/>
      <c r="EV15" s="347"/>
      <c r="EW15" s="347"/>
      <c r="EX15" s="347"/>
      <c r="EY15" s="347"/>
      <c r="EZ15" s="347"/>
      <c r="FA15" s="347"/>
      <c r="FB15" s="347"/>
      <c r="FC15" s="347"/>
      <c r="FD15" s="347"/>
      <c r="FE15" s="347"/>
      <c r="FF15" s="347"/>
      <c r="FG15" s="347"/>
      <c r="FH15" s="347"/>
      <c r="FI15" s="347"/>
      <c r="FJ15" s="347"/>
      <c r="FK15" s="347"/>
      <c r="FL15" s="347"/>
      <c r="FM15" s="347"/>
      <c r="FN15" s="347"/>
      <c r="FO15" s="347"/>
      <c r="FP15" s="347"/>
      <c r="FQ15" s="347"/>
      <c r="FR15" s="347"/>
      <c r="FS15" s="347"/>
      <c r="FT15" s="347"/>
      <c r="FU15" s="347"/>
      <c r="FV15" s="347"/>
    </row>
    <row r="16" spans="1:178">
      <c r="A16" s="1408" t="s">
        <v>448</v>
      </c>
      <c r="B16" s="313" t="s">
        <v>403</v>
      </c>
      <c r="C16" s="583" t="s">
        <v>402</v>
      </c>
      <c r="D16" s="583"/>
      <c r="E16" s="1411" t="s">
        <v>449</v>
      </c>
      <c r="F16" s="879" t="s">
        <v>165</v>
      </c>
      <c r="G16" s="880">
        <f>Feed!$G$11*1000/12</f>
        <v>112302.65150886511</v>
      </c>
      <c r="H16" s="880">
        <f>Feed!$G$11*1000/12</f>
        <v>112302.65150886511</v>
      </c>
      <c r="I16" s="880">
        <f>Feed!$G$11*1000/12</f>
        <v>112302.65150886511</v>
      </c>
      <c r="J16" s="880">
        <f>Feed!$G$11*1000/12</f>
        <v>112302.65150886511</v>
      </c>
      <c r="K16" s="880">
        <f>Feed!$G$11*1000/12</f>
        <v>112302.65150886511</v>
      </c>
      <c r="L16" s="880">
        <f>Feed!$G$11*1000/12</f>
        <v>112302.65150886511</v>
      </c>
      <c r="M16" s="880">
        <f>Feed!$G$11*1000/12</f>
        <v>112302.65150886511</v>
      </c>
      <c r="N16" s="880">
        <f>Feed!$G$11*1000/12</f>
        <v>112302.65150886511</v>
      </c>
      <c r="O16" s="880">
        <f>Feed!$G$11*1000/12</f>
        <v>112302.65150886511</v>
      </c>
      <c r="P16" s="880">
        <f>Feed!$G$11*1000/12</f>
        <v>112302.65150886511</v>
      </c>
      <c r="Q16" s="880">
        <f>Feed!$G$11*1000/12</f>
        <v>112302.65150886511</v>
      </c>
      <c r="R16" s="880">
        <f>Feed!$G$11*1000/12</f>
        <v>112302.65150886511</v>
      </c>
      <c r="S16" s="880">
        <f>Feed!$G$11*1000/12</f>
        <v>112302.65150886511</v>
      </c>
      <c r="T16" s="880">
        <f>Feed!$G$11*1000/12</f>
        <v>112302.65150886511</v>
      </c>
      <c r="U16" s="880">
        <f>Feed!$G$11*1000/12</f>
        <v>112302.65150886511</v>
      </c>
      <c r="V16" s="880">
        <f>Feed!$G$11*1000/12</f>
        <v>112302.65150886511</v>
      </c>
      <c r="W16" s="880">
        <f>Feed!$G$11*1000/12</f>
        <v>112302.65150886511</v>
      </c>
      <c r="X16" s="880">
        <f>Feed!$G$11*1000/12</f>
        <v>112302.65150886511</v>
      </c>
      <c r="Y16" s="880">
        <f>Feed!$G$11*1000/12</f>
        <v>112302.65150886511</v>
      </c>
      <c r="Z16" s="880">
        <f>Feed!$G$11*1000/12</f>
        <v>112302.65150886511</v>
      </c>
      <c r="AA16" s="880">
        <f>Feed!$G$11*1000/12</f>
        <v>112302.65150886511</v>
      </c>
      <c r="AB16" s="880">
        <f>Feed!$G$11*1000/12</f>
        <v>112302.65150886511</v>
      </c>
      <c r="AC16" s="880">
        <f>Feed!$G$11*1000/12</f>
        <v>112302.65150886511</v>
      </c>
      <c r="AD16" s="880">
        <f>Feed!$G$11*1000/12</f>
        <v>112302.65150886511</v>
      </c>
      <c r="AE16" s="880">
        <f>Feed!$G$11*1000/12</f>
        <v>112302.65150886511</v>
      </c>
      <c r="AF16" s="880">
        <f>Feed!$G$11*1000/12</f>
        <v>112302.65150886511</v>
      </c>
      <c r="AG16" s="880">
        <f>Feed!$G$11*1000/12</f>
        <v>112302.65150886511</v>
      </c>
      <c r="AH16" s="880">
        <f>Feed!$G$11*1000/12</f>
        <v>112302.65150886511</v>
      </c>
      <c r="AI16" s="880">
        <f>Feed!$G$11*1000/12</f>
        <v>112302.65150886511</v>
      </c>
      <c r="AJ16" s="880">
        <f>Feed!$G$11*1000/12</f>
        <v>112302.65150886511</v>
      </c>
      <c r="AK16" s="880">
        <f>Feed!$G$11*1000/12</f>
        <v>112302.65150886511</v>
      </c>
      <c r="AL16" s="880">
        <f>Feed!$G$11*1000/12</f>
        <v>112302.65150886511</v>
      </c>
      <c r="AM16" s="880">
        <f>Feed!$G$11*1000/12</f>
        <v>112302.65150886511</v>
      </c>
      <c r="AN16" s="880">
        <f>Feed!$G$11*1000/12</f>
        <v>112302.65150886511</v>
      </c>
      <c r="AO16" s="880">
        <f>Feed!$G$11*1000/12</f>
        <v>112302.65150886511</v>
      </c>
      <c r="AP16" s="880">
        <f>Feed!$G$11*1000/12</f>
        <v>112302.65150886511</v>
      </c>
      <c r="AQ16" s="880">
        <f>Feed!$G$11*1000/12</f>
        <v>112302.65150886511</v>
      </c>
      <c r="AR16" s="880">
        <f>Feed!$G$11*1000/12</f>
        <v>112302.65150886511</v>
      </c>
      <c r="AS16" s="880">
        <f>Feed!$G$11*1000/12</f>
        <v>112302.65150886511</v>
      </c>
      <c r="AT16" s="880">
        <f>Feed!$G$11*1000/12</f>
        <v>112302.65150886511</v>
      </c>
      <c r="AU16" s="880">
        <f>Feed!$G$11*1000/12</f>
        <v>112302.65150886511</v>
      </c>
      <c r="AV16" s="880">
        <f>Feed!$G$11*1000/12</f>
        <v>112302.65150886511</v>
      </c>
      <c r="AW16" s="880">
        <f>Feed!$G$11*1000/12</f>
        <v>112302.65150886511</v>
      </c>
      <c r="AX16" s="880">
        <f>Feed!$G$11*1000/12</f>
        <v>112302.65150886511</v>
      </c>
      <c r="AY16" s="880">
        <f>Feed!$G$11*1000/12</f>
        <v>112302.65150886511</v>
      </c>
      <c r="AZ16" s="880">
        <f>Feed!$G$11*1000/12</f>
        <v>112302.65150886511</v>
      </c>
      <c r="BA16" s="880">
        <f>Feed!$G$11*1000/12</f>
        <v>112302.65150886511</v>
      </c>
      <c r="BB16" s="880">
        <f>Feed!$G$11*1000/12</f>
        <v>112302.65150886511</v>
      </c>
      <c r="BC16" s="880">
        <f>Feed!$G$11*1000/12</f>
        <v>112302.65150886511</v>
      </c>
      <c r="BD16" s="880">
        <f>Feed!$G$11*1000/12</f>
        <v>112302.65150886511</v>
      </c>
      <c r="BE16" s="880">
        <f>Feed!$G$11*1000/12</f>
        <v>112302.65150886511</v>
      </c>
      <c r="BF16" s="880">
        <f>Feed!$G$11*1000/12</f>
        <v>112302.65150886511</v>
      </c>
      <c r="BG16" s="880">
        <f>Feed!$G$11*1000/12</f>
        <v>112302.65150886511</v>
      </c>
      <c r="BH16" s="880">
        <f>Feed!$G$11*1000/12</f>
        <v>112302.65150886511</v>
      </c>
      <c r="BI16" s="880">
        <f>Feed!$G$11*1000/12</f>
        <v>112302.65150886511</v>
      </c>
      <c r="BJ16" s="880">
        <f>Feed!$G$11*1000/12</f>
        <v>112302.65150886511</v>
      </c>
      <c r="BK16" s="880">
        <f>Feed!$G$11*1000/12</f>
        <v>112302.65150886511</v>
      </c>
      <c r="BL16" s="880">
        <f>Feed!$G$11*1000/12</f>
        <v>112302.65150886511</v>
      </c>
      <c r="BM16" s="880">
        <f>Feed!$G$11*1000/12</f>
        <v>112302.65150886511</v>
      </c>
      <c r="BN16" s="880">
        <f>Feed!$G$11*1000/12</f>
        <v>112302.65150886511</v>
      </c>
      <c r="BO16" s="880">
        <f>Feed!$G$11*1000/12</f>
        <v>112302.65150886511</v>
      </c>
      <c r="BP16" s="880">
        <f>Feed!$G$11*1000/12</f>
        <v>112302.65150886511</v>
      </c>
      <c r="BQ16" s="880">
        <f>Feed!$G$11*1000/12</f>
        <v>112302.65150886511</v>
      </c>
      <c r="BR16" s="880">
        <f>Feed!$G$11*1000/12</f>
        <v>112302.65150886511</v>
      </c>
      <c r="BS16" s="880">
        <f>Feed!$G$11*1000/12</f>
        <v>112302.65150886511</v>
      </c>
      <c r="BT16" s="880">
        <f>Feed!$G$11*1000/12</f>
        <v>112302.65150886511</v>
      </c>
      <c r="BU16" s="880">
        <f>Feed!$G$11*1000/12</f>
        <v>112302.65150886511</v>
      </c>
      <c r="BV16" s="880">
        <f>Feed!$G$11*1000/12</f>
        <v>112302.65150886511</v>
      </c>
      <c r="BW16" s="880">
        <f>Feed!$G$11*1000/12</f>
        <v>112302.65150886511</v>
      </c>
      <c r="BX16" s="880">
        <f>Feed!$G$11*1000/12</f>
        <v>112302.65150886511</v>
      </c>
      <c r="BY16" s="880">
        <f>Feed!$G$11*1000/12</f>
        <v>112302.65150886511</v>
      </c>
      <c r="BZ16" s="880">
        <f>Feed!$G$11*1000/12</f>
        <v>112302.65150886511</v>
      </c>
      <c r="CA16" s="880">
        <f>Feed!$G$11*1000/12</f>
        <v>112302.65150886511</v>
      </c>
      <c r="CB16" s="880">
        <f>Feed!$G$11*1000/12</f>
        <v>112302.65150886511</v>
      </c>
      <c r="CC16" s="880">
        <f>Feed!$G$11*1000/12</f>
        <v>112302.65150886511</v>
      </c>
      <c r="CD16" s="880">
        <f>Feed!$G$11*1000/12</f>
        <v>112302.65150886511</v>
      </c>
      <c r="CE16" s="880">
        <f>Feed!$G$11*1000/12</f>
        <v>112302.65150886511</v>
      </c>
      <c r="CF16" s="880">
        <f>Feed!$G$11*1000/12</f>
        <v>112302.65150886511</v>
      </c>
      <c r="CG16" s="880">
        <f>Feed!$G$11*1000/12</f>
        <v>112302.65150886511</v>
      </c>
      <c r="CH16" s="880">
        <f>Feed!$G$11*1000/12</f>
        <v>112302.65150886511</v>
      </c>
      <c r="CI16" s="880">
        <f>Feed!$G$11*1000/12</f>
        <v>112302.65150886511</v>
      </c>
      <c r="CJ16" s="880">
        <f>Feed!$G$11*1000/12</f>
        <v>112302.65150886511</v>
      </c>
      <c r="CK16" s="880">
        <f>Feed!$G$11*1000/12</f>
        <v>112302.65150886511</v>
      </c>
      <c r="CL16" s="880">
        <f>Feed!$G$11*1000/12</f>
        <v>112302.65150886511</v>
      </c>
      <c r="CM16" s="880">
        <f>Feed!$G$11*1000/12</f>
        <v>112302.65150886511</v>
      </c>
      <c r="CN16" s="347"/>
      <c r="CO16" s="347"/>
      <c r="CP16" s="347"/>
      <c r="CQ16" s="347"/>
      <c r="CR16" s="347"/>
      <c r="CS16" s="347"/>
      <c r="CT16" s="347"/>
      <c r="CU16" s="347"/>
      <c r="CV16" s="347"/>
      <c r="CW16" s="347"/>
      <c r="CX16" s="347"/>
      <c r="CY16" s="347"/>
      <c r="CZ16" s="347"/>
      <c r="DA16" s="347"/>
      <c r="DB16" s="347"/>
      <c r="DC16" s="347"/>
      <c r="DD16" s="347"/>
      <c r="DE16" s="347"/>
      <c r="DF16" s="347"/>
      <c r="DG16" s="347"/>
      <c r="DH16" s="347"/>
      <c r="DI16" s="347"/>
      <c r="DJ16" s="347"/>
      <c r="DK16" s="347"/>
      <c r="DL16" s="347"/>
      <c r="DM16" s="347"/>
      <c r="DN16" s="347"/>
      <c r="DO16" s="347"/>
      <c r="DP16" s="347"/>
      <c r="DQ16" s="347"/>
      <c r="DR16" s="347"/>
      <c r="DS16" s="347"/>
      <c r="DT16" s="347"/>
      <c r="DU16" s="347"/>
      <c r="DV16" s="347"/>
      <c r="DW16" s="347"/>
      <c r="DX16" s="347"/>
      <c r="DY16" s="347"/>
      <c r="DZ16" s="347"/>
      <c r="EA16" s="347"/>
      <c r="EB16" s="347"/>
      <c r="EC16" s="347"/>
      <c r="ED16" s="347"/>
      <c r="EE16" s="347"/>
      <c r="EF16" s="347"/>
      <c r="EG16" s="347"/>
      <c r="EH16" s="347"/>
      <c r="EI16" s="347"/>
      <c r="EJ16" s="347"/>
      <c r="EK16" s="347"/>
      <c r="EL16" s="347"/>
      <c r="EM16" s="347"/>
      <c r="EN16" s="347"/>
      <c r="EO16" s="347"/>
      <c r="EP16" s="347"/>
      <c r="EQ16" s="347"/>
      <c r="ER16" s="347"/>
      <c r="ES16" s="347"/>
      <c r="ET16" s="347"/>
      <c r="EU16" s="347"/>
      <c r="EV16" s="347"/>
      <c r="EW16" s="347"/>
      <c r="EX16" s="347"/>
      <c r="EY16" s="347"/>
      <c r="EZ16" s="347"/>
      <c r="FA16" s="347"/>
      <c r="FB16" s="347"/>
      <c r="FC16" s="347"/>
      <c r="FD16" s="347"/>
      <c r="FE16" s="347"/>
      <c r="FF16" s="347"/>
      <c r="FG16" s="347"/>
      <c r="FH16" s="347"/>
      <c r="FI16" s="347"/>
      <c r="FJ16" s="347"/>
      <c r="FK16" s="347"/>
      <c r="FL16" s="347"/>
      <c r="FM16" s="347"/>
      <c r="FN16" s="347"/>
      <c r="FO16" s="347"/>
      <c r="FP16" s="347"/>
      <c r="FQ16" s="347"/>
      <c r="FR16" s="347"/>
      <c r="FS16" s="347"/>
      <c r="FT16" s="347"/>
      <c r="FU16" s="347"/>
      <c r="FV16" s="347"/>
    </row>
    <row r="17" spans="1:178">
      <c r="A17" s="1409"/>
      <c r="B17" s="811" t="s">
        <v>403</v>
      </c>
      <c r="C17" s="581" t="s">
        <v>402</v>
      </c>
      <c r="D17" s="581"/>
      <c r="E17" s="1412"/>
      <c r="F17" s="881" t="s">
        <v>2</v>
      </c>
      <c r="G17" s="882">
        <f>Feed!$G$12/12*1000</f>
        <v>43043.967354023174</v>
      </c>
      <c r="H17" s="882">
        <f>Feed!$G$12/12*1000</f>
        <v>43043.967354023174</v>
      </c>
      <c r="I17" s="882">
        <f>Feed!$G$12/12*1000</f>
        <v>43043.967354023174</v>
      </c>
      <c r="J17" s="882">
        <f>Feed!$G$12/12*1000</f>
        <v>43043.967354023174</v>
      </c>
      <c r="K17" s="882">
        <f>Feed!$G$12/12*1000</f>
        <v>43043.967354023174</v>
      </c>
      <c r="L17" s="882">
        <f>Feed!$G$12/12*1000</f>
        <v>43043.967354023174</v>
      </c>
      <c r="M17" s="882">
        <f>Feed!$G$12/12*1000</f>
        <v>43043.967354023174</v>
      </c>
      <c r="N17" s="882">
        <f>Feed!$G$12/12*1000</f>
        <v>43043.967354023174</v>
      </c>
      <c r="O17" s="882">
        <f>Feed!$G$12/12*1000</f>
        <v>43043.967354023174</v>
      </c>
      <c r="P17" s="882">
        <f>Feed!$G$12/12*1000</f>
        <v>43043.967354023174</v>
      </c>
      <c r="Q17" s="882">
        <f>Feed!$G$12/12*1000</f>
        <v>43043.967354023174</v>
      </c>
      <c r="R17" s="882">
        <f>Feed!$G$12/12*1000</f>
        <v>43043.967354023174</v>
      </c>
      <c r="S17" s="882">
        <f>Feed!$G$12/12*1000</f>
        <v>43043.967354023174</v>
      </c>
      <c r="T17" s="882">
        <f>Feed!$G$12/12*1000</f>
        <v>43043.967354023174</v>
      </c>
      <c r="U17" s="882">
        <f>Feed!$G$12/12*1000</f>
        <v>43043.967354023174</v>
      </c>
      <c r="V17" s="882">
        <f>Feed!$G$12/12*1000</f>
        <v>43043.967354023174</v>
      </c>
      <c r="W17" s="882">
        <f>Feed!$G$12/12*1000</f>
        <v>43043.967354023174</v>
      </c>
      <c r="X17" s="882">
        <f>Feed!$G$12/12*1000</f>
        <v>43043.967354023174</v>
      </c>
      <c r="Y17" s="882">
        <f>Feed!$G$12/12*1000</f>
        <v>43043.967354023174</v>
      </c>
      <c r="Z17" s="882">
        <f>Feed!$G$12/12*1000</f>
        <v>43043.967354023174</v>
      </c>
      <c r="AA17" s="882">
        <f>Feed!$G$12/12*1000</f>
        <v>43043.967354023174</v>
      </c>
      <c r="AB17" s="882">
        <f>Feed!$G$12/12*1000</f>
        <v>43043.967354023174</v>
      </c>
      <c r="AC17" s="882">
        <f>Feed!$G$12/12*1000</f>
        <v>43043.967354023174</v>
      </c>
      <c r="AD17" s="882">
        <f>Feed!$G$12/12*1000</f>
        <v>43043.967354023174</v>
      </c>
      <c r="AE17" s="882">
        <f>Feed!$G$12/12*1000</f>
        <v>43043.967354023174</v>
      </c>
      <c r="AF17" s="882">
        <f>Feed!$G$12/12*1000</f>
        <v>43043.967354023174</v>
      </c>
      <c r="AG17" s="882">
        <f>Feed!$G$12/12*1000</f>
        <v>43043.967354023174</v>
      </c>
      <c r="AH17" s="882">
        <f>Feed!$G$12/12*1000</f>
        <v>43043.967354023174</v>
      </c>
      <c r="AI17" s="882">
        <f>Feed!$G$12/12*1000</f>
        <v>43043.967354023174</v>
      </c>
      <c r="AJ17" s="882">
        <f>Feed!$G$12/12*1000</f>
        <v>43043.967354023174</v>
      </c>
      <c r="AK17" s="882">
        <f>Feed!$G$12/12*1000</f>
        <v>43043.967354023174</v>
      </c>
      <c r="AL17" s="882">
        <f>Feed!$G$12/12*1000</f>
        <v>43043.967354023174</v>
      </c>
      <c r="AM17" s="882">
        <f>Feed!$G$12/12*1000</f>
        <v>43043.967354023174</v>
      </c>
      <c r="AN17" s="882">
        <f>Feed!$G$12/12*1000</f>
        <v>43043.967354023174</v>
      </c>
      <c r="AO17" s="882">
        <f>Feed!$G$12/12*1000</f>
        <v>43043.967354023174</v>
      </c>
      <c r="AP17" s="882">
        <f>Feed!$G$12/12*1000</f>
        <v>43043.967354023174</v>
      </c>
      <c r="AQ17" s="882">
        <f>Feed!$G$12/12*1000</f>
        <v>43043.967354023174</v>
      </c>
      <c r="AR17" s="882">
        <f>Feed!$G$12/12*1000</f>
        <v>43043.967354023174</v>
      </c>
      <c r="AS17" s="882">
        <f>Feed!$G$12/12*1000</f>
        <v>43043.967354023174</v>
      </c>
      <c r="AT17" s="882">
        <f>Feed!$G$12/12*1000</f>
        <v>43043.967354023174</v>
      </c>
      <c r="AU17" s="882">
        <f>Feed!$G$12/12*1000</f>
        <v>43043.967354023174</v>
      </c>
      <c r="AV17" s="882">
        <f>Feed!$G$12/12*1000</f>
        <v>43043.967354023174</v>
      </c>
      <c r="AW17" s="882">
        <f>Feed!$G$12/12*1000</f>
        <v>43043.967354023174</v>
      </c>
      <c r="AX17" s="882">
        <f>Feed!$G$12/12*1000</f>
        <v>43043.967354023174</v>
      </c>
      <c r="AY17" s="882">
        <f>Feed!$G$12/12*1000</f>
        <v>43043.967354023174</v>
      </c>
      <c r="AZ17" s="882">
        <f>Feed!$G$12/12*1000</f>
        <v>43043.967354023174</v>
      </c>
      <c r="BA17" s="882">
        <f>Feed!$G$12/12*1000</f>
        <v>43043.967354023174</v>
      </c>
      <c r="BB17" s="882">
        <f>Feed!$G$12/12*1000</f>
        <v>43043.967354023174</v>
      </c>
      <c r="BC17" s="882">
        <f>Feed!$G$12/12*1000</f>
        <v>43043.967354023174</v>
      </c>
      <c r="BD17" s="882">
        <f>Feed!$G$12/12*1000</f>
        <v>43043.967354023174</v>
      </c>
      <c r="BE17" s="882">
        <f>Feed!$G$12/12*1000</f>
        <v>43043.967354023174</v>
      </c>
      <c r="BF17" s="882">
        <f>Feed!$G$12/12*1000</f>
        <v>43043.967354023174</v>
      </c>
      <c r="BG17" s="882">
        <f>Feed!$G$12/12*1000</f>
        <v>43043.967354023174</v>
      </c>
      <c r="BH17" s="882">
        <f>Feed!$G$12/12*1000</f>
        <v>43043.967354023174</v>
      </c>
      <c r="BI17" s="882">
        <f>Feed!$G$12/12*1000</f>
        <v>43043.967354023174</v>
      </c>
      <c r="BJ17" s="882">
        <f>Feed!$G$12/12*1000</f>
        <v>43043.967354023174</v>
      </c>
      <c r="BK17" s="882">
        <f>Feed!$G$12/12*1000</f>
        <v>43043.967354023174</v>
      </c>
      <c r="BL17" s="882">
        <f>Feed!$G$12/12*1000</f>
        <v>43043.967354023174</v>
      </c>
      <c r="BM17" s="882">
        <f>Feed!$G$12/12*1000</f>
        <v>43043.967354023174</v>
      </c>
      <c r="BN17" s="882">
        <f>Feed!$G$12/12*1000</f>
        <v>43043.967354023174</v>
      </c>
      <c r="BO17" s="882">
        <f>Feed!$G$12/12*1000</f>
        <v>43043.967354023174</v>
      </c>
      <c r="BP17" s="882">
        <f>Feed!$G$12/12*1000</f>
        <v>43043.967354023174</v>
      </c>
      <c r="BQ17" s="882">
        <f>Feed!$G$12/12*1000</f>
        <v>43043.967354023174</v>
      </c>
      <c r="BR17" s="882">
        <f>Feed!$G$12/12*1000</f>
        <v>43043.967354023174</v>
      </c>
      <c r="BS17" s="882">
        <f>Feed!$G$12/12*1000</f>
        <v>43043.967354023174</v>
      </c>
      <c r="BT17" s="882">
        <f>Feed!$G$12/12*1000</f>
        <v>43043.967354023174</v>
      </c>
      <c r="BU17" s="882">
        <f>Feed!$G$12/12*1000</f>
        <v>43043.967354023174</v>
      </c>
      <c r="BV17" s="882">
        <f>Feed!$G$12/12*1000</f>
        <v>43043.967354023174</v>
      </c>
      <c r="BW17" s="882">
        <f>Feed!$G$12/12*1000</f>
        <v>43043.967354023174</v>
      </c>
      <c r="BX17" s="882">
        <f>Feed!$G$12/12*1000</f>
        <v>43043.967354023174</v>
      </c>
      <c r="BY17" s="882">
        <f>Feed!$G$12/12*1000</f>
        <v>43043.967354023174</v>
      </c>
      <c r="BZ17" s="882">
        <f>Feed!$G$12/12*1000</f>
        <v>43043.967354023174</v>
      </c>
      <c r="CA17" s="882">
        <f>Feed!$G$12/12*1000</f>
        <v>43043.967354023174</v>
      </c>
      <c r="CB17" s="882">
        <f>Feed!$G$12/12*1000</f>
        <v>43043.967354023174</v>
      </c>
      <c r="CC17" s="882">
        <f>Feed!$G$12/12*1000</f>
        <v>43043.967354023174</v>
      </c>
      <c r="CD17" s="882">
        <f>Feed!$G$12/12*1000</f>
        <v>43043.967354023174</v>
      </c>
      <c r="CE17" s="882">
        <f>Feed!$G$12/12*1000</f>
        <v>43043.967354023174</v>
      </c>
      <c r="CF17" s="882">
        <f>Feed!$G$12/12*1000</f>
        <v>43043.967354023174</v>
      </c>
      <c r="CG17" s="882">
        <f>Feed!$G$12/12*1000</f>
        <v>43043.967354023174</v>
      </c>
      <c r="CH17" s="882">
        <f>Feed!$G$12/12*1000</f>
        <v>43043.967354023174</v>
      </c>
      <c r="CI17" s="882">
        <f>Feed!$G$12/12*1000</f>
        <v>43043.967354023174</v>
      </c>
      <c r="CJ17" s="882">
        <f>Feed!$G$12/12*1000</f>
        <v>43043.967354023174</v>
      </c>
      <c r="CK17" s="882">
        <f>Feed!$G$12/12*1000</f>
        <v>43043.967354023174</v>
      </c>
      <c r="CL17" s="882">
        <f>Feed!$G$12/12*1000</f>
        <v>43043.967354023174</v>
      </c>
      <c r="CM17" s="882">
        <f>Feed!$G$12/12*1000</f>
        <v>43043.967354023174</v>
      </c>
      <c r="CN17" s="347"/>
      <c r="CO17" s="347"/>
      <c r="CP17" s="347"/>
      <c r="CQ17" s="347"/>
      <c r="CR17" s="347"/>
      <c r="CS17" s="347"/>
      <c r="CT17" s="347"/>
      <c r="CU17" s="347"/>
      <c r="CV17" s="347"/>
      <c r="CW17" s="347"/>
      <c r="CX17" s="347"/>
      <c r="CY17" s="347"/>
      <c r="CZ17" s="347"/>
      <c r="DA17" s="347"/>
      <c r="DB17" s="347"/>
      <c r="DC17" s="347"/>
      <c r="DD17" s="347"/>
      <c r="DE17" s="347"/>
      <c r="DF17" s="347"/>
      <c r="DG17" s="347"/>
      <c r="DH17" s="347"/>
      <c r="DI17" s="347"/>
      <c r="DJ17" s="347"/>
      <c r="DK17" s="347"/>
      <c r="DL17" s="347"/>
      <c r="DM17" s="347"/>
      <c r="DN17" s="347"/>
      <c r="DO17" s="347"/>
      <c r="DP17" s="347"/>
      <c r="DQ17" s="347"/>
      <c r="DR17" s="347"/>
      <c r="DS17" s="347"/>
      <c r="DT17" s="347"/>
      <c r="DU17" s="347"/>
      <c r="DV17" s="347"/>
      <c r="DW17" s="347"/>
      <c r="DX17" s="347"/>
      <c r="DY17" s="347"/>
      <c r="DZ17" s="347"/>
      <c r="EA17" s="347"/>
      <c r="EB17" s="347"/>
      <c r="EC17" s="347"/>
      <c r="ED17" s="347"/>
      <c r="EE17" s="347"/>
      <c r="EF17" s="347"/>
      <c r="EG17" s="347"/>
      <c r="EH17" s="347"/>
      <c r="EI17" s="347"/>
      <c r="EJ17" s="347"/>
      <c r="EK17" s="347"/>
      <c r="EL17" s="347"/>
      <c r="EM17" s="347"/>
      <c r="EN17" s="347"/>
      <c r="EO17" s="347"/>
      <c r="EP17" s="347"/>
      <c r="EQ17" s="347"/>
      <c r="ER17" s="347"/>
      <c r="ES17" s="347"/>
      <c r="ET17" s="347"/>
      <c r="EU17" s="347"/>
      <c r="EV17" s="347"/>
      <c r="EW17" s="347"/>
      <c r="EX17" s="347"/>
      <c r="EY17" s="347"/>
      <c r="EZ17" s="347"/>
      <c r="FA17" s="347"/>
      <c r="FB17" s="347"/>
      <c r="FC17" s="347"/>
      <c r="FD17" s="347"/>
      <c r="FE17" s="347"/>
      <c r="FF17" s="347"/>
      <c r="FG17" s="347"/>
      <c r="FH17" s="347"/>
      <c r="FI17" s="347"/>
      <c r="FJ17" s="347"/>
      <c r="FK17" s="347"/>
      <c r="FL17" s="347"/>
      <c r="FM17" s="347"/>
      <c r="FN17" s="347"/>
      <c r="FO17" s="347"/>
      <c r="FP17" s="347"/>
      <c r="FQ17" s="347"/>
      <c r="FR17" s="347"/>
      <c r="FS17" s="347"/>
      <c r="FT17" s="347"/>
      <c r="FU17" s="347"/>
      <c r="FV17" s="347"/>
    </row>
    <row r="18" spans="1:178">
      <c r="A18" s="1409"/>
      <c r="B18" s="811" t="s">
        <v>403</v>
      </c>
      <c r="C18" s="581" t="s">
        <v>402</v>
      </c>
      <c r="D18" s="581"/>
      <c r="E18" s="1412"/>
      <c r="F18" s="881" t="str">
        <f>F7</f>
        <v xml:space="preserve">Benzene </v>
      </c>
      <c r="G18" s="1325">
        <f>Feed!$G$14*1000/12</f>
        <v>11805.984587171182</v>
      </c>
      <c r="H18" s="1325">
        <f>Feed!$G$14*1000/12</f>
        <v>11805.984587171182</v>
      </c>
      <c r="I18" s="1325">
        <f>Feed!$G$14*1000/12</f>
        <v>11805.984587171182</v>
      </c>
      <c r="J18" s="1325">
        <f>Feed!$G$14*1000/12</f>
        <v>11805.984587171182</v>
      </c>
      <c r="K18" s="1325">
        <f>Feed!$G$14*1000/12</f>
        <v>11805.984587171182</v>
      </c>
      <c r="L18" s="1325">
        <f>Feed!$G$14*1000/12</f>
        <v>11805.984587171182</v>
      </c>
      <c r="M18" s="1325">
        <f>Feed!$G$14*1000/12</f>
        <v>11805.984587171182</v>
      </c>
      <c r="N18" s="1325">
        <f>Feed!$G$14*1000/12</f>
        <v>11805.984587171182</v>
      </c>
      <c r="O18" s="1325">
        <f>Feed!$G$14*1000/12</f>
        <v>11805.984587171182</v>
      </c>
      <c r="P18" s="1325">
        <f>Feed!$G$14*1000/12</f>
        <v>11805.984587171182</v>
      </c>
      <c r="Q18" s="1325">
        <f>Feed!$G$14*1000/12</f>
        <v>11805.984587171182</v>
      </c>
      <c r="R18" s="1325">
        <f>Feed!$G$14*1000/12</f>
        <v>11805.984587171182</v>
      </c>
      <c r="S18" s="1325">
        <f>Feed!$G$14*1000/12</f>
        <v>11805.984587171182</v>
      </c>
      <c r="T18" s="1325">
        <f>Feed!$G$14*1000/12</f>
        <v>11805.984587171182</v>
      </c>
      <c r="U18" s="1325">
        <f>Feed!$G$14*1000/12</f>
        <v>11805.984587171182</v>
      </c>
      <c r="V18" s="1325">
        <f>Feed!$G$14*1000/12</f>
        <v>11805.984587171182</v>
      </c>
      <c r="W18" s="1325">
        <f>Feed!$G$14*1000/12</f>
        <v>11805.984587171182</v>
      </c>
      <c r="X18" s="1325">
        <f>Feed!$G$14*1000/12</f>
        <v>11805.984587171182</v>
      </c>
      <c r="Y18" s="1325">
        <f>Feed!$G$14*1000/12</f>
        <v>11805.984587171182</v>
      </c>
      <c r="Z18" s="1325">
        <f>Feed!$G$14*1000/12</f>
        <v>11805.984587171182</v>
      </c>
      <c r="AA18" s="1325">
        <f>Feed!$G$14*1000/12</f>
        <v>11805.984587171182</v>
      </c>
      <c r="AB18" s="1325">
        <f>Feed!$G$14*1000/12</f>
        <v>11805.984587171182</v>
      </c>
      <c r="AC18" s="1325">
        <f>Feed!$G$14*1000/12</f>
        <v>11805.984587171182</v>
      </c>
      <c r="AD18" s="1325">
        <f>Feed!$G$14*1000/12</f>
        <v>11805.984587171182</v>
      </c>
      <c r="AE18" s="1325">
        <f>Feed!$G$14*1000/12</f>
        <v>11805.984587171182</v>
      </c>
      <c r="AF18" s="1325">
        <f>Feed!$G$14*1000/12</f>
        <v>11805.984587171182</v>
      </c>
      <c r="AG18" s="1325">
        <f>Feed!$G$14*1000/12</f>
        <v>11805.984587171182</v>
      </c>
      <c r="AH18" s="1325">
        <f>Feed!$G$14*1000/12</f>
        <v>11805.984587171182</v>
      </c>
      <c r="AI18" s="1325">
        <f>Feed!$G$14*1000/12</f>
        <v>11805.984587171182</v>
      </c>
      <c r="AJ18" s="1325">
        <f>Feed!$G$14*1000/12</f>
        <v>11805.984587171182</v>
      </c>
      <c r="AK18" s="1325">
        <f>Feed!$G$14*1000/12</f>
        <v>11805.984587171182</v>
      </c>
      <c r="AL18" s="1325">
        <f>Feed!$G$14*1000/12</f>
        <v>11805.984587171182</v>
      </c>
      <c r="AM18" s="1325">
        <f>Feed!$G$14*1000/12</f>
        <v>11805.984587171182</v>
      </c>
      <c r="AN18" s="1325">
        <f>Feed!$G$14*1000/12</f>
        <v>11805.984587171182</v>
      </c>
      <c r="AO18" s="1325">
        <f>Feed!$G$14*1000/12</f>
        <v>11805.984587171182</v>
      </c>
      <c r="AP18" s="1325">
        <f>Feed!$G$14*1000/12</f>
        <v>11805.984587171182</v>
      </c>
      <c r="AQ18" s="1325">
        <f>Feed!$G$14*1000/12</f>
        <v>11805.984587171182</v>
      </c>
      <c r="AR18" s="1325">
        <f>Feed!$G$14*1000/12</f>
        <v>11805.984587171182</v>
      </c>
      <c r="AS18" s="1325">
        <f>Feed!$G$14*1000/12</f>
        <v>11805.984587171182</v>
      </c>
      <c r="AT18" s="1325">
        <f>Feed!$G$14*1000/12</f>
        <v>11805.984587171182</v>
      </c>
      <c r="AU18" s="1325">
        <f>Feed!$G$14*1000/12</f>
        <v>11805.984587171182</v>
      </c>
      <c r="AV18" s="1325">
        <f>Feed!$G$14*1000/12</f>
        <v>11805.984587171182</v>
      </c>
      <c r="AW18" s="1325">
        <f>Feed!$G$14*1000/12</f>
        <v>11805.984587171182</v>
      </c>
      <c r="AX18" s="1325">
        <f>Feed!$G$14*1000/12</f>
        <v>11805.984587171182</v>
      </c>
      <c r="AY18" s="1325">
        <f>Feed!$G$14*1000/12</f>
        <v>11805.984587171182</v>
      </c>
      <c r="AZ18" s="1325">
        <f>Feed!$G$14*1000/12</f>
        <v>11805.984587171182</v>
      </c>
      <c r="BA18" s="1325">
        <f>Feed!$G$14*1000/12</f>
        <v>11805.984587171182</v>
      </c>
      <c r="BB18" s="1325">
        <f>Feed!$G$14*1000/12</f>
        <v>11805.984587171182</v>
      </c>
      <c r="BC18" s="1325">
        <f>Feed!$G$14*1000/12</f>
        <v>11805.984587171182</v>
      </c>
      <c r="BD18" s="1325">
        <f>Feed!$G$14*1000/12</f>
        <v>11805.984587171182</v>
      </c>
      <c r="BE18" s="1325">
        <f>Feed!$G$14*1000/12</f>
        <v>11805.984587171182</v>
      </c>
      <c r="BF18" s="1325">
        <f>Feed!$G$14*1000/12</f>
        <v>11805.984587171182</v>
      </c>
      <c r="BG18" s="1325">
        <f>Feed!$G$14*1000/12</f>
        <v>11805.984587171182</v>
      </c>
      <c r="BH18" s="1325">
        <f>Feed!$G$14*1000/12</f>
        <v>11805.984587171182</v>
      </c>
      <c r="BI18" s="1325">
        <f>Feed!$G$14*1000/12</f>
        <v>11805.984587171182</v>
      </c>
      <c r="BJ18" s="1325">
        <f>Feed!$G$14*1000/12</f>
        <v>11805.984587171182</v>
      </c>
      <c r="BK18" s="1325">
        <f>Feed!$G$14*1000/12</f>
        <v>11805.984587171182</v>
      </c>
      <c r="BL18" s="1325">
        <f>Feed!$G$14*1000/12</f>
        <v>11805.984587171182</v>
      </c>
      <c r="BM18" s="1325">
        <f>Feed!$G$14*1000/12</f>
        <v>11805.984587171182</v>
      </c>
      <c r="BN18" s="1325">
        <f>Feed!$G$14*1000/12</f>
        <v>11805.984587171182</v>
      </c>
      <c r="BO18" s="1325">
        <f>Feed!$G$14*1000/12</f>
        <v>11805.984587171182</v>
      </c>
      <c r="BP18" s="1325">
        <f>Feed!$G$14*1000/12</f>
        <v>11805.984587171182</v>
      </c>
      <c r="BQ18" s="1325">
        <f>Feed!$G$14*1000/12</f>
        <v>11805.984587171182</v>
      </c>
      <c r="BR18" s="1325">
        <f>Feed!$G$14*1000/12</f>
        <v>11805.984587171182</v>
      </c>
      <c r="BS18" s="1325">
        <f>Feed!$G$14*1000/12</f>
        <v>11805.984587171182</v>
      </c>
      <c r="BT18" s="1325">
        <f>Feed!$G$14*1000/12</f>
        <v>11805.984587171182</v>
      </c>
      <c r="BU18" s="1325">
        <f>Feed!$G$14*1000/12</f>
        <v>11805.984587171182</v>
      </c>
      <c r="BV18" s="1325">
        <f>Feed!$G$14*1000/12</f>
        <v>11805.984587171182</v>
      </c>
      <c r="BW18" s="1325">
        <f>Feed!$G$14*1000/12</f>
        <v>11805.984587171182</v>
      </c>
      <c r="BX18" s="1325">
        <f>Feed!$G$14*1000/12</f>
        <v>11805.984587171182</v>
      </c>
      <c r="BY18" s="1325">
        <f>Feed!$G$14*1000/12</f>
        <v>11805.984587171182</v>
      </c>
      <c r="BZ18" s="1325">
        <f>Feed!$G$14*1000/12</f>
        <v>11805.984587171182</v>
      </c>
      <c r="CA18" s="1325">
        <f>Feed!$G$14*1000/12</f>
        <v>11805.984587171182</v>
      </c>
      <c r="CB18" s="1325">
        <f>Feed!$G$14*1000/12</f>
        <v>11805.984587171182</v>
      </c>
      <c r="CC18" s="1325">
        <f>Feed!$G$14*1000/12</f>
        <v>11805.984587171182</v>
      </c>
      <c r="CD18" s="1325">
        <f>Feed!$G$14*1000/12</f>
        <v>11805.984587171182</v>
      </c>
      <c r="CE18" s="1325">
        <f>Feed!$G$14*1000/12</f>
        <v>11805.984587171182</v>
      </c>
      <c r="CF18" s="1325">
        <f>Feed!$G$14*1000/12</f>
        <v>11805.984587171182</v>
      </c>
      <c r="CG18" s="1325">
        <f>Feed!$G$14*1000/12</f>
        <v>11805.984587171182</v>
      </c>
      <c r="CH18" s="1325">
        <f>Feed!$G$14*1000/12</f>
        <v>11805.984587171182</v>
      </c>
      <c r="CI18" s="1325">
        <f>Feed!$G$14*1000/12</f>
        <v>11805.984587171182</v>
      </c>
      <c r="CJ18" s="1325">
        <f>Feed!$G$14*1000/12</f>
        <v>11805.984587171182</v>
      </c>
      <c r="CK18" s="1325">
        <f>Feed!$G$14*1000/12</f>
        <v>11805.984587171182</v>
      </c>
      <c r="CL18" s="1325">
        <f>Feed!$G$14*1000/12</f>
        <v>11805.984587171182</v>
      </c>
      <c r="CM18" s="1325">
        <f>Feed!$G$14*1000/12</f>
        <v>11805.984587171182</v>
      </c>
      <c r="CN18" s="347"/>
      <c r="CO18" s="347"/>
      <c r="CP18" s="347"/>
      <c r="CQ18" s="347"/>
      <c r="CR18" s="347"/>
      <c r="CS18" s="347"/>
      <c r="CT18" s="347"/>
      <c r="CU18" s="347"/>
      <c r="CV18" s="347"/>
      <c r="CW18" s="347"/>
      <c r="CX18" s="347"/>
      <c r="CY18" s="347"/>
      <c r="CZ18" s="347"/>
      <c r="DA18" s="347"/>
      <c r="DB18" s="347"/>
      <c r="DC18" s="347"/>
      <c r="DD18" s="347"/>
      <c r="DE18" s="347"/>
      <c r="DF18" s="347"/>
      <c r="DG18" s="347"/>
      <c r="DH18" s="347"/>
      <c r="DI18" s="347"/>
      <c r="DJ18" s="347"/>
      <c r="DK18" s="347"/>
      <c r="DL18" s="347"/>
      <c r="DM18" s="347"/>
      <c r="DN18" s="347"/>
      <c r="DO18" s="347"/>
      <c r="DP18" s="347"/>
      <c r="DQ18" s="347"/>
      <c r="DR18" s="347"/>
      <c r="DS18" s="347"/>
      <c r="DT18" s="347"/>
      <c r="DU18" s="347"/>
      <c r="DV18" s="347"/>
      <c r="DW18" s="347"/>
      <c r="DX18" s="347"/>
      <c r="DY18" s="347"/>
      <c r="DZ18" s="347"/>
      <c r="EA18" s="347"/>
      <c r="EB18" s="347"/>
      <c r="EC18" s="347"/>
      <c r="ED18" s="347"/>
      <c r="EE18" s="347"/>
      <c r="EF18" s="347"/>
      <c r="EG18" s="347"/>
      <c r="EH18" s="347"/>
      <c r="EI18" s="347"/>
      <c r="EJ18" s="347"/>
      <c r="EK18" s="347"/>
      <c r="EL18" s="347"/>
      <c r="EM18" s="347"/>
      <c r="EN18" s="347"/>
      <c r="EO18" s="347"/>
      <c r="EP18" s="347"/>
      <c r="EQ18" s="347"/>
      <c r="ER18" s="347"/>
      <c r="ES18" s="347"/>
      <c r="ET18" s="347"/>
      <c r="EU18" s="347"/>
      <c r="EV18" s="347"/>
      <c r="EW18" s="347"/>
      <c r="EX18" s="347"/>
      <c r="EY18" s="347"/>
      <c r="EZ18" s="347"/>
      <c r="FA18" s="347"/>
      <c r="FB18" s="347"/>
      <c r="FC18" s="347"/>
      <c r="FD18" s="347"/>
      <c r="FE18" s="347"/>
      <c r="FF18" s="347"/>
      <c r="FG18" s="347"/>
      <c r="FH18" s="347"/>
      <c r="FI18" s="347"/>
      <c r="FJ18" s="347"/>
      <c r="FK18" s="347"/>
      <c r="FL18" s="347"/>
      <c r="FM18" s="347"/>
      <c r="FN18" s="347"/>
      <c r="FO18" s="347"/>
      <c r="FP18" s="347"/>
      <c r="FQ18" s="347"/>
      <c r="FR18" s="347"/>
      <c r="FS18" s="347"/>
      <c r="FT18" s="347"/>
      <c r="FU18" s="347"/>
      <c r="FV18" s="347"/>
    </row>
    <row r="19" spans="1:178">
      <c r="A19" s="1409"/>
      <c r="B19" s="811" t="s">
        <v>403</v>
      </c>
      <c r="C19" s="581" t="s">
        <v>402</v>
      </c>
      <c r="D19" s="581"/>
      <c r="E19" s="1412"/>
      <c r="F19" s="881" t="str">
        <f>F8</f>
        <v xml:space="preserve"> 1,3 Butadiene </v>
      </c>
      <c r="G19" s="1325">
        <f>Feed!$G$15/12*1000</f>
        <v>10338.137731868725</v>
      </c>
      <c r="H19" s="1325">
        <f>Feed!$G$15/12*1000</f>
        <v>10338.137731868725</v>
      </c>
      <c r="I19" s="1325">
        <f>Feed!$G$15/12*1000</f>
        <v>10338.137731868725</v>
      </c>
      <c r="J19" s="1325">
        <f>Feed!$G$15/12*1000</f>
        <v>10338.137731868725</v>
      </c>
      <c r="K19" s="1325">
        <f>Feed!$G$15/12*1000</f>
        <v>10338.137731868725</v>
      </c>
      <c r="L19" s="1325">
        <f>Feed!$G$15/12*1000</f>
        <v>10338.137731868725</v>
      </c>
      <c r="M19" s="1325">
        <f>Feed!$G$15/12*1000</f>
        <v>10338.137731868725</v>
      </c>
      <c r="N19" s="1325">
        <f>Feed!$G$15/12*1000</f>
        <v>10338.137731868725</v>
      </c>
      <c r="O19" s="1325">
        <f>Feed!$G$15/12*1000</f>
        <v>10338.137731868725</v>
      </c>
      <c r="P19" s="1325">
        <f>Feed!$G$15/12*1000</f>
        <v>10338.137731868725</v>
      </c>
      <c r="Q19" s="1325">
        <f>Feed!$G$15/12*1000</f>
        <v>10338.137731868725</v>
      </c>
      <c r="R19" s="1325">
        <f>Feed!$G$15/12*1000</f>
        <v>10338.137731868725</v>
      </c>
      <c r="S19" s="1325">
        <f>Feed!$G$15/12*1000</f>
        <v>10338.137731868725</v>
      </c>
      <c r="T19" s="1325">
        <f>Feed!$G$15/12*1000</f>
        <v>10338.137731868725</v>
      </c>
      <c r="U19" s="1325">
        <f>Feed!$G$15/12*1000</f>
        <v>10338.137731868725</v>
      </c>
      <c r="V19" s="1325">
        <f>Feed!$G$15/12*1000</f>
        <v>10338.137731868725</v>
      </c>
      <c r="W19" s="1325">
        <f>Feed!$G$15/12*1000</f>
        <v>10338.137731868725</v>
      </c>
      <c r="X19" s="1325">
        <f>Feed!$G$15/12*1000</f>
        <v>10338.137731868725</v>
      </c>
      <c r="Y19" s="1325">
        <f>Feed!$G$15/12*1000</f>
        <v>10338.137731868725</v>
      </c>
      <c r="Z19" s="1325">
        <f>Feed!$G$15/12*1000</f>
        <v>10338.137731868725</v>
      </c>
      <c r="AA19" s="1325">
        <f>Feed!$G$15/12*1000</f>
        <v>10338.137731868725</v>
      </c>
      <c r="AB19" s="1325">
        <f>Feed!$G$15/12*1000</f>
        <v>10338.137731868725</v>
      </c>
      <c r="AC19" s="1325">
        <f>Feed!$G$15/12*1000</f>
        <v>10338.137731868725</v>
      </c>
      <c r="AD19" s="1325">
        <f>Feed!$G$15/12*1000</f>
        <v>10338.137731868725</v>
      </c>
      <c r="AE19" s="1325">
        <f>Feed!$G$15/12*1000</f>
        <v>10338.137731868725</v>
      </c>
      <c r="AF19" s="1325">
        <f>Feed!$G$15/12*1000</f>
        <v>10338.137731868725</v>
      </c>
      <c r="AG19" s="1325">
        <f>Feed!$G$15/12*1000</f>
        <v>10338.137731868725</v>
      </c>
      <c r="AH19" s="1325">
        <f>Feed!$G$15/12*1000</f>
        <v>10338.137731868725</v>
      </c>
      <c r="AI19" s="1325">
        <f>Feed!$G$15/12*1000</f>
        <v>10338.137731868725</v>
      </c>
      <c r="AJ19" s="1325">
        <f>Feed!$G$15/12*1000</f>
        <v>10338.137731868725</v>
      </c>
      <c r="AK19" s="1325">
        <f>Feed!$G$15/12*1000</f>
        <v>10338.137731868725</v>
      </c>
      <c r="AL19" s="1325">
        <f>Feed!$G$15/12*1000</f>
        <v>10338.137731868725</v>
      </c>
      <c r="AM19" s="1325">
        <f>Feed!$G$15/12*1000</f>
        <v>10338.137731868725</v>
      </c>
      <c r="AN19" s="1325">
        <f>Feed!$G$15/12*1000</f>
        <v>10338.137731868725</v>
      </c>
      <c r="AO19" s="1325">
        <f>Feed!$G$15/12*1000</f>
        <v>10338.137731868725</v>
      </c>
      <c r="AP19" s="1325">
        <f>Feed!$G$15/12*1000</f>
        <v>10338.137731868725</v>
      </c>
      <c r="AQ19" s="1325">
        <f>Feed!$G$15/12*1000</f>
        <v>10338.137731868725</v>
      </c>
      <c r="AR19" s="1325">
        <f>Feed!$G$15/12*1000</f>
        <v>10338.137731868725</v>
      </c>
      <c r="AS19" s="1325">
        <f>Feed!$G$15/12*1000</f>
        <v>10338.137731868725</v>
      </c>
      <c r="AT19" s="1325">
        <f>Feed!$G$15/12*1000</f>
        <v>10338.137731868725</v>
      </c>
      <c r="AU19" s="1325">
        <f>Feed!$G$15/12*1000</f>
        <v>10338.137731868725</v>
      </c>
      <c r="AV19" s="1325">
        <f>Feed!$G$15/12*1000</f>
        <v>10338.137731868725</v>
      </c>
      <c r="AW19" s="1325">
        <f>Feed!$G$15/12*1000</f>
        <v>10338.137731868725</v>
      </c>
      <c r="AX19" s="1325">
        <f>Feed!$G$15/12*1000</f>
        <v>10338.137731868725</v>
      </c>
      <c r="AY19" s="1325">
        <f>Feed!$G$15/12*1000</f>
        <v>10338.137731868725</v>
      </c>
      <c r="AZ19" s="1325">
        <f>Feed!$G$15/12*1000</f>
        <v>10338.137731868725</v>
      </c>
      <c r="BA19" s="1325">
        <f>Feed!$G$15/12*1000</f>
        <v>10338.137731868725</v>
      </c>
      <c r="BB19" s="1325">
        <f>Feed!$G$15/12*1000</f>
        <v>10338.137731868725</v>
      </c>
      <c r="BC19" s="1325">
        <f>Feed!$G$15/12*1000</f>
        <v>10338.137731868725</v>
      </c>
      <c r="BD19" s="1325">
        <f>Feed!$G$15/12*1000</f>
        <v>10338.137731868725</v>
      </c>
      <c r="BE19" s="1325">
        <f>Feed!$G$15/12*1000</f>
        <v>10338.137731868725</v>
      </c>
      <c r="BF19" s="1325">
        <f>Feed!$G$15/12*1000</f>
        <v>10338.137731868725</v>
      </c>
      <c r="BG19" s="1325">
        <f>Feed!$G$15/12*1000</f>
        <v>10338.137731868725</v>
      </c>
      <c r="BH19" s="1325">
        <f>Feed!$G$15/12*1000</f>
        <v>10338.137731868725</v>
      </c>
      <c r="BI19" s="1325">
        <f>Feed!$G$15/12*1000</f>
        <v>10338.137731868725</v>
      </c>
      <c r="BJ19" s="1325">
        <f>Feed!$G$15/12*1000</f>
        <v>10338.137731868725</v>
      </c>
      <c r="BK19" s="1325">
        <f>Feed!$G$15/12*1000</f>
        <v>10338.137731868725</v>
      </c>
      <c r="BL19" s="1325">
        <f>Feed!$G$15/12*1000</f>
        <v>10338.137731868725</v>
      </c>
      <c r="BM19" s="1325">
        <f>Feed!$G$15/12*1000</f>
        <v>10338.137731868725</v>
      </c>
      <c r="BN19" s="1325">
        <f>Feed!$G$15/12*1000</f>
        <v>10338.137731868725</v>
      </c>
      <c r="BO19" s="1325">
        <f>Feed!$G$15/12*1000</f>
        <v>10338.137731868725</v>
      </c>
      <c r="BP19" s="1325">
        <f>Feed!$G$15/12*1000</f>
        <v>10338.137731868725</v>
      </c>
      <c r="BQ19" s="1325">
        <f>Feed!$G$15/12*1000</f>
        <v>10338.137731868725</v>
      </c>
      <c r="BR19" s="1325">
        <f>Feed!$G$15/12*1000</f>
        <v>10338.137731868725</v>
      </c>
      <c r="BS19" s="1325">
        <f>Feed!$G$15/12*1000</f>
        <v>10338.137731868725</v>
      </c>
      <c r="BT19" s="1325">
        <f>Feed!$G$15/12*1000</f>
        <v>10338.137731868725</v>
      </c>
      <c r="BU19" s="1325">
        <f>Feed!$G$15/12*1000</f>
        <v>10338.137731868725</v>
      </c>
      <c r="BV19" s="1325">
        <f>Feed!$G$15/12*1000</f>
        <v>10338.137731868725</v>
      </c>
      <c r="BW19" s="1325">
        <f>Feed!$G$15/12*1000</f>
        <v>10338.137731868725</v>
      </c>
      <c r="BX19" s="1325">
        <f>Feed!$G$15/12*1000</f>
        <v>10338.137731868725</v>
      </c>
      <c r="BY19" s="1325">
        <f>Feed!$G$15/12*1000</f>
        <v>10338.137731868725</v>
      </c>
      <c r="BZ19" s="1325">
        <f>Feed!$G$15/12*1000</f>
        <v>10338.137731868725</v>
      </c>
      <c r="CA19" s="1325">
        <f>Feed!$G$15/12*1000</f>
        <v>10338.137731868725</v>
      </c>
      <c r="CB19" s="1325">
        <f>Feed!$G$15/12*1000</f>
        <v>10338.137731868725</v>
      </c>
      <c r="CC19" s="1325">
        <f>Feed!$G$15/12*1000</f>
        <v>10338.137731868725</v>
      </c>
      <c r="CD19" s="1325">
        <f>Feed!$G$15/12*1000</f>
        <v>10338.137731868725</v>
      </c>
      <c r="CE19" s="1325">
        <f>Feed!$G$15/12*1000</f>
        <v>10338.137731868725</v>
      </c>
      <c r="CF19" s="1325">
        <f>Feed!$G$15/12*1000</f>
        <v>10338.137731868725</v>
      </c>
      <c r="CG19" s="1325">
        <f>Feed!$G$15/12*1000</f>
        <v>10338.137731868725</v>
      </c>
      <c r="CH19" s="1325">
        <f>Feed!$G$15/12*1000</f>
        <v>10338.137731868725</v>
      </c>
      <c r="CI19" s="1325">
        <f>Feed!$G$15/12*1000</f>
        <v>10338.137731868725</v>
      </c>
      <c r="CJ19" s="1325">
        <f>Feed!$G$15/12*1000</f>
        <v>10338.137731868725</v>
      </c>
      <c r="CK19" s="1325">
        <f>Feed!$G$15/12*1000</f>
        <v>10338.137731868725</v>
      </c>
      <c r="CL19" s="1325">
        <f>Feed!$G$15/12*1000</f>
        <v>10338.137731868725</v>
      </c>
      <c r="CM19" s="1325">
        <f>Feed!$G$15/12*1000</f>
        <v>10338.137731868725</v>
      </c>
      <c r="CN19" s="347"/>
      <c r="CO19" s="347"/>
      <c r="CP19" s="347"/>
      <c r="CQ19" s="347"/>
      <c r="CR19" s="347"/>
      <c r="CS19" s="347"/>
      <c r="CT19" s="347"/>
      <c r="CU19" s="347"/>
      <c r="CV19" s="347"/>
      <c r="CW19" s="347"/>
      <c r="CX19" s="347"/>
      <c r="CY19" s="347"/>
      <c r="CZ19" s="347"/>
      <c r="DA19" s="347"/>
      <c r="DB19" s="347"/>
      <c r="DC19" s="347"/>
      <c r="DD19" s="347"/>
      <c r="DE19" s="347"/>
      <c r="DF19" s="347"/>
      <c r="DG19" s="347"/>
      <c r="DH19" s="347"/>
      <c r="DI19" s="347"/>
      <c r="DJ19" s="347"/>
      <c r="DK19" s="347"/>
      <c r="DL19" s="347"/>
      <c r="DM19" s="347"/>
      <c r="DN19" s="347"/>
      <c r="DO19" s="347"/>
      <c r="DP19" s="347"/>
      <c r="DQ19" s="347"/>
      <c r="DR19" s="347"/>
      <c r="DS19" s="347"/>
      <c r="DT19" s="347"/>
      <c r="DU19" s="347"/>
      <c r="DV19" s="347"/>
      <c r="DW19" s="347"/>
      <c r="DX19" s="347"/>
      <c r="DY19" s="347"/>
      <c r="DZ19" s="347"/>
      <c r="EA19" s="347"/>
      <c r="EB19" s="347"/>
      <c r="EC19" s="347"/>
      <c r="ED19" s="347"/>
      <c r="EE19" s="347"/>
      <c r="EF19" s="347"/>
      <c r="EG19" s="347"/>
      <c r="EH19" s="347"/>
      <c r="EI19" s="347"/>
      <c r="EJ19" s="347"/>
      <c r="EK19" s="347"/>
      <c r="EL19" s="347"/>
      <c r="EM19" s="347"/>
      <c r="EN19" s="347"/>
      <c r="EO19" s="347"/>
      <c r="EP19" s="347"/>
      <c r="EQ19" s="347"/>
      <c r="ER19" s="347"/>
      <c r="ES19" s="347"/>
      <c r="ET19" s="347"/>
      <c r="EU19" s="347"/>
      <c r="EV19" s="347"/>
      <c r="EW19" s="347"/>
      <c r="EX19" s="347"/>
      <c r="EY19" s="347"/>
      <c r="EZ19" s="347"/>
      <c r="FA19" s="347"/>
      <c r="FB19" s="347"/>
      <c r="FC19" s="347"/>
      <c r="FD19" s="347"/>
      <c r="FE19" s="347"/>
      <c r="FF19" s="347"/>
      <c r="FG19" s="347"/>
      <c r="FH19" s="347"/>
      <c r="FI19" s="347"/>
      <c r="FJ19" s="347"/>
      <c r="FK19" s="347"/>
      <c r="FL19" s="347"/>
      <c r="FM19" s="347"/>
      <c r="FN19" s="347"/>
      <c r="FO19" s="347"/>
      <c r="FP19" s="347"/>
      <c r="FQ19" s="347"/>
      <c r="FR19" s="347"/>
      <c r="FS19" s="347"/>
      <c r="FT19" s="347"/>
      <c r="FU19" s="347"/>
      <c r="FV19" s="347"/>
    </row>
    <row r="20" spans="1:178">
      <c r="A20" s="1409"/>
      <c r="B20" s="811" t="s">
        <v>403</v>
      </c>
      <c r="C20" s="581" t="s">
        <v>402</v>
      </c>
      <c r="D20" s="581"/>
      <c r="E20" s="1412"/>
      <c r="F20" s="881" t="str">
        <f>F9</f>
        <v xml:space="preserve"> Hydrogenated Pygas (HPG) </v>
      </c>
      <c r="G20" s="1325">
        <f>G12*'Cracker Yields'!$B$8+'Cracker Yields'!$C$8*'Financial Model Prop. Furn. Add'!G13+'Financial Model Prop. Furn. Add'!G14*'Cracker Yields'!$D$8+'Cracker Yields'!$E$8*'Financial Model Prop. Furn. Add'!G15</f>
        <v>13282.571249999999</v>
      </c>
      <c r="H20" s="1325">
        <f>H12*'Cracker Yields'!$B$8+'Cracker Yields'!$C$8*'Financial Model Prop. Furn. Add'!H13+'Financial Model Prop. Furn. Add'!H14*'Cracker Yields'!$D$8+'Cracker Yields'!$E$8*'Financial Model Prop. Furn. Add'!H15</f>
        <v>13282.571249999999</v>
      </c>
      <c r="I20" s="1325">
        <f>I12*'Cracker Yields'!$B$8+'Cracker Yields'!$C$8*'Financial Model Prop. Furn. Add'!I13+'Financial Model Prop. Furn. Add'!I14*'Cracker Yields'!$D$8+'Cracker Yields'!$E$8*'Financial Model Prop. Furn. Add'!I15</f>
        <v>13282.571249999999</v>
      </c>
      <c r="J20" s="1325">
        <f>J12*'Cracker Yields'!$B$8+'Cracker Yields'!$C$8*'Financial Model Prop. Furn. Add'!J13+'Financial Model Prop. Furn. Add'!J14*'Cracker Yields'!$D$8+'Cracker Yields'!$E$8*'Financial Model Prop. Furn. Add'!J15</f>
        <v>13282.571249999999</v>
      </c>
      <c r="K20" s="1325">
        <f>K12*'Cracker Yields'!$B$8+'Cracker Yields'!$C$8*'Financial Model Prop. Furn. Add'!K13+'Financial Model Prop. Furn. Add'!K14*'Cracker Yields'!$D$8+'Cracker Yields'!$E$8*'Financial Model Prop. Furn. Add'!K15</f>
        <v>13282.571249999999</v>
      </c>
      <c r="L20" s="1325">
        <f>L12*'Cracker Yields'!$B$8+'Cracker Yields'!$C$8*'Financial Model Prop. Furn. Add'!L13+'Financial Model Prop. Furn. Add'!L14*'Cracker Yields'!$D$8+'Cracker Yields'!$E$8*'Financial Model Prop. Furn. Add'!L15</f>
        <v>13282.571249999999</v>
      </c>
      <c r="M20" s="1325">
        <f>M12*'Cracker Yields'!$B$8+'Cracker Yields'!$C$8*'Financial Model Prop. Furn. Add'!M13+'Financial Model Prop. Furn. Add'!M14*'Cracker Yields'!$D$8+'Cracker Yields'!$E$8*'Financial Model Prop. Furn. Add'!M15</f>
        <v>13282.571249999999</v>
      </c>
      <c r="N20" s="1325">
        <f>N12*'Cracker Yields'!$B$8+'Cracker Yields'!$C$8*'Financial Model Prop. Furn. Add'!N13+'Financial Model Prop. Furn. Add'!N14*'Cracker Yields'!$D$8+'Cracker Yields'!$E$8*'Financial Model Prop. Furn. Add'!N15</f>
        <v>13282.571249999999</v>
      </c>
      <c r="O20" s="1325">
        <f>O12*'Cracker Yields'!$B$8+'Cracker Yields'!$C$8*'Financial Model Prop. Furn. Add'!O13+'Financial Model Prop. Furn. Add'!O14*'Cracker Yields'!$D$8+'Cracker Yields'!$E$8*'Financial Model Prop. Furn. Add'!O15</f>
        <v>13282.571249999999</v>
      </c>
      <c r="P20" s="1325">
        <f>P12*'Cracker Yields'!$B$8+'Cracker Yields'!$C$8*'Financial Model Prop. Furn. Add'!P13+'Financial Model Prop. Furn. Add'!P14*'Cracker Yields'!$D$8+'Cracker Yields'!$E$8*'Financial Model Prop. Furn. Add'!P15</f>
        <v>13282.571249999999</v>
      </c>
      <c r="Q20" s="1325">
        <f>Q12*'Cracker Yields'!$B$8+'Cracker Yields'!$C$8*'Financial Model Prop. Furn. Add'!Q13+'Financial Model Prop. Furn. Add'!Q14*'Cracker Yields'!$D$8+'Cracker Yields'!$E$8*'Financial Model Prop. Furn. Add'!Q15</f>
        <v>13282.571249999999</v>
      </c>
      <c r="R20" s="1325">
        <f>R12*'Cracker Yields'!$B$8+'Cracker Yields'!$C$8*'Financial Model Prop. Furn. Add'!R13+'Financial Model Prop. Furn. Add'!R14*'Cracker Yields'!$D$8+'Cracker Yields'!$E$8*'Financial Model Prop. Furn. Add'!R15</f>
        <v>13282.571249999999</v>
      </c>
      <c r="S20" s="1325">
        <f>S12*'Cracker Yields'!$B$8+'Cracker Yields'!$C$8*'Financial Model Prop. Furn. Add'!S13+'Financial Model Prop. Furn. Add'!S14*'Cracker Yields'!$D$8+'Cracker Yields'!$E$8*'Financial Model Prop. Furn. Add'!S15</f>
        <v>13282.571249999999</v>
      </c>
      <c r="T20" s="1325">
        <f>T12*'Cracker Yields'!$B$8+'Cracker Yields'!$C$8*'Financial Model Prop. Furn. Add'!T13+'Financial Model Prop. Furn. Add'!T14*'Cracker Yields'!$D$8+'Cracker Yields'!$E$8*'Financial Model Prop. Furn. Add'!T15</f>
        <v>13282.571249999999</v>
      </c>
      <c r="U20" s="1325">
        <f>U12*'Cracker Yields'!$B$8+'Cracker Yields'!$C$8*'Financial Model Prop. Furn. Add'!U13+'Financial Model Prop. Furn. Add'!U14*'Cracker Yields'!$D$8+'Cracker Yields'!$E$8*'Financial Model Prop. Furn. Add'!U15</f>
        <v>13282.571249999999</v>
      </c>
      <c r="V20" s="1325">
        <f>V12*'Cracker Yields'!$B$8+'Cracker Yields'!$C$8*'Financial Model Prop. Furn. Add'!V13+'Financial Model Prop. Furn. Add'!V14*'Cracker Yields'!$D$8+'Cracker Yields'!$E$8*'Financial Model Prop. Furn. Add'!V15</f>
        <v>13282.571249999999</v>
      </c>
      <c r="W20" s="1325">
        <f>W12*'Cracker Yields'!$B$8+'Cracker Yields'!$C$8*'Financial Model Prop. Furn. Add'!W13+'Financial Model Prop. Furn. Add'!W14*'Cracker Yields'!$D$8+'Cracker Yields'!$E$8*'Financial Model Prop. Furn. Add'!W15</f>
        <v>13282.571249999999</v>
      </c>
      <c r="X20" s="1325">
        <f>X12*'Cracker Yields'!$B$8+'Cracker Yields'!$C$8*'Financial Model Prop. Furn. Add'!X13+'Financial Model Prop. Furn. Add'!X14*'Cracker Yields'!$D$8+'Cracker Yields'!$E$8*'Financial Model Prop. Furn. Add'!X15</f>
        <v>13282.571249999999</v>
      </c>
      <c r="Y20" s="1325">
        <f>Y12*'Cracker Yields'!$B$8+'Cracker Yields'!$C$8*'Financial Model Prop. Furn. Add'!Y13+'Financial Model Prop. Furn. Add'!Y14*'Cracker Yields'!$D$8+'Cracker Yields'!$E$8*'Financial Model Prop. Furn. Add'!Y15</f>
        <v>13282.571249999999</v>
      </c>
      <c r="Z20" s="1325">
        <f>Z12*'Cracker Yields'!$B$8+'Cracker Yields'!$C$8*'Financial Model Prop. Furn. Add'!Z13+'Financial Model Prop. Furn. Add'!Z14*'Cracker Yields'!$D$8+'Cracker Yields'!$E$8*'Financial Model Prop. Furn. Add'!Z15</f>
        <v>13282.571249999999</v>
      </c>
      <c r="AA20" s="1325">
        <f>AA12*'Cracker Yields'!$B$8+'Cracker Yields'!$C$8*'Financial Model Prop. Furn. Add'!AA13+'Financial Model Prop. Furn. Add'!AA14*'Cracker Yields'!$D$8+'Cracker Yields'!$E$8*'Financial Model Prop. Furn. Add'!AA15</f>
        <v>13282.571249999999</v>
      </c>
      <c r="AB20" s="1325">
        <f>AB12*'Cracker Yields'!$B$8+'Cracker Yields'!$C$8*'Financial Model Prop. Furn. Add'!AB13+'Financial Model Prop. Furn. Add'!AB14*'Cracker Yields'!$D$8+'Cracker Yields'!$E$8*'Financial Model Prop. Furn. Add'!AB15</f>
        <v>13282.571249999999</v>
      </c>
      <c r="AC20" s="1325">
        <f>AC12*'Cracker Yields'!$B$8+'Cracker Yields'!$C$8*'Financial Model Prop. Furn. Add'!AC13+'Financial Model Prop. Furn. Add'!AC14*'Cracker Yields'!$D$8+'Cracker Yields'!$E$8*'Financial Model Prop. Furn. Add'!AC15</f>
        <v>13282.571249999999</v>
      </c>
      <c r="AD20" s="1325">
        <f>AD12*'Cracker Yields'!$B$8+'Cracker Yields'!$C$8*'Financial Model Prop. Furn. Add'!AD13+'Financial Model Prop. Furn. Add'!AD14*'Cracker Yields'!$D$8+'Cracker Yields'!$E$8*'Financial Model Prop. Furn. Add'!AD15</f>
        <v>13282.571249999999</v>
      </c>
      <c r="AE20" s="1325">
        <f>AE12*'Cracker Yields'!$B$8+'Cracker Yields'!$C$8*'Financial Model Prop. Furn. Add'!AE13+'Financial Model Prop. Furn. Add'!AE14*'Cracker Yields'!$D$8+'Cracker Yields'!$E$8*'Financial Model Prop. Furn. Add'!AE15</f>
        <v>13282.571249999999</v>
      </c>
      <c r="AF20" s="1325">
        <f>AF12*'Cracker Yields'!$B$8+'Cracker Yields'!$C$8*'Financial Model Prop. Furn. Add'!AF13+'Financial Model Prop. Furn. Add'!AF14*'Cracker Yields'!$D$8+'Cracker Yields'!$E$8*'Financial Model Prop. Furn. Add'!AF15</f>
        <v>13282.571249999999</v>
      </c>
      <c r="AG20" s="1325">
        <f>AG12*'Cracker Yields'!$B$8+'Cracker Yields'!$C$8*'Financial Model Prop. Furn. Add'!AG13+'Financial Model Prop. Furn. Add'!AG14*'Cracker Yields'!$D$8+'Cracker Yields'!$E$8*'Financial Model Prop. Furn. Add'!AG15</f>
        <v>13282.571249999999</v>
      </c>
      <c r="AH20" s="1325">
        <f>AH12*'Cracker Yields'!$B$8+'Cracker Yields'!$C$8*'Financial Model Prop. Furn. Add'!AH13+'Financial Model Prop. Furn. Add'!AH14*'Cracker Yields'!$D$8+'Cracker Yields'!$E$8*'Financial Model Prop. Furn. Add'!AH15</f>
        <v>13282.571249999999</v>
      </c>
      <c r="AI20" s="1325">
        <f>AI12*'Cracker Yields'!$B$8+'Cracker Yields'!$C$8*'Financial Model Prop. Furn. Add'!AI13+'Financial Model Prop. Furn. Add'!AI14*'Cracker Yields'!$D$8+'Cracker Yields'!$E$8*'Financial Model Prop. Furn. Add'!AI15</f>
        <v>13282.571249999999</v>
      </c>
      <c r="AJ20" s="1325">
        <f>AJ12*'Cracker Yields'!$B$8+'Cracker Yields'!$C$8*'Financial Model Prop. Furn. Add'!AJ13+'Financial Model Prop. Furn. Add'!AJ14*'Cracker Yields'!$D$8+'Cracker Yields'!$E$8*'Financial Model Prop. Furn. Add'!AJ15</f>
        <v>13282.571249999999</v>
      </c>
      <c r="AK20" s="1325">
        <f>AK12*'Cracker Yields'!$B$8+'Cracker Yields'!$C$8*'Financial Model Prop. Furn. Add'!AK13+'Financial Model Prop. Furn. Add'!AK14*'Cracker Yields'!$D$8+'Cracker Yields'!$E$8*'Financial Model Prop. Furn. Add'!AK15</f>
        <v>13282.571249999999</v>
      </c>
      <c r="AL20" s="1325">
        <f>AL12*'Cracker Yields'!$B$8+'Cracker Yields'!$C$8*'Financial Model Prop. Furn. Add'!AL13+'Financial Model Prop. Furn. Add'!AL14*'Cracker Yields'!$D$8+'Cracker Yields'!$E$8*'Financial Model Prop. Furn. Add'!AL15</f>
        <v>13282.571249999999</v>
      </c>
      <c r="AM20" s="1325">
        <f>AM12*'Cracker Yields'!$B$8+'Cracker Yields'!$C$8*'Financial Model Prop. Furn. Add'!AM13+'Financial Model Prop. Furn. Add'!AM14*'Cracker Yields'!$D$8+'Cracker Yields'!$E$8*'Financial Model Prop. Furn. Add'!AM15</f>
        <v>13282.571249999999</v>
      </c>
      <c r="AN20" s="1325">
        <f>AN12*'Cracker Yields'!$B$8+'Cracker Yields'!$C$8*'Financial Model Prop. Furn. Add'!AN13+'Financial Model Prop. Furn. Add'!AN14*'Cracker Yields'!$D$8+'Cracker Yields'!$E$8*'Financial Model Prop. Furn. Add'!AN15</f>
        <v>13282.571249999999</v>
      </c>
      <c r="AO20" s="1325">
        <f>AO12*'Cracker Yields'!$B$8+'Cracker Yields'!$C$8*'Financial Model Prop. Furn. Add'!AO13+'Financial Model Prop. Furn. Add'!AO14*'Cracker Yields'!$D$8+'Cracker Yields'!$E$8*'Financial Model Prop. Furn. Add'!AO15</f>
        <v>13282.571249999999</v>
      </c>
      <c r="AP20" s="1325">
        <f>AP12*'Cracker Yields'!$B$8+'Cracker Yields'!$C$8*'Financial Model Prop. Furn. Add'!AP13+'Financial Model Prop. Furn. Add'!AP14*'Cracker Yields'!$D$8+'Cracker Yields'!$E$8*'Financial Model Prop. Furn. Add'!AP15</f>
        <v>13282.571249999999</v>
      </c>
      <c r="AQ20" s="1325">
        <f>AQ12*'Cracker Yields'!$B$8+'Cracker Yields'!$C$8*'Financial Model Prop. Furn. Add'!AQ13+'Financial Model Prop. Furn. Add'!AQ14*'Cracker Yields'!$D$8+'Cracker Yields'!$E$8*'Financial Model Prop. Furn. Add'!AQ15</f>
        <v>13282.571249999999</v>
      </c>
      <c r="AR20" s="1325">
        <f>AR12*'Cracker Yields'!$B$8+'Cracker Yields'!$C$8*'Financial Model Prop. Furn. Add'!AR13+'Financial Model Prop. Furn. Add'!AR14*'Cracker Yields'!$D$8+'Cracker Yields'!$E$8*'Financial Model Prop. Furn. Add'!AR15</f>
        <v>13282.571249999999</v>
      </c>
      <c r="AS20" s="1325">
        <f>AS12*'Cracker Yields'!$B$8+'Cracker Yields'!$C$8*'Financial Model Prop. Furn. Add'!AS13+'Financial Model Prop. Furn. Add'!AS14*'Cracker Yields'!$D$8+'Cracker Yields'!$E$8*'Financial Model Prop. Furn. Add'!AS15</f>
        <v>13282.571249999999</v>
      </c>
      <c r="AT20" s="1325">
        <f>AT12*'Cracker Yields'!$B$8+'Cracker Yields'!$C$8*'Financial Model Prop. Furn. Add'!AT13+'Financial Model Prop. Furn. Add'!AT14*'Cracker Yields'!$D$8+'Cracker Yields'!$E$8*'Financial Model Prop. Furn. Add'!AT15</f>
        <v>13282.571249999999</v>
      </c>
      <c r="AU20" s="1325">
        <f>AU12*'Cracker Yields'!$B$8+'Cracker Yields'!$C$8*'Financial Model Prop. Furn. Add'!AU13+'Financial Model Prop. Furn. Add'!AU14*'Cracker Yields'!$D$8+'Cracker Yields'!$E$8*'Financial Model Prop. Furn. Add'!AU15</f>
        <v>13282.571249999999</v>
      </c>
      <c r="AV20" s="1325">
        <f>AV12*'Cracker Yields'!$B$8+'Cracker Yields'!$C$8*'Financial Model Prop. Furn. Add'!AV13+'Financial Model Prop. Furn. Add'!AV14*'Cracker Yields'!$D$8+'Cracker Yields'!$E$8*'Financial Model Prop. Furn. Add'!AV15</f>
        <v>13282.571249999999</v>
      </c>
      <c r="AW20" s="1325">
        <f>AW12*'Cracker Yields'!$B$8+'Cracker Yields'!$C$8*'Financial Model Prop. Furn. Add'!AW13+'Financial Model Prop. Furn. Add'!AW14*'Cracker Yields'!$D$8+'Cracker Yields'!$E$8*'Financial Model Prop. Furn. Add'!AW15</f>
        <v>13282.571249999999</v>
      </c>
      <c r="AX20" s="1325">
        <f>AX12*'Cracker Yields'!$B$8+'Cracker Yields'!$C$8*'Financial Model Prop. Furn. Add'!AX13+'Financial Model Prop. Furn. Add'!AX14*'Cracker Yields'!$D$8+'Cracker Yields'!$E$8*'Financial Model Prop. Furn. Add'!AX15</f>
        <v>13282.571249999999</v>
      </c>
      <c r="AY20" s="1325">
        <f>AY12*'Cracker Yields'!$B$8+'Cracker Yields'!$C$8*'Financial Model Prop. Furn. Add'!AY13+'Financial Model Prop. Furn. Add'!AY14*'Cracker Yields'!$D$8+'Cracker Yields'!$E$8*'Financial Model Prop. Furn. Add'!AY15</f>
        <v>13282.571249999999</v>
      </c>
      <c r="AZ20" s="1325">
        <f>AZ12*'Cracker Yields'!$B$8+'Cracker Yields'!$C$8*'Financial Model Prop. Furn. Add'!AZ13+'Financial Model Prop. Furn. Add'!AZ14*'Cracker Yields'!$D$8+'Cracker Yields'!$E$8*'Financial Model Prop. Furn. Add'!AZ15</f>
        <v>13282.571249999999</v>
      </c>
      <c r="BA20" s="1325">
        <f>BA12*'Cracker Yields'!$B$8+'Cracker Yields'!$C$8*'Financial Model Prop. Furn. Add'!BA13+'Financial Model Prop. Furn. Add'!BA14*'Cracker Yields'!$D$8+'Cracker Yields'!$E$8*'Financial Model Prop. Furn. Add'!BA15</f>
        <v>13282.571249999999</v>
      </c>
      <c r="BB20" s="1325">
        <f>BB12*'Cracker Yields'!$B$8+'Cracker Yields'!$C$8*'Financial Model Prop. Furn. Add'!BB13+'Financial Model Prop. Furn. Add'!BB14*'Cracker Yields'!$D$8+'Cracker Yields'!$E$8*'Financial Model Prop. Furn. Add'!BB15</f>
        <v>13282.571249999999</v>
      </c>
      <c r="BC20" s="1325">
        <f>BC12*'Cracker Yields'!$B$8+'Cracker Yields'!$C$8*'Financial Model Prop. Furn. Add'!BC13+'Financial Model Prop. Furn. Add'!BC14*'Cracker Yields'!$D$8+'Cracker Yields'!$E$8*'Financial Model Prop. Furn. Add'!BC15</f>
        <v>13282.571249999999</v>
      </c>
      <c r="BD20" s="1325">
        <f>BD12*'Cracker Yields'!$B$8+'Cracker Yields'!$C$8*'Financial Model Prop. Furn. Add'!BD13+'Financial Model Prop. Furn. Add'!BD14*'Cracker Yields'!$D$8+'Cracker Yields'!$E$8*'Financial Model Prop. Furn. Add'!BD15</f>
        <v>13282.571249999999</v>
      </c>
      <c r="BE20" s="1325">
        <f>BE12*'Cracker Yields'!$B$8+'Cracker Yields'!$C$8*'Financial Model Prop. Furn. Add'!BE13+'Financial Model Prop. Furn. Add'!BE14*'Cracker Yields'!$D$8+'Cracker Yields'!$E$8*'Financial Model Prop. Furn. Add'!BE15</f>
        <v>13282.571249999999</v>
      </c>
      <c r="BF20" s="1325">
        <f>BF12*'Cracker Yields'!$B$8+'Cracker Yields'!$C$8*'Financial Model Prop. Furn. Add'!BF13+'Financial Model Prop. Furn. Add'!BF14*'Cracker Yields'!$D$8+'Cracker Yields'!$E$8*'Financial Model Prop. Furn. Add'!BF15</f>
        <v>13282.571249999999</v>
      </c>
      <c r="BG20" s="1325">
        <f>BG12*'Cracker Yields'!$B$8+'Cracker Yields'!$C$8*'Financial Model Prop. Furn. Add'!BG13+'Financial Model Prop. Furn. Add'!BG14*'Cracker Yields'!$D$8+'Cracker Yields'!$E$8*'Financial Model Prop. Furn. Add'!BG15</f>
        <v>13282.571249999999</v>
      </c>
      <c r="BH20" s="1325">
        <f>BH12*'Cracker Yields'!$B$8+'Cracker Yields'!$C$8*'Financial Model Prop. Furn. Add'!BH13+'Financial Model Prop. Furn. Add'!BH14*'Cracker Yields'!$D$8+'Cracker Yields'!$E$8*'Financial Model Prop. Furn. Add'!BH15</f>
        <v>13282.571249999999</v>
      </c>
      <c r="BI20" s="1325">
        <f>BI12*'Cracker Yields'!$B$8+'Cracker Yields'!$C$8*'Financial Model Prop. Furn. Add'!BI13+'Financial Model Prop. Furn. Add'!BI14*'Cracker Yields'!$D$8+'Cracker Yields'!$E$8*'Financial Model Prop. Furn. Add'!BI15</f>
        <v>13282.571249999999</v>
      </c>
      <c r="BJ20" s="1325">
        <f>BJ12*'Cracker Yields'!$B$8+'Cracker Yields'!$C$8*'Financial Model Prop. Furn. Add'!BJ13+'Financial Model Prop. Furn. Add'!BJ14*'Cracker Yields'!$D$8+'Cracker Yields'!$E$8*'Financial Model Prop. Furn. Add'!BJ15</f>
        <v>13282.571249999999</v>
      </c>
      <c r="BK20" s="1325">
        <f>BK12*'Cracker Yields'!$B$8+'Cracker Yields'!$C$8*'Financial Model Prop. Furn. Add'!BK13+'Financial Model Prop. Furn. Add'!BK14*'Cracker Yields'!$D$8+'Cracker Yields'!$E$8*'Financial Model Prop. Furn. Add'!BK15</f>
        <v>13282.571249999999</v>
      </c>
      <c r="BL20" s="1325">
        <f>BL12*'Cracker Yields'!$B$8+'Cracker Yields'!$C$8*'Financial Model Prop. Furn. Add'!BL13+'Financial Model Prop. Furn. Add'!BL14*'Cracker Yields'!$D$8+'Cracker Yields'!$E$8*'Financial Model Prop. Furn. Add'!BL15</f>
        <v>13282.571249999999</v>
      </c>
      <c r="BM20" s="1325">
        <f>BM12*'Cracker Yields'!$B$8+'Cracker Yields'!$C$8*'Financial Model Prop. Furn. Add'!BM13+'Financial Model Prop. Furn. Add'!BM14*'Cracker Yields'!$D$8+'Cracker Yields'!$E$8*'Financial Model Prop. Furn. Add'!BM15</f>
        <v>13282.571249999999</v>
      </c>
      <c r="BN20" s="1325">
        <f>BN12*'Cracker Yields'!$B$8+'Cracker Yields'!$C$8*'Financial Model Prop. Furn. Add'!BN13+'Financial Model Prop. Furn. Add'!BN14*'Cracker Yields'!$D$8+'Cracker Yields'!$E$8*'Financial Model Prop. Furn. Add'!BN15</f>
        <v>13282.571249999999</v>
      </c>
      <c r="BO20" s="1325">
        <f>BO12*'Cracker Yields'!$B$8+'Cracker Yields'!$C$8*'Financial Model Prop. Furn. Add'!BO13+'Financial Model Prop. Furn. Add'!BO14*'Cracker Yields'!$D$8+'Cracker Yields'!$E$8*'Financial Model Prop. Furn. Add'!BO15</f>
        <v>13282.571249999999</v>
      </c>
      <c r="BP20" s="1325">
        <f>BP12*'Cracker Yields'!$B$8+'Cracker Yields'!$C$8*'Financial Model Prop. Furn. Add'!BP13+'Financial Model Prop. Furn. Add'!BP14*'Cracker Yields'!$D$8+'Cracker Yields'!$E$8*'Financial Model Prop. Furn. Add'!BP15</f>
        <v>13282.571249999999</v>
      </c>
      <c r="BQ20" s="1325">
        <f>BQ12*'Cracker Yields'!$B$8+'Cracker Yields'!$C$8*'Financial Model Prop. Furn. Add'!BQ13+'Financial Model Prop. Furn. Add'!BQ14*'Cracker Yields'!$D$8+'Cracker Yields'!$E$8*'Financial Model Prop. Furn. Add'!BQ15</f>
        <v>13282.571249999999</v>
      </c>
      <c r="BR20" s="1325">
        <f>BR12*'Cracker Yields'!$B$8+'Cracker Yields'!$C$8*'Financial Model Prop. Furn. Add'!BR13+'Financial Model Prop. Furn. Add'!BR14*'Cracker Yields'!$D$8+'Cracker Yields'!$E$8*'Financial Model Prop. Furn. Add'!BR15</f>
        <v>13282.571249999999</v>
      </c>
      <c r="BS20" s="1325">
        <f>BS12*'Cracker Yields'!$B$8+'Cracker Yields'!$C$8*'Financial Model Prop. Furn. Add'!BS13+'Financial Model Prop. Furn. Add'!BS14*'Cracker Yields'!$D$8+'Cracker Yields'!$E$8*'Financial Model Prop. Furn. Add'!BS15</f>
        <v>13282.571249999999</v>
      </c>
      <c r="BT20" s="1325">
        <f>BT12*'Cracker Yields'!$B$8+'Cracker Yields'!$C$8*'Financial Model Prop. Furn. Add'!BT13+'Financial Model Prop. Furn. Add'!BT14*'Cracker Yields'!$D$8+'Cracker Yields'!$E$8*'Financial Model Prop. Furn. Add'!BT15</f>
        <v>13282.571249999999</v>
      </c>
      <c r="BU20" s="1325">
        <f>BU12*'Cracker Yields'!$B$8+'Cracker Yields'!$C$8*'Financial Model Prop. Furn. Add'!BU13+'Financial Model Prop. Furn. Add'!BU14*'Cracker Yields'!$D$8+'Cracker Yields'!$E$8*'Financial Model Prop. Furn. Add'!BU15</f>
        <v>13282.571249999999</v>
      </c>
      <c r="BV20" s="1325">
        <f>BV12*'Cracker Yields'!$B$8+'Cracker Yields'!$C$8*'Financial Model Prop. Furn. Add'!BV13+'Financial Model Prop. Furn. Add'!BV14*'Cracker Yields'!$D$8+'Cracker Yields'!$E$8*'Financial Model Prop. Furn. Add'!BV15</f>
        <v>13282.571249999999</v>
      </c>
      <c r="BW20" s="1325">
        <f>BW12*'Cracker Yields'!$B$8+'Cracker Yields'!$C$8*'Financial Model Prop. Furn. Add'!BW13+'Financial Model Prop. Furn. Add'!BW14*'Cracker Yields'!$D$8+'Cracker Yields'!$E$8*'Financial Model Prop. Furn. Add'!BW15</f>
        <v>13282.571249999999</v>
      </c>
      <c r="BX20" s="1325">
        <f>BX12*'Cracker Yields'!$B$8+'Cracker Yields'!$C$8*'Financial Model Prop. Furn. Add'!BX13+'Financial Model Prop. Furn. Add'!BX14*'Cracker Yields'!$D$8+'Cracker Yields'!$E$8*'Financial Model Prop. Furn. Add'!BX15</f>
        <v>13282.571249999999</v>
      </c>
      <c r="BY20" s="1325">
        <f>BY12*'Cracker Yields'!$B$8+'Cracker Yields'!$C$8*'Financial Model Prop. Furn. Add'!BY13+'Financial Model Prop. Furn. Add'!BY14*'Cracker Yields'!$D$8+'Cracker Yields'!$E$8*'Financial Model Prop. Furn. Add'!BY15</f>
        <v>13282.571249999999</v>
      </c>
      <c r="BZ20" s="1325">
        <f>BZ12*'Cracker Yields'!$B$8+'Cracker Yields'!$C$8*'Financial Model Prop. Furn. Add'!BZ13+'Financial Model Prop. Furn. Add'!BZ14*'Cracker Yields'!$D$8+'Cracker Yields'!$E$8*'Financial Model Prop. Furn. Add'!BZ15</f>
        <v>13282.571249999999</v>
      </c>
      <c r="CA20" s="1325">
        <f>CA12*'Cracker Yields'!$B$8+'Cracker Yields'!$C$8*'Financial Model Prop. Furn. Add'!CA13+'Financial Model Prop. Furn. Add'!CA14*'Cracker Yields'!$D$8+'Cracker Yields'!$E$8*'Financial Model Prop. Furn. Add'!CA15</f>
        <v>13282.571249999999</v>
      </c>
      <c r="CB20" s="1325">
        <f>CB12*'Cracker Yields'!$B$8+'Cracker Yields'!$C$8*'Financial Model Prop. Furn. Add'!CB13+'Financial Model Prop. Furn. Add'!CB14*'Cracker Yields'!$D$8+'Cracker Yields'!$E$8*'Financial Model Prop. Furn. Add'!CB15</f>
        <v>13282.571249999999</v>
      </c>
      <c r="CC20" s="1325">
        <f>CC12*'Cracker Yields'!$B$8+'Cracker Yields'!$C$8*'Financial Model Prop. Furn. Add'!CC13+'Financial Model Prop. Furn. Add'!CC14*'Cracker Yields'!$D$8+'Cracker Yields'!$E$8*'Financial Model Prop. Furn. Add'!CC15</f>
        <v>13282.571249999999</v>
      </c>
      <c r="CD20" s="1325">
        <f>CD12*'Cracker Yields'!$B$8+'Cracker Yields'!$C$8*'Financial Model Prop. Furn. Add'!CD13+'Financial Model Prop. Furn. Add'!CD14*'Cracker Yields'!$D$8+'Cracker Yields'!$E$8*'Financial Model Prop. Furn. Add'!CD15</f>
        <v>13282.571249999999</v>
      </c>
      <c r="CE20" s="1325">
        <f>CE12*'Cracker Yields'!$B$8+'Cracker Yields'!$C$8*'Financial Model Prop. Furn. Add'!CE13+'Financial Model Prop. Furn. Add'!CE14*'Cracker Yields'!$D$8+'Cracker Yields'!$E$8*'Financial Model Prop. Furn. Add'!CE15</f>
        <v>13282.571249999999</v>
      </c>
      <c r="CF20" s="1325">
        <f>CF12*'Cracker Yields'!$B$8+'Cracker Yields'!$C$8*'Financial Model Prop. Furn. Add'!CF13+'Financial Model Prop. Furn. Add'!CF14*'Cracker Yields'!$D$8+'Cracker Yields'!$E$8*'Financial Model Prop. Furn. Add'!CF15</f>
        <v>13282.571249999999</v>
      </c>
      <c r="CG20" s="1325">
        <f>CG12*'Cracker Yields'!$B$8+'Cracker Yields'!$C$8*'Financial Model Prop. Furn. Add'!CG13+'Financial Model Prop. Furn. Add'!CG14*'Cracker Yields'!$D$8+'Cracker Yields'!$E$8*'Financial Model Prop. Furn. Add'!CG15</f>
        <v>13282.571249999999</v>
      </c>
      <c r="CH20" s="1325">
        <f>CH12*'Cracker Yields'!$B$8+'Cracker Yields'!$C$8*'Financial Model Prop. Furn. Add'!CH13+'Financial Model Prop. Furn. Add'!CH14*'Cracker Yields'!$D$8+'Cracker Yields'!$E$8*'Financial Model Prop. Furn. Add'!CH15</f>
        <v>13282.571249999999</v>
      </c>
      <c r="CI20" s="1325">
        <f>CI12*'Cracker Yields'!$B$8+'Cracker Yields'!$C$8*'Financial Model Prop. Furn. Add'!CI13+'Financial Model Prop. Furn. Add'!CI14*'Cracker Yields'!$D$8+'Cracker Yields'!$E$8*'Financial Model Prop. Furn. Add'!CI15</f>
        <v>13282.571249999999</v>
      </c>
      <c r="CJ20" s="1325">
        <f>CJ12*'Cracker Yields'!$B$8+'Cracker Yields'!$C$8*'Financial Model Prop. Furn. Add'!CJ13+'Financial Model Prop. Furn. Add'!CJ14*'Cracker Yields'!$D$8+'Cracker Yields'!$E$8*'Financial Model Prop. Furn. Add'!CJ15</f>
        <v>13282.571249999999</v>
      </c>
      <c r="CK20" s="1325">
        <f>CK12*'Cracker Yields'!$B$8+'Cracker Yields'!$C$8*'Financial Model Prop. Furn. Add'!CK13+'Financial Model Prop. Furn. Add'!CK14*'Cracker Yields'!$D$8+'Cracker Yields'!$E$8*'Financial Model Prop. Furn. Add'!CK15</f>
        <v>13282.571249999999</v>
      </c>
      <c r="CL20" s="1325">
        <f>CL12*'Cracker Yields'!$B$8+'Cracker Yields'!$C$8*'Financial Model Prop. Furn. Add'!CL13+'Financial Model Prop. Furn. Add'!CL14*'Cracker Yields'!$D$8+'Cracker Yields'!$E$8*'Financial Model Prop. Furn. Add'!CL15</f>
        <v>13282.571249999999</v>
      </c>
      <c r="CM20" s="1326">
        <v>14526.098000000002</v>
      </c>
      <c r="CN20" s="347"/>
      <c r="CO20" s="347"/>
      <c r="CP20" s="347"/>
      <c r="CQ20" s="347"/>
      <c r="CR20" s="347"/>
      <c r="CS20" s="347"/>
      <c r="CT20" s="347"/>
      <c r="CU20" s="347"/>
      <c r="CV20" s="347"/>
      <c r="CW20" s="347"/>
      <c r="CX20" s="347"/>
      <c r="CY20" s="347"/>
      <c r="CZ20" s="347"/>
      <c r="DA20" s="347"/>
      <c r="DB20" s="347"/>
      <c r="DC20" s="347"/>
      <c r="DD20" s="347"/>
      <c r="DE20" s="347"/>
      <c r="DF20" s="347"/>
      <c r="DG20" s="347"/>
      <c r="DH20" s="347"/>
      <c r="DI20" s="347"/>
      <c r="DJ20" s="347"/>
      <c r="DK20" s="347"/>
      <c r="DL20" s="347"/>
      <c r="DM20" s="347"/>
      <c r="DN20" s="347"/>
      <c r="DO20" s="347"/>
      <c r="DP20" s="347"/>
      <c r="DQ20" s="347"/>
      <c r="DR20" s="347"/>
      <c r="DS20" s="347"/>
      <c r="DT20" s="347"/>
      <c r="DU20" s="347"/>
      <c r="DV20" s="347"/>
      <c r="DW20" s="347"/>
      <c r="DX20" s="347"/>
      <c r="DY20" s="347"/>
      <c r="DZ20" s="347"/>
      <c r="EA20" s="347"/>
      <c r="EB20" s="347"/>
      <c r="EC20" s="347"/>
      <c r="ED20" s="347"/>
      <c r="EE20" s="347"/>
      <c r="EF20" s="347"/>
      <c r="EG20" s="347"/>
      <c r="EH20" s="347"/>
      <c r="EI20" s="347"/>
      <c r="EJ20" s="347"/>
      <c r="EK20" s="347"/>
      <c r="EL20" s="347"/>
      <c r="EM20" s="347"/>
      <c r="EN20" s="347"/>
      <c r="EO20" s="347"/>
      <c r="EP20" s="347"/>
      <c r="EQ20" s="347"/>
      <c r="ER20" s="347"/>
      <c r="ES20" s="347"/>
      <c r="ET20" s="347"/>
      <c r="EU20" s="347"/>
      <c r="EV20" s="347"/>
      <c r="EW20" s="347"/>
      <c r="EX20" s="347"/>
      <c r="EY20" s="347"/>
      <c r="EZ20" s="347"/>
      <c r="FA20" s="347"/>
      <c r="FB20" s="347"/>
      <c r="FC20" s="347"/>
      <c r="FD20" s="347"/>
      <c r="FE20" s="347"/>
      <c r="FF20" s="347"/>
      <c r="FG20" s="347"/>
      <c r="FH20" s="347"/>
      <c r="FI20" s="347"/>
      <c r="FJ20" s="347"/>
      <c r="FK20" s="347"/>
      <c r="FL20" s="347"/>
      <c r="FM20" s="347"/>
      <c r="FN20" s="347"/>
      <c r="FO20" s="347"/>
      <c r="FP20" s="347"/>
      <c r="FQ20" s="347"/>
      <c r="FR20" s="347"/>
      <c r="FS20" s="347"/>
      <c r="FT20" s="347"/>
      <c r="FU20" s="347"/>
      <c r="FV20" s="347"/>
    </row>
    <row r="21" spans="1:178">
      <c r="A21" s="1409"/>
      <c r="B21" s="811" t="s">
        <v>403</v>
      </c>
      <c r="C21" s="581" t="s">
        <v>402</v>
      </c>
      <c r="D21" s="581"/>
      <c r="E21" s="1412"/>
      <c r="F21" s="881" t="str">
        <f>F10</f>
        <v xml:space="preserve"> CBFS </v>
      </c>
      <c r="G21" s="1325">
        <f>G12*'Cracker Yields'!$B$5+'Cracker Yields'!$C$5*'Financial Model Prop. Furn. Add'!G13+'Financial Model Prop. Furn. Add'!G14*'Cracker Yields'!$D$5+'Cracker Yields'!$E$5*'Financial Model Prop. Furn. Add'!G15</f>
        <v>5612.5166666666664</v>
      </c>
      <c r="H21" s="1325">
        <f>H12*'Cracker Yields'!$B$5+'Cracker Yields'!$C$5*'Financial Model Prop. Furn. Add'!H13+'Financial Model Prop. Furn. Add'!H14*'Cracker Yields'!$D$5+'Cracker Yields'!$E$5*'Financial Model Prop. Furn. Add'!H15</f>
        <v>5612.5166666666664</v>
      </c>
      <c r="I21" s="1325">
        <f>I12*'Cracker Yields'!$B$5+'Cracker Yields'!$C$5*'Financial Model Prop. Furn. Add'!I13+'Financial Model Prop. Furn. Add'!I14*'Cracker Yields'!$D$5+'Cracker Yields'!$E$5*'Financial Model Prop. Furn. Add'!I15</f>
        <v>5612.5166666666664</v>
      </c>
      <c r="J21" s="1325">
        <f>J12*'Cracker Yields'!$B$5+'Cracker Yields'!$C$5*'Financial Model Prop. Furn. Add'!J13+'Financial Model Prop. Furn. Add'!J14*'Cracker Yields'!$D$5+'Cracker Yields'!$E$5*'Financial Model Prop. Furn. Add'!J15</f>
        <v>5612.5166666666664</v>
      </c>
      <c r="K21" s="1325">
        <f>K12*'Cracker Yields'!$B$5+'Cracker Yields'!$C$5*'Financial Model Prop. Furn. Add'!K13+'Financial Model Prop. Furn. Add'!K14*'Cracker Yields'!$D$5+'Cracker Yields'!$E$5*'Financial Model Prop. Furn. Add'!K15</f>
        <v>5612.5166666666664</v>
      </c>
      <c r="L21" s="1325">
        <f>L12*'Cracker Yields'!$B$5+'Cracker Yields'!$C$5*'Financial Model Prop. Furn. Add'!L13+'Financial Model Prop. Furn. Add'!L14*'Cracker Yields'!$D$5+'Cracker Yields'!$E$5*'Financial Model Prop. Furn. Add'!L15</f>
        <v>5612.5166666666664</v>
      </c>
      <c r="M21" s="1325">
        <f>M12*'Cracker Yields'!$B$5+'Cracker Yields'!$C$5*'Financial Model Prop. Furn. Add'!M13+'Financial Model Prop. Furn. Add'!M14*'Cracker Yields'!$D$5+'Cracker Yields'!$E$5*'Financial Model Prop. Furn. Add'!M15</f>
        <v>5612.5166666666664</v>
      </c>
      <c r="N21" s="1325">
        <f>N12*'Cracker Yields'!$B$5+'Cracker Yields'!$C$5*'Financial Model Prop. Furn. Add'!N13+'Financial Model Prop. Furn. Add'!N14*'Cracker Yields'!$D$5+'Cracker Yields'!$E$5*'Financial Model Prop. Furn. Add'!N15</f>
        <v>5612.5166666666664</v>
      </c>
      <c r="O21" s="1325">
        <f>O12*'Cracker Yields'!$B$5+'Cracker Yields'!$C$5*'Financial Model Prop. Furn. Add'!O13+'Financial Model Prop. Furn. Add'!O14*'Cracker Yields'!$D$5+'Cracker Yields'!$E$5*'Financial Model Prop. Furn. Add'!O15</f>
        <v>5612.5166666666664</v>
      </c>
      <c r="P21" s="1325">
        <f>P12*'Cracker Yields'!$B$5+'Cracker Yields'!$C$5*'Financial Model Prop. Furn. Add'!P13+'Financial Model Prop. Furn. Add'!P14*'Cracker Yields'!$D$5+'Cracker Yields'!$E$5*'Financial Model Prop. Furn. Add'!P15</f>
        <v>5612.5166666666664</v>
      </c>
      <c r="Q21" s="1325">
        <f>Q12*'Cracker Yields'!$B$5+'Cracker Yields'!$C$5*'Financial Model Prop. Furn. Add'!Q13+'Financial Model Prop. Furn. Add'!Q14*'Cracker Yields'!$D$5+'Cracker Yields'!$E$5*'Financial Model Prop. Furn. Add'!Q15</f>
        <v>5612.5166666666664</v>
      </c>
      <c r="R21" s="1325">
        <f>R12*'Cracker Yields'!$B$5+'Cracker Yields'!$C$5*'Financial Model Prop. Furn. Add'!R13+'Financial Model Prop. Furn. Add'!R14*'Cracker Yields'!$D$5+'Cracker Yields'!$E$5*'Financial Model Prop. Furn. Add'!R15</f>
        <v>5612.5166666666664</v>
      </c>
      <c r="S21" s="1325">
        <f>S12*'Cracker Yields'!$B$5+'Cracker Yields'!$C$5*'Financial Model Prop. Furn. Add'!S13+'Financial Model Prop. Furn. Add'!S14*'Cracker Yields'!$D$5+'Cracker Yields'!$E$5*'Financial Model Prop. Furn. Add'!S15</f>
        <v>5612.5166666666664</v>
      </c>
      <c r="T21" s="1325">
        <f>T12*'Cracker Yields'!$B$5+'Cracker Yields'!$C$5*'Financial Model Prop. Furn. Add'!T13+'Financial Model Prop. Furn. Add'!T14*'Cracker Yields'!$D$5+'Cracker Yields'!$E$5*'Financial Model Prop. Furn. Add'!T15</f>
        <v>5612.5166666666664</v>
      </c>
      <c r="U21" s="1325">
        <f>U12*'Cracker Yields'!$B$5+'Cracker Yields'!$C$5*'Financial Model Prop. Furn. Add'!U13+'Financial Model Prop. Furn. Add'!U14*'Cracker Yields'!$D$5+'Cracker Yields'!$E$5*'Financial Model Prop. Furn. Add'!U15</f>
        <v>5612.5166666666664</v>
      </c>
      <c r="V21" s="1325">
        <f>V12*'Cracker Yields'!$B$5+'Cracker Yields'!$C$5*'Financial Model Prop. Furn. Add'!V13+'Financial Model Prop. Furn. Add'!V14*'Cracker Yields'!$D$5+'Cracker Yields'!$E$5*'Financial Model Prop. Furn. Add'!V15</f>
        <v>5612.5166666666664</v>
      </c>
      <c r="W21" s="1325">
        <f>W12*'Cracker Yields'!$B$5+'Cracker Yields'!$C$5*'Financial Model Prop. Furn. Add'!W13+'Financial Model Prop. Furn. Add'!W14*'Cracker Yields'!$D$5+'Cracker Yields'!$E$5*'Financial Model Prop. Furn. Add'!W15</f>
        <v>5612.5166666666664</v>
      </c>
      <c r="X21" s="1325">
        <f>X12*'Cracker Yields'!$B$5+'Cracker Yields'!$C$5*'Financial Model Prop. Furn. Add'!X13+'Financial Model Prop. Furn. Add'!X14*'Cracker Yields'!$D$5+'Cracker Yields'!$E$5*'Financial Model Prop. Furn. Add'!X15</f>
        <v>5612.5166666666664</v>
      </c>
      <c r="Y21" s="1325">
        <f>Y12*'Cracker Yields'!$B$5+'Cracker Yields'!$C$5*'Financial Model Prop. Furn. Add'!Y13+'Financial Model Prop. Furn. Add'!Y14*'Cracker Yields'!$D$5+'Cracker Yields'!$E$5*'Financial Model Prop. Furn. Add'!Y15</f>
        <v>5612.5166666666664</v>
      </c>
      <c r="Z21" s="1325">
        <f>Z12*'Cracker Yields'!$B$5+'Cracker Yields'!$C$5*'Financial Model Prop. Furn. Add'!Z13+'Financial Model Prop. Furn. Add'!Z14*'Cracker Yields'!$D$5+'Cracker Yields'!$E$5*'Financial Model Prop. Furn. Add'!Z15</f>
        <v>5612.5166666666664</v>
      </c>
      <c r="AA21" s="1325">
        <f>AA12*'Cracker Yields'!$B$5+'Cracker Yields'!$C$5*'Financial Model Prop. Furn. Add'!AA13+'Financial Model Prop. Furn. Add'!AA14*'Cracker Yields'!$D$5+'Cracker Yields'!$E$5*'Financial Model Prop. Furn. Add'!AA15</f>
        <v>5612.5166666666664</v>
      </c>
      <c r="AB21" s="1325">
        <f>AB12*'Cracker Yields'!$B$5+'Cracker Yields'!$C$5*'Financial Model Prop. Furn. Add'!AB13+'Financial Model Prop. Furn. Add'!AB14*'Cracker Yields'!$D$5+'Cracker Yields'!$E$5*'Financial Model Prop. Furn. Add'!AB15</f>
        <v>5612.5166666666664</v>
      </c>
      <c r="AC21" s="1325">
        <f>AC12*'Cracker Yields'!$B$5+'Cracker Yields'!$C$5*'Financial Model Prop. Furn. Add'!AC13+'Financial Model Prop. Furn. Add'!AC14*'Cracker Yields'!$D$5+'Cracker Yields'!$E$5*'Financial Model Prop. Furn. Add'!AC15</f>
        <v>5612.5166666666664</v>
      </c>
      <c r="AD21" s="1325">
        <f>AD12*'Cracker Yields'!$B$5+'Cracker Yields'!$C$5*'Financial Model Prop. Furn. Add'!AD13+'Financial Model Prop. Furn. Add'!AD14*'Cracker Yields'!$D$5+'Cracker Yields'!$E$5*'Financial Model Prop. Furn. Add'!AD15</f>
        <v>5612.5166666666664</v>
      </c>
      <c r="AE21" s="1325">
        <f>AE12*'Cracker Yields'!$B$5+'Cracker Yields'!$C$5*'Financial Model Prop. Furn. Add'!AE13+'Financial Model Prop. Furn. Add'!AE14*'Cracker Yields'!$D$5+'Cracker Yields'!$E$5*'Financial Model Prop. Furn. Add'!AE15</f>
        <v>5612.5166666666664</v>
      </c>
      <c r="AF21" s="1325">
        <f>AF12*'Cracker Yields'!$B$5+'Cracker Yields'!$C$5*'Financial Model Prop. Furn. Add'!AF13+'Financial Model Prop. Furn. Add'!AF14*'Cracker Yields'!$D$5+'Cracker Yields'!$E$5*'Financial Model Prop. Furn. Add'!AF15</f>
        <v>5612.5166666666664</v>
      </c>
      <c r="AG21" s="1325">
        <f>AG12*'Cracker Yields'!$B$5+'Cracker Yields'!$C$5*'Financial Model Prop. Furn. Add'!AG13+'Financial Model Prop. Furn. Add'!AG14*'Cracker Yields'!$D$5+'Cracker Yields'!$E$5*'Financial Model Prop. Furn. Add'!AG15</f>
        <v>5612.5166666666664</v>
      </c>
      <c r="AH21" s="1325">
        <f>AH12*'Cracker Yields'!$B$5+'Cracker Yields'!$C$5*'Financial Model Prop. Furn. Add'!AH13+'Financial Model Prop. Furn. Add'!AH14*'Cracker Yields'!$D$5+'Cracker Yields'!$E$5*'Financial Model Prop. Furn. Add'!AH15</f>
        <v>5612.5166666666664</v>
      </c>
      <c r="AI21" s="1325">
        <f>AI12*'Cracker Yields'!$B$5+'Cracker Yields'!$C$5*'Financial Model Prop. Furn. Add'!AI13+'Financial Model Prop. Furn. Add'!AI14*'Cracker Yields'!$D$5+'Cracker Yields'!$E$5*'Financial Model Prop. Furn. Add'!AI15</f>
        <v>5612.5166666666664</v>
      </c>
      <c r="AJ21" s="1325">
        <f>AJ12*'Cracker Yields'!$B$5+'Cracker Yields'!$C$5*'Financial Model Prop. Furn. Add'!AJ13+'Financial Model Prop. Furn. Add'!AJ14*'Cracker Yields'!$D$5+'Cracker Yields'!$E$5*'Financial Model Prop. Furn. Add'!AJ15</f>
        <v>5612.5166666666664</v>
      </c>
      <c r="AK21" s="1325">
        <f>AK12*'Cracker Yields'!$B$5+'Cracker Yields'!$C$5*'Financial Model Prop. Furn. Add'!AK13+'Financial Model Prop. Furn. Add'!AK14*'Cracker Yields'!$D$5+'Cracker Yields'!$E$5*'Financial Model Prop. Furn. Add'!AK15</f>
        <v>5612.5166666666664</v>
      </c>
      <c r="AL21" s="1325">
        <f>AL12*'Cracker Yields'!$B$5+'Cracker Yields'!$C$5*'Financial Model Prop. Furn. Add'!AL13+'Financial Model Prop. Furn. Add'!AL14*'Cracker Yields'!$D$5+'Cracker Yields'!$E$5*'Financial Model Prop. Furn. Add'!AL15</f>
        <v>5612.5166666666664</v>
      </c>
      <c r="AM21" s="1325">
        <f>AM12*'Cracker Yields'!$B$5+'Cracker Yields'!$C$5*'Financial Model Prop. Furn. Add'!AM13+'Financial Model Prop. Furn. Add'!AM14*'Cracker Yields'!$D$5+'Cracker Yields'!$E$5*'Financial Model Prop. Furn. Add'!AM15</f>
        <v>5612.5166666666664</v>
      </c>
      <c r="AN21" s="1325">
        <f>AN12*'Cracker Yields'!$B$5+'Cracker Yields'!$C$5*'Financial Model Prop. Furn. Add'!AN13+'Financial Model Prop. Furn. Add'!AN14*'Cracker Yields'!$D$5+'Cracker Yields'!$E$5*'Financial Model Prop. Furn. Add'!AN15</f>
        <v>5612.5166666666664</v>
      </c>
      <c r="AO21" s="1325">
        <f>AO12*'Cracker Yields'!$B$5+'Cracker Yields'!$C$5*'Financial Model Prop. Furn. Add'!AO13+'Financial Model Prop. Furn. Add'!AO14*'Cracker Yields'!$D$5+'Cracker Yields'!$E$5*'Financial Model Prop. Furn. Add'!AO15</f>
        <v>5612.5166666666664</v>
      </c>
      <c r="AP21" s="1325">
        <f>AP12*'Cracker Yields'!$B$5+'Cracker Yields'!$C$5*'Financial Model Prop. Furn. Add'!AP13+'Financial Model Prop. Furn. Add'!AP14*'Cracker Yields'!$D$5+'Cracker Yields'!$E$5*'Financial Model Prop. Furn. Add'!AP15</f>
        <v>5612.5166666666664</v>
      </c>
      <c r="AQ21" s="1325">
        <f>AQ12*'Cracker Yields'!$B$5+'Cracker Yields'!$C$5*'Financial Model Prop. Furn. Add'!AQ13+'Financial Model Prop. Furn. Add'!AQ14*'Cracker Yields'!$D$5+'Cracker Yields'!$E$5*'Financial Model Prop. Furn. Add'!AQ15</f>
        <v>5612.5166666666664</v>
      </c>
      <c r="AR21" s="1325">
        <f>AR12*'Cracker Yields'!$B$5+'Cracker Yields'!$C$5*'Financial Model Prop. Furn. Add'!AR13+'Financial Model Prop. Furn. Add'!AR14*'Cracker Yields'!$D$5+'Cracker Yields'!$E$5*'Financial Model Prop. Furn. Add'!AR15</f>
        <v>5612.5166666666664</v>
      </c>
      <c r="AS21" s="1325">
        <f>AS12*'Cracker Yields'!$B$5+'Cracker Yields'!$C$5*'Financial Model Prop. Furn. Add'!AS13+'Financial Model Prop. Furn. Add'!AS14*'Cracker Yields'!$D$5+'Cracker Yields'!$E$5*'Financial Model Prop. Furn. Add'!AS15</f>
        <v>5612.5166666666664</v>
      </c>
      <c r="AT21" s="1325">
        <f>AT12*'Cracker Yields'!$B$5+'Cracker Yields'!$C$5*'Financial Model Prop. Furn. Add'!AT13+'Financial Model Prop. Furn. Add'!AT14*'Cracker Yields'!$D$5+'Cracker Yields'!$E$5*'Financial Model Prop. Furn. Add'!AT15</f>
        <v>5612.5166666666664</v>
      </c>
      <c r="AU21" s="1325">
        <f>AU12*'Cracker Yields'!$B$5+'Cracker Yields'!$C$5*'Financial Model Prop. Furn. Add'!AU13+'Financial Model Prop. Furn. Add'!AU14*'Cracker Yields'!$D$5+'Cracker Yields'!$E$5*'Financial Model Prop. Furn. Add'!AU15</f>
        <v>5612.5166666666664</v>
      </c>
      <c r="AV21" s="1325">
        <f>AV12*'Cracker Yields'!$B$5+'Cracker Yields'!$C$5*'Financial Model Prop. Furn. Add'!AV13+'Financial Model Prop. Furn. Add'!AV14*'Cracker Yields'!$D$5+'Cracker Yields'!$E$5*'Financial Model Prop. Furn. Add'!AV15</f>
        <v>5612.5166666666664</v>
      </c>
      <c r="AW21" s="1325">
        <f>AW12*'Cracker Yields'!$B$5+'Cracker Yields'!$C$5*'Financial Model Prop. Furn. Add'!AW13+'Financial Model Prop. Furn. Add'!AW14*'Cracker Yields'!$D$5+'Cracker Yields'!$E$5*'Financial Model Prop. Furn. Add'!AW15</f>
        <v>5612.5166666666664</v>
      </c>
      <c r="AX21" s="1325">
        <f>AX12*'Cracker Yields'!$B$5+'Cracker Yields'!$C$5*'Financial Model Prop. Furn. Add'!AX13+'Financial Model Prop. Furn. Add'!AX14*'Cracker Yields'!$D$5+'Cracker Yields'!$E$5*'Financial Model Prop. Furn. Add'!AX15</f>
        <v>5612.5166666666664</v>
      </c>
      <c r="AY21" s="1325">
        <f>AY12*'Cracker Yields'!$B$5+'Cracker Yields'!$C$5*'Financial Model Prop. Furn. Add'!AY13+'Financial Model Prop. Furn. Add'!AY14*'Cracker Yields'!$D$5+'Cracker Yields'!$E$5*'Financial Model Prop. Furn. Add'!AY15</f>
        <v>5612.5166666666664</v>
      </c>
      <c r="AZ21" s="1325">
        <f>AZ12*'Cracker Yields'!$B$5+'Cracker Yields'!$C$5*'Financial Model Prop. Furn. Add'!AZ13+'Financial Model Prop. Furn. Add'!AZ14*'Cracker Yields'!$D$5+'Cracker Yields'!$E$5*'Financial Model Prop. Furn. Add'!AZ15</f>
        <v>5612.5166666666664</v>
      </c>
      <c r="BA21" s="1325">
        <f>BA12*'Cracker Yields'!$B$5+'Cracker Yields'!$C$5*'Financial Model Prop. Furn. Add'!BA13+'Financial Model Prop. Furn. Add'!BA14*'Cracker Yields'!$D$5+'Cracker Yields'!$E$5*'Financial Model Prop. Furn. Add'!BA15</f>
        <v>5612.5166666666664</v>
      </c>
      <c r="BB21" s="1325">
        <f>BB12*'Cracker Yields'!$B$5+'Cracker Yields'!$C$5*'Financial Model Prop. Furn. Add'!BB13+'Financial Model Prop. Furn. Add'!BB14*'Cracker Yields'!$D$5+'Cracker Yields'!$E$5*'Financial Model Prop. Furn. Add'!BB15</f>
        <v>5612.5166666666664</v>
      </c>
      <c r="BC21" s="1325">
        <f>BC12*'Cracker Yields'!$B$5+'Cracker Yields'!$C$5*'Financial Model Prop. Furn. Add'!BC13+'Financial Model Prop. Furn. Add'!BC14*'Cracker Yields'!$D$5+'Cracker Yields'!$E$5*'Financial Model Prop. Furn. Add'!BC15</f>
        <v>5612.5166666666664</v>
      </c>
      <c r="BD21" s="1325">
        <f>BD12*'Cracker Yields'!$B$5+'Cracker Yields'!$C$5*'Financial Model Prop. Furn. Add'!BD13+'Financial Model Prop. Furn. Add'!BD14*'Cracker Yields'!$D$5+'Cracker Yields'!$E$5*'Financial Model Prop. Furn. Add'!BD15</f>
        <v>5612.5166666666664</v>
      </c>
      <c r="BE21" s="1325">
        <f>BE12*'Cracker Yields'!$B$5+'Cracker Yields'!$C$5*'Financial Model Prop. Furn. Add'!BE13+'Financial Model Prop. Furn. Add'!BE14*'Cracker Yields'!$D$5+'Cracker Yields'!$E$5*'Financial Model Prop. Furn. Add'!BE15</f>
        <v>5612.5166666666664</v>
      </c>
      <c r="BF21" s="1325">
        <f>BF12*'Cracker Yields'!$B$5+'Cracker Yields'!$C$5*'Financial Model Prop. Furn. Add'!BF13+'Financial Model Prop. Furn. Add'!BF14*'Cracker Yields'!$D$5+'Cracker Yields'!$E$5*'Financial Model Prop. Furn. Add'!BF15</f>
        <v>5612.5166666666664</v>
      </c>
      <c r="BG21" s="1325">
        <f>BG12*'Cracker Yields'!$B$5+'Cracker Yields'!$C$5*'Financial Model Prop. Furn. Add'!BG13+'Financial Model Prop. Furn. Add'!BG14*'Cracker Yields'!$D$5+'Cracker Yields'!$E$5*'Financial Model Prop. Furn. Add'!BG15</f>
        <v>5612.5166666666664</v>
      </c>
      <c r="BH21" s="1325">
        <f>BH12*'Cracker Yields'!$B$5+'Cracker Yields'!$C$5*'Financial Model Prop. Furn. Add'!BH13+'Financial Model Prop. Furn. Add'!BH14*'Cracker Yields'!$D$5+'Cracker Yields'!$E$5*'Financial Model Prop. Furn. Add'!BH15</f>
        <v>5612.5166666666664</v>
      </c>
      <c r="BI21" s="1325">
        <f>BI12*'Cracker Yields'!$B$5+'Cracker Yields'!$C$5*'Financial Model Prop. Furn. Add'!BI13+'Financial Model Prop. Furn. Add'!BI14*'Cracker Yields'!$D$5+'Cracker Yields'!$E$5*'Financial Model Prop. Furn. Add'!BI15</f>
        <v>5612.5166666666664</v>
      </c>
      <c r="BJ21" s="1325">
        <f>BJ12*'Cracker Yields'!$B$5+'Cracker Yields'!$C$5*'Financial Model Prop. Furn. Add'!BJ13+'Financial Model Prop. Furn. Add'!BJ14*'Cracker Yields'!$D$5+'Cracker Yields'!$E$5*'Financial Model Prop. Furn. Add'!BJ15</f>
        <v>5612.5166666666664</v>
      </c>
      <c r="BK21" s="1325">
        <f>BK12*'Cracker Yields'!$B$5+'Cracker Yields'!$C$5*'Financial Model Prop. Furn. Add'!BK13+'Financial Model Prop. Furn. Add'!BK14*'Cracker Yields'!$D$5+'Cracker Yields'!$E$5*'Financial Model Prop. Furn. Add'!BK15</f>
        <v>5612.5166666666664</v>
      </c>
      <c r="BL21" s="1325">
        <f>BL12*'Cracker Yields'!$B$5+'Cracker Yields'!$C$5*'Financial Model Prop. Furn. Add'!BL13+'Financial Model Prop. Furn. Add'!BL14*'Cracker Yields'!$D$5+'Cracker Yields'!$E$5*'Financial Model Prop. Furn. Add'!BL15</f>
        <v>5612.5166666666664</v>
      </c>
      <c r="BM21" s="1325">
        <f>BM12*'Cracker Yields'!$B$5+'Cracker Yields'!$C$5*'Financial Model Prop. Furn. Add'!BM13+'Financial Model Prop. Furn. Add'!BM14*'Cracker Yields'!$D$5+'Cracker Yields'!$E$5*'Financial Model Prop. Furn. Add'!BM15</f>
        <v>5612.5166666666664</v>
      </c>
      <c r="BN21" s="1325">
        <f>BN12*'Cracker Yields'!$B$5+'Cracker Yields'!$C$5*'Financial Model Prop. Furn. Add'!BN13+'Financial Model Prop. Furn. Add'!BN14*'Cracker Yields'!$D$5+'Cracker Yields'!$E$5*'Financial Model Prop. Furn. Add'!BN15</f>
        <v>5612.5166666666664</v>
      </c>
      <c r="BO21" s="1325">
        <f>BO12*'Cracker Yields'!$B$5+'Cracker Yields'!$C$5*'Financial Model Prop. Furn. Add'!BO13+'Financial Model Prop. Furn. Add'!BO14*'Cracker Yields'!$D$5+'Cracker Yields'!$E$5*'Financial Model Prop. Furn. Add'!BO15</f>
        <v>5612.5166666666664</v>
      </c>
      <c r="BP21" s="1325">
        <f>BP12*'Cracker Yields'!$B$5+'Cracker Yields'!$C$5*'Financial Model Prop. Furn. Add'!BP13+'Financial Model Prop. Furn. Add'!BP14*'Cracker Yields'!$D$5+'Cracker Yields'!$E$5*'Financial Model Prop. Furn. Add'!BP15</f>
        <v>5612.5166666666664</v>
      </c>
      <c r="BQ21" s="1325">
        <f>BQ12*'Cracker Yields'!$B$5+'Cracker Yields'!$C$5*'Financial Model Prop. Furn. Add'!BQ13+'Financial Model Prop. Furn. Add'!BQ14*'Cracker Yields'!$D$5+'Cracker Yields'!$E$5*'Financial Model Prop. Furn. Add'!BQ15</f>
        <v>5612.5166666666664</v>
      </c>
      <c r="BR21" s="1325">
        <f>BR12*'Cracker Yields'!$B$5+'Cracker Yields'!$C$5*'Financial Model Prop. Furn. Add'!BR13+'Financial Model Prop. Furn. Add'!BR14*'Cracker Yields'!$D$5+'Cracker Yields'!$E$5*'Financial Model Prop. Furn. Add'!BR15</f>
        <v>5612.5166666666664</v>
      </c>
      <c r="BS21" s="1325">
        <f>BS12*'Cracker Yields'!$B$5+'Cracker Yields'!$C$5*'Financial Model Prop. Furn. Add'!BS13+'Financial Model Prop. Furn. Add'!BS14*'Cracker Yields'!$D$5+'Cracker Yields'!$E$5*'Financial Model Prop. Furn. Add'!BS15</f>
        <v>5612.5166666666664</v>
      </c>
      <c r="BT21" s="1325">
        <f>BT12*'Cracker Yields'!$B$5+'Cracker Yields'!$C$5*'Financial Model Prop. Furn. Add'!BT13+'Financial Model Prop. Furn. Add'!BT14*'Cracker Yields'!$D$5+'Cracker Yields'!$E$5*'Financial Model Prop. Furn. Add'!BT15</f>
        <v>5612.5166666666664</v>
      </c>
      <c r="BU21" s="1325">
        <f>BU12*'Cracker Yields'!$B$5+'Cracker Yields'!$C$5*'Financial Model Prop. Furn. Add'!BU13+'Financial Model Prop. Furn. Add'!BU14*'Cracker Yields'!$D$5+'Cracker Yields'!$E$5*'Financial Model Prop. Furn. Add'!BU15</f>
        <v>5612.5166666666664</v>
      </c>
      <c r="BV21" s="1325">
        <f>BV12*'Cracker Yields'!$B$5+'Cracker Yields'!$C$5*'Financial Model Prop. Furn. Add'!BV13+'Financial Model Prop. Furn. Add'!BV14*'Cracker Yields'!$D$5+'Cracker Yields'!$E$5*'Financial Model Prop. Furn. Add'!BV15</f>
        <v>5612.5166666666664</v>
      </c>
      <c r="BW21" s="1325">
        <f>BW12*'Cracker Yields'!$B$5+'Cracker Yields'!$C$5*'Financial Model Prop. Furn. Add'!BW13+'Financial Model Prop. Furn. Add'!BW14*'Cracker Yields'!$D$5+'Cracker Yields'!$E$5*'Financial Model Prop. Furn. Add'!BW15</f>
        <v>5612.5166666666664</v>
      </c>
      <c r="BX21" s="1325">
        <f>BX12*'Cracker Yields'!$B$5+'Cracker Yields'!$C$5*'Financial Model Prop. Furn. Add'!BX13+'Financial Model Prop. Furn. Add'!BX14*'Cracker Yields'!$D$5+'Cracker Yields'!$E$5*'Financial Model Prop. Furn. Add'!BX15</f>
        <v>5612.5166666666664</v>
      </c>
      <c r="BY21" s="1325">
        <f>BY12*'Cracker Yields'!$B$5+'Cracker Yields'!$C$5*'Financial Model Prop. Furn. Add'!BY13+'Financial Model Prop. Furn. Add'!BY14*'Cracker Yields'!$D$5+'Cracker Yields'!$E$5*'Financial Model Prop. Furn. Add'!BY15</f>
        <v>5612.5166666666664</v>
      </c>
      <c r="BZ21" s="1325">
        <f>BZ12*'Cracker Yields'!$B$5+'Cracker Yields'!$C$5*'Financial Model Prop. Furn. Add'!BZ13+'Financial Model Prop. Furn. Add'!BZ14*'Cracker Yields'!$D$5+'Cracker Yields'!$E$5*'Financial Model Prop. Furn. Add'!BZ15</f>
        <v>5612.5166666666664</v>
      </c>
      <c r="CA21" s="1325">
        <f>CA12*'Cracker Yields'!$B$5+'Cracker Yields'!$C$5*'Financial Model Prop. Furn. Add'!CA13+'Financial Model Prop. Furn. Add'!CA14*'Cracker Yields'!$D$5+'Cracker Yields'!$E$5*'Financial Model Prop. Furn. Add'!CA15</f>
        <v>5612.5166666666664</v>
      </c>
      <c r="CB21" s="1325">
        <f>CB12*'Cracker Yields'!$B$5+'Cracker Yields'!$C$5*'Financial Model Prop. Furn. Add'!CB13+'Financial Model Prop. Furn. Add'!CB14*'Cracker Yields'!$D$5+'Cracker Yields'!$E$5*'Financial Model Prop. Furn. Add'!CB15</f>
        <v>5612.5166666666664</v>
      </c>
      <c r="CC21" s="1325">
        <f>CC12*'Cracker Yields'!$B$5+'Cracker Yields'!$C$5*'Financial Model Prop. Furn. Add'!CC13+'Financial Model Prop. Furn. Add'!CC14*'Cracker Yields'!$D$5+'Cracker Yields'!$E$5*'Financial Model Prop. Furn. Add'!CC15</f>
        <v>5612.5166666666664</v>
      </c>
      <c r="CD21" s="1325">
        <f>CD12*'Cracker Yields'!$B$5+'Cracker Yields'!$C$5*'Financial Model Prop. Furn. Add'!CD13+'Financial Model Prop. Furn. Add'!CD14*'Cracker Yields'!$D$5+'Cracker Yields'!$E$5*'Financial Model Prop. Furn. Add'!CD15</f>
        <v>5612.5166666666664</v>
      </c>
      <c r="CE21" s="1325">
        <f>CE12*'Cracker Yields'!$B$5+'Cracker Yields'!$C$5*'Financial Model Prop. Furn. Add'!CE13+'Financial Model Prop. Furn. Add'!CE14*'Cracker Yields'!$D$5+'Cracker Yields'!$E$5*'Financial Model Prop. Furn. Add'!CE15</f>
        <v>5612.5166666666664</v>
      </c>
      <c r="CF21" s="1325">
        <f>CF12*'Cracker Yields'!$B$5+'Cracker Yields'!$C$5*'Financial Model Prop. Furn. Add'!CF13+'Financial Model Prop. Furn. Add'!CF14*'Cracker Yields'!$D$5+'Cracker Yields'!$E$5*'Financial Model Prop. Furn. Add'!CF15</f>
        <v>5612.5166666666664</v>
      </c>
      <c r="CG21" s="1325">
        <f>CG12*'Cracker Yields'!$B$5+'Cracker Yields'!$C$5*'Financial Model Prop. Furn. Add'!CG13+'Financial Model Prop. Furn. Add'!CG14*'Cracker Yields'!$D$5+'Cracker Yields'!$E$5*'Financial Model Prop. Furn. Add'!CG15</f>
        <v>5612.5166666666664</v>
      </c>
      <c r="CH21" s="1325">
        <f>CH12*'Cracker Yields'!$B$5+'Cracker Yields'!$C$5*'Financial Model Prop. Furn. Add'!CH13+'Financial Model Prop. Furn. Add'!CH14*'Cracker Yields'!$D$5+'Cracker Yields'!$E$5*'Financial Model Prop. Furn. Add'!CH15</f>
        <v>5612.5166666666664</v>
      </c>
      <c r="CI21" s="1325">
        <f>CI12*'Cracker Yields'!$B$5+'Cracker Yields'!$C$5*'Financial Model Prop. Furn. Add'!CI13+'Financial Model Prop. Furn. Add'!CI14*'Cracker Yields'!$D$5+'Cracker Yields'!$E$5*'Financial Model Prop. Furn. Add'!CI15</f>
        <v>5612.5166666666664</v>
      </c>
      <c r="CJ21" s="1325">
        <f>CJ12*'Cracker Yields'!$B$5+'Cracker Yields'!$C$5*'Financial Model Prop. Furn. Add'!CJ13+'Financial Model Prop. Furn. Add'!CJ14*'Cracker Yields'!$D$5+'Cracker Yields'!$E$5*'Financial Model Prop. Furn. Add'!CJ15</f>
        <v>5612.5166666666664</v>
      </c>
      <c r="CK21" s="1325">
        <f>CK12*'Cracker Yields'!$B$5+'Cracker Yields'!$C$5*'Financial Model Prop. Furn. Add'!CK13+'Financial Model Prop. Furn. Add'!CK14*'Cracker Yields'!$D$5+'Cracker Yields'!$E$5*'Financial Model Prop. Furn. Add'!CK15</f>
        <v>5612.5166666666664</v>
      </c>
      <c r="CL21" s="1325">
        <f>CL12*'Cracker Yields'!$B$5+'Cracker Yields'!$C$5*'Financial Model Prop. Furn. Add'!CL13+'Financial Model Prop. Furn. Add'!CL14*'Cracker Yields'!$D$5+'Cracker Yields'!$E$5*'Financial Model Prop. Furn. Add'!CL15</f>
        <v>5612.5166666666664</v>
      </c>
      <c r="CM21" s="1326">
        <v>5746.7666666666637</v>
      </c>
      <c r="CN21" s="347"/>
      <c r="CO21" s="347"/>
      <c r="CP21" s="347"/>
      <c r="CQ21" s="347"/>
      <c r="CR21" s="347"/>
      <c r="CS21" s="347"/>
      <c r="CT21" s="347"/>
      <c r="CU21" s="347"/>
      <c r="CV21" s="347"/>
      <c r="CW21" s="347"/>
      <c r="CX21" s="347"/>
      <c r="CY21" s="347"/>
      <c r="CZ21" s="347"/>
      <c r="DA21" s="347"/>
      <c r="DB21" s="347"/>
      <c r="DC21" s="347"/>
      <c r="DD21" s="347"/>
      <c r="DE21" s="347"/>
      <c r="DF21" s="347"/>
      <c r="DG21" s="347"/>
      <c r="DH21" s="347"/>
      <c r="DI21" s="347"/>
      <c r="DJ21" s="347"/>
      <c r="DK21" s="347"/>
      <c r="DL21" s="347"/>
      <c r="DM21" s="347"/>
      <c r="DN21" s="347"/>
      <c r="DO21" s="347"/>
      <c r="DP21" s="347"/>
      <c r="DQ21" s="347"/>
      <c r="DR21" s="347"/>
      <c r="DS21" s="347"/>
      <c r="DT21" s="347"/>
      <c r="DU21" s="347"/>
      <c r="DV21" s="347"/>
      <c r="DW21" s="347"/>
      <c r="DX21" s="347"/>
      <c r="DY21" s="347"/>
      <c r="DZ21" s="347"/>
      <c r="EA21" s="347"/>
      <c r="EB21" s="347"/>
      <c r="EC21" s="347"/>
      <c r="ED21" s="347"/>
      <c r="EE21" s="347"/>
      <c r="EF21" s="347"/>
      <c r="EG21" s="347"/>
      <c r="EH21" s="347"/>
      <c r="EI21" s="347"/>
      <c r="EJ21" s="347"/>
      <c r="EK21" s="347"/>
      <c r="EL21" s="347"/>
      <c r="EM21" s="347"/>
      <c r="EN21" s="347"/>
      <c r="EO21" s="347"/>
      <c r="EP21" s="347"/>
      <c r="EQ21" s="347"/>
      <c r="ER21" s="347"/>
      <c r="ES21" s="347"/>
      <c r="ET21" s="347"/>
      <c r="EU21" s="347"/>
      <c r="EV21" s="347"/>
      <c r="EW21" s="347"/>
      <c r="EX21" s="347"/>
      <c r="EY21" s="347"/>
      <c r="EZ21" s="347"/>
      <c r="FA21" s="347"/>
      <c r="FB21" s="347"/>
      <c r="FC21" s="347"/>
      <c r="FD21" s="347"/>
      <c r="FE21" s="347"/>
      <c r="FF21" s="347"/>
      <c r="FG21" s="347"/>
      <c r="FH21" s="347"/>
      <c r="FI21" s="347"/>
      <c r="FJ21" s="347"/>
      <c r="FK21" s="347"/>
      <c r="FL21" s="347"/>
      <c r="FM21" s="347"/>
      <c r="FN21" s="347"/>
      <c r="FO21" s="347"/>
      <c r="FP21" s="347"/>
      <c r="FQ21" s="347"/>
      <c r="FR21" s="347"/>
      <c r="FS21" s="347"/>
      <c r="FT21" s="347"/>
      <c r="FU21" s="347"/>
      <c r="FV21" s="347"/>
    </row>
    <row r="22" spans="1:178">
      <c r="A22" s="1410"/>
      <c r="B22" s="859" t="s">
        <v>403</v>
      </c>
      <c r="C22" s="860" t="s">
        <v>402</v>
      </c>
      <c r="D22" s="860"/>
      <c r="E22" s="1413"/>
      <c r="F22" s="883" t="str">
        <f>F11</f>
        <v xml:space="preserve"> C9+   </v>
      </c>
      <c r="G22" s="1325">
        <f>G12*'Cracker Yields'!$B$11+'Cracker Yields'!$C$11*'Financial Model Prop. Furn. Add'!G13+'Financial Model Prop. Furn. Add'!G14*'Cracker Yields'!$D$11+'Cracker Yields'!$E$11*'Financial Model Prop. Furn. Add'!G15</f>
        <v>3984.7713749999998</v>
      </c>
      <c r="H22" s="1325">
        <f>H12*'Cracker Yields'!$B$11+'Cracker Yields'!$C$11*'Financial Model Prop. Furn. Add'!H13+'Financial Model Prop. Furn. Add'!H14*'Cracker Yields'!$D$11+'Cracker Yields'!$E$11*'Financial Model Prop. Furn. Add'!H15</f>
        <v>3984.7713749999998</v>
      </c>
      <c r="I22" s="1325">
        <f>I12*'Cracker Yields'!$B$11+'Cracker Yields'!$C$11*'Financial Model Prop. Furn. Add'!I13+'Financial Model Prop. Furn. Add'!I14*'Cracker Yields'!$D$11+'Cracker Yields'!$E$11*'Financial Model Prop. Furn. Add'!I15</f>
        <v>3984.7713749999998</v>
      </c>
      <c r="J22" s="1325">
        <f>J12*'Cracker Yields'!$B$11+'Cracker Yields'!$C$11*'Financial Model Prop. Furn. Add'!J13+'Financial Model Prop. Furn. Add'!J14*'Cracker Yields'!$D$11+'Cracker Yields'!$E$11*'Financial Model Prop. Furn. Add'!J15</f>
        <v>3984.7713749999998</v>
      </c>
      <c r="K22" s="1325">
        <f>K12*'Cracker Yields'!$B$11+'Cracker Yields'!$C$11*'Financial Model Prop. Furn. Add'!K13+'Financial Model Prop. Furn. Add'!K14*'Cracker Yields'!$D$11+'Cracker Yields'!$E$11*'Financial Model Prop. Furn. Add'!K15</f>
        <v>3984.7713749999998</v>
      </c>
      <c r="L22" s="1325">
        <f>L12*'Cracker Yields'!$B$11+'Cracker Yields'!$C$11*'Financial Model Prop. Furn. Add'!L13+'Financial Model Prop. Furn. Add'!L14*'Cracker Yields'!$D$11+'Cracker Yields'!$E$11*'Financial Model Prop. Furn. Add'!L15</f>
        <v>3984.7713749999998</v>
      </c>
      <c r="M22" s="1325">
        <f>M12*'Cracker Yields'!$B$11+'Cracker Yields'!$C$11*'Financial Model Prop. Furn. Add'!M13+'Financial Model Prop. Furn. Add'!M14*'Cracker Yields'!$D$11+'Cracker Yields'!$E$11*'Financial Model Prop. Furn. Add'!M15</f>
        <v>3984.7713749999998</v>
      </c>
      <c r="N22" s="1325">
        <f>N12*'Cracker Yields'!$B$11+'Cracker Yields'!$C$11*'Financial Model Prop. Furn. Add'!N13+'Financial Model Prop. Furn. Add'!N14*'Cracker Yields'!$D$11+'Cracker Yields'!$E$11*'Financial Model Prop. Furn. Add'!N15</f>
        <v>3984.7713749999998</v>
      </c>
      <c r="O22" s="1325">
        <f>O12*'Cracker Yields'!$B$11+'Cracker Yields'!$C$11*'Financial Model Prop. Furn. Add'!O13+'Financial Model Prop. Furn. Add'!O14*'Cracker Yields'!$D$11+'Cracker Yields'!$E$11*'Financial Model Prop. Furn. Add'!O15</f>
        <v>3984.7713749999998</v>
      </c>
      <c r="P22" s="1325">
        <f>P12*'Cracker Yields'!$B$11+'Cracker Yields'!$C$11*'Financial Model Prop. Furn. Add'!P13+'Financial Model Prop. Furn. Add'!P14*'Cracker Yields'!$D$11+'Cracker Yields'!$E$11*'Financial Model Prop. Furn. Add'!P15</f>
        <v>3984.7713749999998</v>
      </c>
      <c r="Q22" s="1325">
        <f>Q12*'Cracker Yields'!$B$11+'Cracker Yields'!$C$11*'Financial Model Prop. Furn. Add'!Q13+'Financial Model Prop. Furn. Add'!Q14*'Cracker Yields'!$D$11+'Cracker Yields'!$E$11*'Financial Model Prop. Furn. Add'!Q15</f>
        <v>3984.7713749999998</v>
      </c>
      <c r="R22" s="1325">
        <f>R12*'Cracker Yields'!$B$11+'Cracker Yields'!$C$11*'Financial Model Prop. Furn. Add'!R13+'Financial Model Prop. Furn. Add'!R14*'Cracker Yields'!$D$11+'Cracker Yields'!$E$11*'Financial Model Prop. Furn. Add'!R15</f>
        <v>3984.7713749999998</v>
      </c>
      <c r="S22" s="1325">
        <f>S12*'Cracker Yields'!$B$11+'Cracker Yields'!$C$11*'Financial Model Prop. Furn. Add'!S13+'Financial Model Prop. Furn. Add'!S14*'Cracker Yields'!$D$11+'Cracker Yields'!$E$11*'Financial Model Prop. Furn. Add'!S15</f>
        <v>3984.7713749999998</v>
      </c>
      <c r="T22" s="1325">
        <f>T12*'Cracker Yields'!$B$11+'Cracker Yields'!$C$11*'Financial Model Prop. Furn. Add'!T13+'Financial Model Prop. Furn. Add'!T14*'Cracker Yields'!$D$11+'Cracker Yields'!$E$11*'Financial Model Prop. Furn. Add'!T15</f>
        <v>3984.7713749999998</v>
      </c>
      <c r="U22" s="1325">
        <f>U12*'Cracker Yields'!$B$11+'Cracker Yields'!$C$11*'Financial Model Prop. Furn. Add'!U13+'Financial Model Prop. Furn. Add'!U14*'Cracker Yields'!$D$11+'Cracker Yields'!$E$11*'Financial Model Prop. Furn. Add'!U15</f>
        <v>3984.7713749999998</v>
      </c>
      <c r="V22" s="1325">
        <f>V12*'Cracker Yields'!$B$11+'Cracker Yields'!$C$11*'Financial Model Prop. Furn. Add'!V13+'Financial Model Prop. Furn. Add'!V14*'Cracker Yields'!$D$11+'Cracker Yields'!$E$11*'Financial Model Prop. Furn. Add'!V15</f>
        <v>3984.7713749999998</v>
      </c>
      <c r="W22" s="1325">
        <f>W12*'Cracker Yields'!$B$11+'Cracker Yields'!$C$11*'Financial Model Prop. Furn. Add'!W13+'Financial Model Prop. Furn. Add'!W14*'Cracker Yields'!$D$11+'Cracker Yields'!$E$11*'Financial Model Prop. Furn. Add'!W15</f>
        <v>3984.7713749999998</v>
      </c>
      <c r="X22" s="1325">
        <f>X12*'Cracker Yields'!$B$11+'Cracker Yields'!$C$11*'Financial Model Prop. Furn. Add'!X13+'Financial Model Prop. Furn. Add'!X14*'Cracker Yields'!$D$11+'Cracker Yields'!$E$11*'Financial Model Prop. Furn. Add'!X15</f>
        <v>3984.7713749999998</v>
      </c>
      <c r="Y22" s="1325">
        <f>Y12*'Cracker Yields'!$B$11+'Cracker Yields'!$C$11*'Financial Model Prop. Furn. Add'!Y13+'Financial Model Prop. Furn. Add'!Y14*'Cracker Yields'!$D$11+'Cracker Yields'!$E$11*'Financial Model Prop. Furn. Add'!Y15</f>
        <v>3984.7713749999998</v>
      </c>
      <c r="Z22" s="1325">
        <f>Z12*'Cracker Yields'!$B$11+'Cracker Yields'!$C$11*'Financial Model Prop. Furn. Add'!Z13+'Financial Model Prop. Furn. Add'!Z14*'Cracker Yields'!$D$11+'Cracker Yields'!$E$11*'Financial Model Prop. Furn. Add'!Z15</f>
        <v>3984.7713749999998</v>
      </c>
      <c r="AA22" s="1325">
        <f>AA12*'Cracker Yields'!$B$11+'Cracker Yields'!$C$11*'Financial Model Prop. Furn. Add'!AA13+'Financial Model Prop. Furn. Add'!AA14*'Cracker Yields'!$D$11+'Cracker Yields'!$E$11*'Financial Model Prop. Furn. Add'!AA15</f>
        <v>3984.7713749999998</v>
      </c>
      <c r="AB22" s="1325">
        <f>AB12*'Cracker Yields'!$B$11+'Cracker Yields'!$C$11*'Financial Model Prop. Furn. Add'!AB13+'Financial Model Prop. Furn. Add'!AB14*'Cracker Yields'!$D$11+'Cracker Yields'!$E$11*'Financial Model Prop. Furn. Add'!AB15</f>
        <v>3984.7713749999998</v>
      </c>
      <c r="AC22" s="1325">
        <f>AC12*'Cracker Yields'!$B$11+'Cracker Yields'!$C$11*'Financial Model Prop. Furn. Add'!AC13+'Financial Model Prop. Furn. Add'!AC14*'Cracker Yields'!$D$11+'Cracker Yields'!$E$11*'Financial Model Prop. Furn. Add'!AC15</f>
        <v>3984.7713749999998</v>
      </c>
      <c r="AD22" s="1325">
        <f>AD12*'Cracker Yields'!$B$11+'Cracker Yields'!$C$11*'Financial Model Prop. Furn. Add'!AD13+'Financial Model Prop. Furn. Add'!AD14*'Cracker Yields'!$D$11+'Cracker Yields'!$E$11*'Financial Model Prop. Furn. Add'!AD15</f>
        <v>3984.7713749999998</v>
      </c>
      <c r="AE22" s="1325">
        <f>AE12*'Cracker Yields'!$B$11+'Cracker Yields'!$C$11*'Financial Model Prop. Furn. Add'!AE13+'Financial Model Prop. Furn. Add'!AE14*'Cracker Yields'!$D$11+'Cracker Yields'!$E$11*'Financial Model Prop. Furn. Add'!AE15</f>
        <v>3984.7713749999998</v>
      </c>
      <c r="AF22" s="1325">
        <f>AF12*'Cracker Yields'!$B$11+'Cracker Yields'!$C$11*'Financial Model Prop. Furn. Add'!AF13+'Financial Model Prop. Furn. Add'!AF14*'Cracker Yields'!$D$11+'Cracker Yields'!$E$11*'Financial Model Prop. Furn. Add'!AF15</f>
        <v>3984.7713749999998</v>
      </c>
      <c r="AG22" s="1325">
        <f>AG12*'Cracker Yields'!$B$11+'Cracker Yields'!$C$11*'Financial Model Prop. Furn. Add'!AG13+'Financial Model Prop. Furn. Add'!AG14*'Cracker Yields'!$D$11+'Cracker Yields'!$E$11*'Financial Model Prop. Furn. Add'!AG15</f>
        <v>3984.7713749999998</v>
      </c>
      <c r="AH22" s="1325">
        <f>AH12*'Cracker Yields'!$B$11+'Cracker Yields'!$C$11*'Financial Model Prop. Furn. Add'!AH13+'Financial Model Prop. Furn. Add'!AH14*'Cracker Yields'!$D$11+'Cracker Yields'!$E$11*'Financial Model Prop. Furn. Add'!AH15</f>
        <v>3984.7713749999998</v>
      </c>
      <c r="AI22" s="1325">
        <f>AI12*'Cracker Yields'!$B$11+'Cracker Yields'!$C$11*'Financial Model Prop. Furn. Add'!AI13+'Financial Model Prop. Furn. Add'!AI14*'Cracker Yields'!$D$11+'Cracker Yields'!$E$11*'Financial Model Prop. Furn. Add'!AI15</f>
        <v>3984.7713749999998</v>
      </c>
      <c r="AJ22" s="1325">
        <f>AJ12*'Cracker Yields'!$B$11+'Cracker Yields'!$C$11*'Financial Model Prop. Furn. Add'!AJ13+'Financial Model Prop. Furn. Add'!AJ14*'Cracker Yields'!$D$11+'Cracker Yields'!$E$11*'Financial Model Prop. Furn. Add'!AJ15</f>
        <v>3984.7713749999998</v>
      </c>
      <c r="AK22" s="1325">
        <f>AK12*'Cracker Yields'!$B$11+'Cracker Yields'!$C$11*'Financial Model Prop. Furn. Add'!AK13+'Financial Model Prop. Furn. Add'!AK14*'Cracker Yields'!$D$11+'Cracker Yields'!$E$11*'Financial Model Prop. Furn. Add'!AK15</f>
        <v>3984.7713749999998</v>
      </c>
      <c r="AL22" s="1325">
        <f>AL12*'Cracker Yields'!$B$11+'Cracker Yields'!$C$11*'Financial Model Prop. Furn. Add'!AL13+'Financial Model Prop. Furn. Add'!AL14*'Cracker Yields'!$D$11+'Cracker Yields'!$E$11*'Financial Model Prop. Furn. Add'!AL15</f>
        <v>3984.7713749999998</v>
      </c>
      <c r="AM22" s="1325">
        <f>AM12*'Cracker Yields'!$B$11+'Cracker Yields'!$C$11*'Financial Model Prop. Furn. Add'!AM13+'Financial Model Prop. Furn. Add'!AM14*'Cracker Yields'!$D$11+'Cracker Yields'!$E$11*'Financial Model Prop. Furn. Add'!AM15</f>
        <v>3984.7713749999998</v>
      </c>
      <c r="AN22" s="1325">
        <f>AN12*'Cracker Yields'!$B$11+'Cracker Yields'!$C$11*'Financial Model Prop. Furn. Add'!AN13+'Financial Model Prop. Furn. Add'!AN14*'Cracker Yields'!$D$11+'Cracker Yields'!$E$11*'Financial Model Prop. Furn. Add'!AN15</f>
        <v>3984.7713749999998</v>
      </c>
      <c r="AO22" s="1325">
        <f>AO12*'Cracker Yields'!$B$11+'Cracker Yields'!$C$11*'Financial Model Prop. Furn. Add'!AO13+'Financial Model Prop. Furn. Add'!AO14*'Cracker Yields'!$D$11+'Cracker Yields'!$E$11*'Financial Model Prop. Furn. Add'!AO15</f>
        <v>3984.7713749999998</v>
      </c>
      <c r="AP22" s="1325">
        <f>AP12*'Cracker Yields'!$B$11+'Cracker Yields'!$C$11*'Financial Model Prop. Furn. Add'!AP13+'Financial Model Prop. Furn. Add'!AP14*'Cracker Yields'!$D$11+'Cracker Yields'!$E$11*'Financial Model Prop. Furn. Add'!AP15</f>
        <v>3984.7713749999998</v>
      </c>
      <c r="AQ22" s="1325">
        <f>AQ12*'Cracker Yields'!$B$11+'Cracker Yields'!$C$11*'Financial Model Prop. Furn. Add'!AQ13+'Financial Model Prop. Furn. Add'!AQ14*'Cracker Yields'!$D$11+'Cracker Yields'!$E$11*'Financial Model Prop. Furn. Add'!AQ15</f>
        <v>3984.7713749999998</v>
      </c>
      <c r="AR22" s="1325">
        <f>AR12*'Cracker Yields'!$B$11+'Cracker Yields'!$C$11*'Financial Model Prop. Furn. Add'!AR13+'Financial Model Prop. Furn. Add'!AR14*'Cracker Yields'!$D$11+'Cracker Yields'!$E$11*'Financial Model Prop. Furn. Add'!AR15</f>
        <v>3984.7713749999998</v>
      </c>
      <c r="AS22" s="1325">
        <f>AS12*'Cracker Yields'!$B$11+'Cracker Yields'!$C$11*'Financial Model Prop. Furn. Add'!AS13+'Financial Model Prop. Furn. Add'!AS14*'Cracker Yields'!$D$11+'Cracker Yields'!$E$11*'Financial Model Prop. Furn. Add'!AS15</f>
        <v>3984.7713749999998</v>
      </c>
      <c r="AT22" s="1325">
        <f>AT12*'Cracker Yields'!$B$11+'Cracker Yields'!$C$11*'Financial Model Prop. Furn. Add'!AT13+'Financial Model Prop. Furn. Add'!AT14*'Cracker Yields'!$D$11+'Cracker Yields'!$E$11*'Financial Model Prop. Furn. Add'!AT15</f>
        <v>3984.7713749999998</v>
      </c>
      <c r="AU22" s="1325">
        <f>AU12*'Cracker Yields'!$B$11+'Cracker Yields'!$C$11*'Financial Model Prop. Furn. Add'!AU13+'Financial Model Prop. Furn. Add'!AU14*'Cracker Yields'!$D$11+'Cracker Yields'!$E$11*'Financial Model Prop. Furn. Add'!AU15</f>
        <v>3984.7713749999998</v>
      </c>
      <c r="AV22" s="1325">
        <f>AV12*'Cracker Yields'!$B$11+'Cracker Yields'!$C$11*'Financial Model Prop. Furn. Add'!AV13+'Financial Model Prop. Furn. Add'!AV14*'Cracker Yields'!$D$11+'Cracker Yields'!$E$11*'Financial Model Prop. Furn. Add'!AV15</f>
        <v>3984.7713749999998</v>
      </c>
      <c r="AW22" s="1325">
        <f>AW12*'Cracker Yields'!$B$11+'Cracker Yields'!$C$11*'Financial Model Prop. Furn. Add'!AW13+'Financial Model Prop. Furn. Add'!AW14*'Cracker Yields'!$D$11+'Cracker Yields'!$E$11*'Financial Model Prop. Furn. Add'!AW15</f>
        <v>3984.7713749999998</v>
      </c>
      <c r="AX22" s="1325">
        <f>AX12*'Cracker Yields'!$B$11+'Cracker Yields'!$C$11*'Financial Model Prop. Furn. Add'!AX13+'Financial Model Prop. Furn. Add'!AX14*'Cracker Yields'!$D$11+'Cracker Yields'!$E$11*'Financial Model Prop. Furn. Add'!AX15</f>
        <v>3984.7713749999998</v>
      </c>
      <c r="AY22" s="1325">
        <f>AY12*'Cracker Yields'!$B$11+'Cracker Yields'!$C$11*'Financial Model Prop. Furn. Add'!AY13+'Financial Model Prop. Furn. Add'!AY14*'Cracker Yields'!$D$11+'Cracker Yields'!$E$11*'Financial Model Prop. Furn. Add'!AY15</f>
        <v>3984.7713749999998</v>
      </c>
      <c r="AZ22" s="1325">
        <f>AZ12*'Cracker Yields'!$B$11+'Cracker Yields'!$C$11*'Financial Model Prop. Furn. Add'!AZ13+'Financial Model Prop. Furn. Add'!AZ14*'Cracker Yields'!$D$11+'Cracker Yields'!$E$11*'Financial Model Prop. Furn. Add'!AZ15</f>
        <v>3984.7713749999998</v>
      </c>
      <c r="BA22" s="1325">
        <f>BA12*'Cracker Yields'!$B$11+'Cracker Yields'!$C$11*'Financial Model Prop. Furn. Add'!BA13+'Financial Model Prop. Furn. Add'!BA14*'Cracker Yields'!$D$11+'Cracker Yields'!$E$11*'Financial Model Prop. Furn. Add'!BA15</f>
        <v>3984.7713749999998</v>
      </c>
      <c r="BB22" s="1325">
        <f>BB12*'Cracker Yields'!$B$11+'Cracker Yields'!$C$11*'Financial Model Prop. Furn. Add'!BB13+'Financial Model Prop. Furn. Add'!BB14*'Cracker Yields'!$D$11+'Cracker Yields'!$E$11*'Financial Model Prop. Furn. Add'!BB15</f>
        <v>3984.7713749999998</v>
      </c>
      <c r="BC22" s="1325">
        <f>BC12*'Cracker Yields'!$B$11+'Cracker Yields'!$C$11*'Financial Model Prop. Furn. Add'!BC13+'Financial Model Prop. Furn. Add'!BC14*'Cracker Yields'!$D$11+'Cracker Yields'!$E$11*'Financial Model Prop. Furn. Add'!BC15</f>
        <v>3984.7713749999998</v>
      </c>
      <c r="BD22" s="1325">
        <f>BD12*'Cracker Yields'!$B$11+'Cracker Yields'!$C$11*'Financial Model Prop. Furn. Add'!BD13+'Financial Model Prop. Furn. Add'!BD14*'Cracker Yields'!$D$11+'Cracker Yields'!$E$11*'Financial Model Prop. Furn. Add'!BD15</f>
        <v>3984.7713749999998</v>
      </c>
      <c r="BE22" s="1325">
        <f>BE12*'Cracker Yields'!$B$11+'Cracker Yields'!$C$11*'Financial Model Prop. Furn. Add'!BE13+'Financial Model Prop. Furn. Add'!BE14*'Cracker Yields'!$D$11+'Cracker Yields'!$E$11*'Financial Model Prop. Furn. Add'!BE15</f>
        <v>3984.7713749999998</v>
      </c>
      <c r="BF22" s="1325">
        <f>BF12*'Cracker Yields'!$B$11+'Cracker Yields'!$C$11*'Financial Model Prop. Furn. Add'!BF13+'Financial Model Prop. Furn. Add'!BF14*'Cracker Yields'!$D$11+'Cracker Yields'!$E$11*'Financial Model Prop. Furn. Add'!BF15</f>
        <v>3984.7713749999998</v>
      </c>
      <c r="BG22" s="1325">
        <f>BG12*'Cracker Yields'!$B$11+'Cracker Yields'!$C$11*'Financial Model Prop. Furn. Add'!BG13+'Financial Model Prop. Furn. Add'!BG14*'Cracker Yields'!$D$11+'Cracker Yields'!$E$11*'Financial Model Prop. Furn. Add'!BG15</f>
        <v>3984.7713749999998</v>
      </c>
      <c r="BH22" s="1325">
        <f>BH12*'Cracker Yields'!$B$11+'Cracker Yields'!$C$11*'Financial Model Prop. Furn. Add'!BH13+'Financial Model Prop. Furn. Add'!BH14*'Cracker Yields'!$D$11+'Cracker Yields'!$E$11*'Financial Model Prop. Furn. Add'!BH15</f>
        <v>3984.7713749999998</v>
      </c>
      <c r="BI22" s="1325">
        <f>BI12*'Cracker Yields'!$B$11+'Cracker Yields'!$C$11*'Financial Model Prop. Furn. Add'!BI13+'Financial Model Prop. Furn. Add'!BI14*'Cracker Yields'!$D$11+'Cracker Yields'!$E$11*'Financial Model Prop. Furn. Add'!BI15</f>
        <v>3984.7713749999998</v>
      </c>
      <c r="BJ22" s="1325">
        <f>BJ12*'Cracker Yields'!$B$11+'Cracker Yields'!$C$11*'Financial Model Prop. Furn. Add'!BJ13+'Financial Model Prop. Furn. Add'!BJ14*'Cracker Yields'!$D$11+'Cracker Yields'!$E$11*'Financial Model Prop. Furn. Add'!BJ15</f>
        <v>3984.7713749999998</v>
      </c>
      <c r="BK22" s="1325">
        <f>BK12*'Cracker Yields'!$B$11+'Cracker Yields'!$C$11*'Financial Model Prop. Furn. Add'!BK13+'Financial Model Prop. Furn. Add'!BK14*'Cracker Yields'!$D$11+'Cracker Yields'!$E$11*'Financial Model Prop. Furn. Add'!BK15</f>
        <v>3984.7713749999998</v>
      </c>
      <c r="BL22" s="1325">
        <f>BL12*'Cracker Yields'!$B$11+'Cracker Yields'!$C$11*'Financial Model Prop. Furn. Add'!BL13+'Financial Model Prop. Furn. Add'!BL14*'Cracker Yields'!$D$11+'Cracker Yields'!$E$11*'Financial Model Prop. Furn. Add'!BL15</f>
        <v>3984.7713749999998</v>
      </c>
      <c r="BM22" s="1325">
        <f>BM12*'Cracker Yields'!$B$11+'Cracker Yields'!$C$11*'Financial Model Prop. Furn. Add'!BM13+'Financial Model Prop. Furn. Add'!BM14*'Cracker Yields'!$D$11+'Cracker Yields'!$E$11*'Financial Model Prop. Furn. Add'!BM15</f>
        <v>3984.7713749999998</v>
      </c>
      <c r="BN22" s="1325">
        <f>BN12*'Cracker Yields'!$B$11+'Cracker Yields'!$C$11*'Financial Model Prop. Furn. Add'!BN13+'Financial Model Prop. Furn. Add'!BN14*'Cracker Yields'!$D$11+'Cracker Yields'!$E$11*'Financial Model Prop. Furn. Add'!BN15</f>
        <v>3984.7713749999998</v>
      </c>
      <c r="BO22" s="1325">
        <f>BO12*'Cracker Yields'!$B$11+'Cracker Yields'!$C$11*'Financial Model Prop. Furn. Add'!BO13+'Financial Model Prop. Furn. Add'!BO14*'Cracker Yields'!$D$11+'Cracker Yields'!$E$11*'Financial Model Prop. Furn. Add'!BO15</f>
        <v>3984.7713749999998</v>
      </c>
      <c r="BP22" s="1325">
        <f>BP12*'Cracker Yields'!$B$11+'Cracker Yields'!$C$11*'Financial Model Prop. Furn. Add'!BP13+'Financial Model Prop. Furn. Add'!BP14*'Cracker Yields'!$D$11+'Cracker Yields'!$E$11*'Financial Model Prop. Furn. Add'!BP15</f>
        <v>3984.7713749999998</v>
      </c>
      <c r="BQ22" s="1325">
        <f>BQ12*'Cracker Yields'!$B$11+'Cracker Yields'!$C$11*'Financial Model Prop. Furn. Add'!BQ13+'Financial Model Prop. Furn. Add'!BQ14*'Cracker Yields'!$D$11+'Cracker Yields'!$E$11*'Financial Model Prop. Furn. Add'!BQ15</f>
        <v>3984.7713749999998</v>
      </c>
      <c r="BR22" s="1325">
        <f>BR12*'Cracker Yields'!$B$11+'Cracker Yields'!$C$11*'Financial Model Prop. Furn. Add'!BR13+'Financial Model Prop. Furn. Add'!BR14*'Cracker Yields'!$D$11+'Cracker Yields'!$E$11*'Financial Model Prop. Furn. Add'!BR15</f>
        <v>3984.7713749999998</v>
      </c>
      <c r="BS22" s="1325">
        <f>BS12*'Cracker Yields'!$B$11+'Cracker Yields'!$C$11*'Financial Model Prop. Furn. Add'!BS13+'Financial Model Prop. Furn. Add'!BS14*'Cracker Yields'!$D$11+'Cracker Yields'!$E$11*'Financial Model Prop. Furn. Add'!BS15</f>
        <v>3984.7713749999998</v>
      </c>
      <c r="BT22" s="1325">
        <f>BT12*'Cracker Yields'!$B$11+'Cracker Yields'!$C$11*'Financial Model Prop. Furn. Add'!BT13+'Financial Model Prop. Furn. Add'!BT14*'Cracker Yields'!$D$11+'Cracker Yields'!$E$11*'Financial Model Prop. Furn. Add'!BT15</f>
        <v>3984.7713749999998</v>
      </c>
      <c r="BU22" s="1325">
        <f>BU12*'Cracker Yields'!$B$11+'Cracker Yields'!$C$11*'Financial Model Prop. Furn. Add'!BU13+'Financial Model Prop. Furn. Add'!BU14*'Cracker Yields'!$D$11+'Cracker Yields'!$E$11*'Financial Model Prop. Furn. Add'!BU15</f>
        <v>3984.7713749999998</v>
      </c>
      <c r="BV22" s="1325">
        <f>BV12*'Cracker Yields'!$B$11+'Cracker Yields'!$C$11*'Financial Model Prop. Furn. Add'!BV13+'Financial Model Prop. Furn. Add'!BV14*'Cracker Yields'!$D$11+'Cracker Yields'!$E$11*'Financial Model Prop. Furn. Add'!BV15</f>
        <v>3984.7713749999998</v>
      </c>
      <c r="BW22" s="1325">
        <f>BW12*'Cracker Yields'!$B$11+'Cracker Yields'!$C$11*'Financial Model Prop. Furn. Add'!BW13+'Financial Model Prop. Furn. Add'!BW14*'Cracker Yields'!$D$11+'Cracker Yields'!$E$11*'Financial Model Prop. Furn. Add'!BW15</f>
        <v>3984.7713749999998</v>
      </c>
      <c r="BX22" s="1325">
        <f>BX12*'Cracker Yields'!$B$11+'Cracker Yields'!$C$11*'Financial Model Prop. Furn. Add'!BX13+'Financial Model Prop. Furn. Add'!BX14*'Cracker Yields'!$D$11+'Cracker Yields'!$E$11*'Financial Model Prop. Furn. Add'!BX15</f>
        <v>3984.7713749999998</v>
      </c>
      <c r="BY22" s="1325">
        <f>BY12*'Cracker Yields'!$B$11+'Cracker Yields'!$C$11*'Financial Model Prop. Furn. Add'!BY13+'Financial Model Prop. Furn. Add'!BY14*'Cracker Yields'!$D$11+'Cracker Yields'!$E$11*'Financial Model Prop. Furn. Add'!BY15</f>
        <v>3984.7713749999998</v>
      </c>
      <c r="BZ22" s="1325">
        <f>BZ12*'Cracker Yields'!$B$11+'Cracker Yields'!$C$11*'Financial Model Prop. Furn. Add'!BZ13+'Financial Model Prop. Furn. Add'!BZ14*'Cracker Yields'!$D$11+'Cracker Yields'!$E$11*'Financial Model Prop. Furn. Add'!BZ15</f>
        <v>3984.7713749999998</v>
      </c>
      <c r="CA22" s="1325">
        <f>CA12*'Cracker Yields'!$B$11+'Cracker Yields'!$C$11*'Financial Model Prop. Furn. Add'!CA13+'Financial Model Prop. Furn. Add'!CA14*'Cracker Yields'!$D$11+'Cracker Yields'!$E$11*'Financial Model Prop. Furn. Add'!CA15</f>
        <v>3984.7713749999998</v>
      </c>
      <c r="CB22" s="1325">
        <f>CB12*'Cracker Yields'!$B$11+'Cracker Yields'!$C$11*'Financial Model Prop. Furn. Add'!CB13+'Financial Model Prop. Furn. Add'!CB14*'Cracker Yields'!$D$11+'Cracker Yields'!$E$11*'Financial Model Prop. Furn. Add'!CB15</f>
        <v>3984.7713749999998</v>
      </c>
      <c r="CC22" s="1325">
        <f>CC12*'Cracker Yields'!$B$11+'Cracker Yields'!$C$11*'Financial Model Prop. Furn. Add'!CC13+'Financial Model Prop. Furn. Add'!CC14*'Cracker Yields'!$D$11+'Cracker Yields'!$E$11*'Financial Model Prop. Furn. Add'!CC15</f>
        <v>3984.7713749999998</v>
      </c>
      <c r="CD22" s="1325">
        <f>CD12*'Cracker Yields'!$B$11+'Cracker Yields'!$C$11*'Financial Model Prop. Furn. Add'!CD13+'Financial Model Prop. Furn. Add'!CD14*'Cracker Yields'!$D$11+'Cracker Yields'!$E$11*'Financial Model Prop. Furn. Add'!CD15</f>
        <v>3984.7713749999998</v>
      </c>
      <c r="CE22" s="1325">
        <f>CE12*'Cracker Yields'!$B$11+'Cracker Yields'!$C$11*'Financial Model Prop. Furn. Add'!CE13+'Financial Model Prop. Furn. Add'!CE14*'Cracker Yields'!$D$11+'Cracker Yields'!$E$11*'Financial Model Prop. Furn. Add'!CE15</f>
        <v>3984.7713749999998</v>
      </c>
      <c r="CF22" s="1325">
        <f>CF12*'Cracker Yields'!$B$11+'Cracker Yields'!$C$11*'Financial Model Prop. Furn. Add'!CF13+'Financial Model Prop. Furn. Add'!CF14*'Cracker Yields'!$D$11+'Cracker Yields'!$E$11*'Financial Model Prop. Furn. Add'!CF15</f>
        <v>3984.7713749999998</v>
      </c>
      <c r="CG22" s="1325">
        <f>CG12*'Cracker Yields'!$B$11+'Cracker Yields'!$C$11*'Financial Model Prop. Furn. Add'!CG13+'Financial Model Prop. Furn. Add'!CG14*'Cracker Yields'!$D$11+'Cracker Yields'!$E$11*'Financial Model Prop. Furn. Add'!CG15</f>
        <v>3984.7713749999998</v>
      </c>
      <c r="CH22" s="1325">
        <f>CH12*'Cracker Yields'!$B$11+'Cracker Yields'!$C$11*'Financial Model Prop. Furn. Add'!CH13+'Financial Model Prop. Furn. Add'!CH14*'Cracker Yields'!$D$11+'Cracker Yields'!$E$11*'Financial Model Prop. Furn. Add'!CH15</f>
        <v>3984.7713749999998</v>
      </c>
      <c r="CI22" s="1325">
        <f>CI12*'Cracker Yields'!$B$11+'Cracker Yields'!$C$11*'Financial Model Prop. Furn. Add'!CI13+'Financial Model Prop. Furn. Add'!CI14*'Cracker Yields'!$D$11+'Cracker Yields'!$E$11*'Financial Model Prop. Furn. Add'!CI15</f>
        <v>3984.7713749999998</v>
      </c>
      <c r="CJ22" s="1325">
        <f>CJ12*'Cracker Yields'!$B$11+'Cracker Yields'!$C$11*'Financial Model Prop. Furn. Add'!CJ13+'Financial Model Prop. Furn. Add'!CJ14*'Cracker Yields'!$D$11+'Cracker Yields'!$E$11*'Financial Model Prop. Furn. Add'!CJ15</f>
        <v>3984.7713749999998</v>
      </c>
      <c r="CK22" s="1325">
        <f>CK12*'Cracker Yields'!$B$11+'Cracker Yields'!$C$11*'Financial Model Prop. Furn. Add'!CK13+'Financial Model Prop. Furn. Add'!CK14*'Cracker Yields'!$D$11+'Cracker Yields'!$E$11*'Financial Model Prop. Furn. Add'!CK15</f>
        <v>3984.7713749999998</v>
      </c>
      <c r="CL22" s="1325">
        <f>CL12*'Cracker Yields'!$B$11+'Cracker Yields'!$C$11*'Financial Model Prop. Furn. Add'!CL13+'Financial Model Prop. Furn. Add'!CL14*'Cracker Yields'!$D$11+'Cracker Yields'!$E$11*'Financial Model Prop. Furn. Add'!CL15</f>
        <v>3984.7713749999998</v>
      </c>
      <c r="CM22" s="1327">
        <v>2614.697639999999</v>
      </c>
      <c r="CN22" s="347"/>
      <c r="CO22" s="347"/>
      <c r="CP22" s="347"/>
      <c r="CQ22" s="347"/>
      <c r="CR22" s="347"/>
      <c r="CS22" s="347"/>
      <c r="CT22" s="347"/>
      <c r="CU22" s="347"/>
      <c r="CV22" s="347"/>
      <c r="CW22" s="347"/>
      <c r="CX22" s="347"/>
      <c r="CY22" s="347"/>
      <c r="CZ22" s="347"/>
      <c r="DA22" s="347"/>
      <c r="DB22" s="347"/>
      <c r="DC22" s="347"/>
      <c r="DD22" s="347"/>
      <c r="DE22" s="347"/>
      <c r="DF22" s="347"/>
      <c r="DG22" s="347"/>
      <c r="DH22" s="347"/>
      <c r="DI22" s="347"/>
      <c r="DJ22" s="347"/>
      <c r="DK22" s="347"/>
      <c r="DL22" s="347"/>
      <c r="DM22" s="347"/>
      <c r="DN22" s="347"/>
      <c r="DO22" s="347"/>
      <c r="DP22" s="347"/>
      <c r="DQ22" s="347"/>
      <c r="DR22" s="347"/>
      <c r="DS22" s="347"/>
      <c r="DT22" s="347"/>
      <c r="DU22" s="347"/>
      <c r="DV22" s="347"/>
      <c r="DW22" s="347"/>
      <c r="DX22" s="347"/>
      <c r="DY22" s="347"/>
      <c r="DZ22" s="347"/>
      <c r="EA22" s="347"/>
      <c r="EB22" s="347"/>
      <c r="EC22" s="347"/>
      <c r="ED22" s="347"/>
      <c r="EE22" s="347"/>
      <c r="EF22" s="347"/>
      <c r="EG22" s="347"/>
      <c r="EH22" s="347"/>
      <c r="EI22" s="347"/>
      <c r="EJ22" s="347"/>
      <c r="EK22" s="347"/>
      <c r="EL22" s="347"/>
      <c r="EM22" s="347"/>
      <c r="EN22" s="347"/>
      <c r="EO22" s="347"/>
      <c r="EP22" s="347"/>
      <c r="EQ22" s="347"/>
      <c r="ER22" s="347"/>
      <c r="ES22" s="347"/>
      <c r="ET22" s="347"/>
      <c r="EU22" s="347"/>
      <c r="EV22" s="347"/>
      <c r="EW22" s="347"/>
      <c r="EX22" s="347"/>
      <c r="EY22" s="347"/>
      <c r="EZ22" s="347"/>
      <c r="FA22" s="347"/>
      <c r="FB22" s="347"/>
      <c r="FC22" s="347"/>
      <c r="FD22" s="347"/>
      <c r="FE22" s="347"/>
      <c r="FF22" s="347"/>
      <c r="FG22" s="347"/>
      <c r="FH22" s="347"/>
      <c r="FI22" s="347"/>
      <c r="FJ22" s="347"/>
      <c r="FK22" s="347"/>
      <c r="FL22" s="347"/>
      <c r="FM22" s="347"/>
      <c r="FN22" s="347"/>
      <c r="FO22" s="347"/>
      <c r="FP22" s="347"/>
      <c r="FQ22" s="347"/>
      <c r="FR22" s="347"/>
      <c r="FS22" s="347"/>
      <c r="FT22" s="347"/>
      <c r="FU22" s="347"/>
      <c r="FV22" s="347"/>
    </row>
    <row r="23" spans="1:178">
      <c r="A23" s="1394" t="s">
        <v>404</v>
      </c>
      <c r="B23" s="811" t="s">
        <v>403</v>
      </c>
      <c r="C23" s="581" t="s">
        <v>402</v>
      </c>
      <c r="D23" s="581">
        <v>27.86</v>
      </c>
      <c r="E23" s="347"/>
      <c r="F23" s="885" t="s">
        <v>203</v>
      </c>
      <c r="G23" s="597">
        <f>$D$23*G16/1000</f>
        <v>3128.7518710369818</v>
      </c>
      <c r="H23" s="597">
        <f t="shared" ref="H23:BS23" si="1">$D$23*H16/1000</f>
        <v>3128.7518710369818</v>
      </c>
      <c r="I23" s="597">
        <f t="shared" si="1"/>
        <v>3128.7518710369818</v>
      </c>
      <c r="J23" s="597">
        <f t="shared" si="1"/>
        <v>3128.7518710369818</v>
      </c>
      <c r="K23" s="597">
        <f t="shared" si="1"/>
        <v>3128.7518710369818</v>
      </c>
      <c r="L23" s="597">
        <f t="shared" si="1"/>
        <v>3128.7518710369818</v>
      </c>
      <c r="M23" s="597">
        <f t="shared" si="1"/>
        <v>3128.7518710369818</v>
      </c>
      <c r="N23" s="597">
        <f t="shared" si="1"/>
        <v>3128.7518710369818</v>
      </c>
      <c r="O23" s="597">
        <f t="shared" si="1"/>
        <v>3128.7518710369818</v>
      </c>
      <c r="P23" s="597">
        <f t="shared" si="1"/>
        <v>3128.7518710369818</v>
      </c>
      <c r="Q23" s="597">
        <f t="shared" si="1"/>
        <v>3128.7518710369818</v>
      </c>
      <c r="R23" s="597">
        <f t="shared" si="1"/>
        <v>3128.7518710369818</v>
      </c>
      <c r="S23" s="597">
        <f t="shared" si="1"/>
        <v>3128.7518710369818</v>
      </c>
      <c r="T23" s="597">
        <f t="shared" si="1"/>
        <v>3128.7518710369818</v>
      </c>
      <c r="U23" s="597">
        <f t="shared" si="1"/>
        <v>3128.7518710369818</v>
      </c>
      <c r="V23" s="597">
        <f t="shared" si="1"/>
        <v>3128.7518710369818</v>
      </c>
      <c r="W23" s="597">
        <f t="shared" si="1"/>
        <v>3128.7518710369818</v>
      </c>
      <c r="X23" s="597">
        <f t="shared" si="1"/>
        <v>3128.7518710369818</v>
      </c>
      <c r="Y23" s="597">
        <f t="shared" si="1"/>
        <v>3128.7518710369818</v>
      </c>
      <c r="Z23" s="597">
        <f t="shared" si="1"/>
        <v>3128.7518710369818</v>
      </c>
      <c r="AA23" s="597">
        <f t="shared" si="1"/>
        <v>3128.7518710369818</v>
      </c>
      <c r="AB23" s="597">
        <f t="shared" si="1"/>
        <v>3128.7518710369818</v>
      </c>
      <c r="AC23" s="597">
        <f t="shared" si="1"/>
        <v>3128.7518710369818</v>
      </c>
      <c r="AD23" s="597">
        <f t="shared" si="1"/>
        <v>3128.7518710369818</v>
      </c>
      <c r="AE23" s="597">
        <f t="shared" si="1"/>
        <v>3128.7518710369818</v>
      </c>
      <c r="AF23" s="597">
        <f t="shared" si="1"/>
        <v>3128.7518710369818</v>
      </c>
      <c r="AG23" s="597">
        <f t="shared" si="1"/>
        <v>3128.7518710369818</v>
      </c>
      <c r="AH23" s="597">
        <f t="shared" si="1"/>
        <v>3128.7518710369818</v>
      </c>
      <c r="AI23" s="597">
        <f t="shared" si="1"/>
        <v>3128.7518710369818</v>
      </c>
      <c r="AJ23" s="597">
        <f t="shared" si="1"/>
        <v>3128.7518710369818</v>
      </c>
      <c r="AK23" s="597">
        <f t="shared" si="1"/>
        <v>3128.7518710369818</v>
      </c>
      <c r="AL23" s="597">
        <f t="shared" si="1"/>
        <v>3128.7518710369818</v>
      </c>
      <c r="AM23" s="597">
        <f t="shared" si="1"/>
        <v>3128.7518710369818</v>
      </c>
      <c r="AN23" s="597">
        <f t="shared" si="1"/>
        <v>3128.7518710369818</v>
      </c>
      <c r="AO23" s="597">
        <f t="shared" si="1"/>
        <v>3128.7518710369818</v>
      </c>
      <c r="AP23" s="597">
        <f t="shared" si="1"/>
        <v>3128.7518710369818</v>
      </c>
      <c r="AQ23" s="597">
        <f t="shared" si="1"/>
        <v>3128.7518710369818</v>
      </c>
      <c r="AR23" s="597">
        <f t="shared" si="1"/>
        <v>3128.7518710369818</v>
      </c>
      <c r="AS23" s="597">
        <f t="shared" si="1"/>
        <v>3128.7518710369818</v>
      </c>
      <c r="AT23" s="597">
        <f t="shared" si="1"/>
        <v>3128.7518710369818</v>
      </c>
      <c r="AU23" s="597">
        <f t="shared" si="1"/>
        <v>3128.7518710369818</v>
      </c>
      <c r="AV23" s="597">
        <f t="shared" si="1"/>
        <v>3128.7518710369818</v>
      </c>
      <c r="AW23" s="597">
        <f t="shared" si="1"/>
        <v>3128.7518710369818</v>
      </c>
      <c r="AX23" s="597">
        <f t="shared" si="1"/>
        <v>3128.7518710369818</v>
      </c>
      <c r="AY23" s="597">
        <f t="shared" si="1"/>
        <v>3128.7518710369818</v>
      </c>
      <c r="AZ23" s="597">
        <f t="shared" si="1"/>
        <v>3128.7518710369818</v>
      </c>
      <c r="BA23" s="597">
        <f t="shared" si="1"/>
        <v>3128.7518710369818</v>
      </c>
      <c r="BB23" s="597">
        <f t="shared" si="1"/>
        <v>3128.7518710369818</v>
      </c>
      <c r="BC23" s="597">
        <f t="shared" si="1"/>
        <v>3128.7518710369818</v>
      </c>
      <c r="BD23" s="597">
        <f t="shared" si="1"/>
        <v>3128.7518710369818</v>
      </c>
      <c r="BE23" s="597">
        <f t="shared" si="1"/>
        <v>3128.7518710369818</v>
      </c>
      <c r="BF23" s="597">
        <f t="shared" si="1"/>
        <v>3128.7518710369818</v>
      </c>
      <c r="BG23" s="597">
        <f t="shared" si="1"/>
        <v>3128.7518710369818</v>
      </c>
      <c r="BH23" s="597">
        <f t="shared" si="1"/>
        <v>3128.7518710369818</v>
      </c>
      <c r="BI23" s="597">
        <f t="shared" si="1"/>
        <v>3128.7518710369818</v>
      </c>
      <c r="BJ23" s="597">
        <f t="shared" si="1"/>
        <v>3128.7518710369818</v>
      </c>
      <c r="BK23" s="597">
        <f t="shared" si="1"/>
        <v>3128.7518710369818</v>
      </c>
      <c r="BL23" s="597">
        <f t="shared" si="1"/>
        <v>3128.7518710369818</v>
      </c>
      <c r="BM23" s="597">
        <f t="shared" si="1"/>
        <v>3128.7518710369818</v>
      </c>
      <c r="BN23" s="597">
        <f t="shared" si="1"/>
        <v>3128.7518710369818</v>
      </c>
      <c r="BO23" s="597">
        <f t="shared" si="1"/>
        <v>3128.7518710369818</v>
      </c>
      <c r="BP23" s="597">
        <f t="shared" si="1"/>
        <v>3128.7518710369818</v>
      </c>
      <c r="BQ23" s="597">
        <f t="shared" si="1"/>
        <v>3128.7518710369818</v>
      </c>
      <c r="BR23" s="597">
        <f t="shared" si="1"/>
        <v>3128.7518710369818</v>
      </c>
      <c r="BS23" s="597">
        <f t="shared" si="1"/>
        <v>3128.7518710369818</v>
      </c>
      <c r="BT23" s="597">
        <f t="shared" ref="BT23:CM23" si="2">$D$23*BT16/1000</f>
        <v>3128.7518710369818</v>
      </c>
      <c r="BU23" s="597">
        <f t="shared" si="2"/>
        <v>3128.7518710369818</v>
      </c>
      <c r="BV23" s="597">
        <f t="shared" si="2"/>
        <v>3128.7518710369818</v>
      </c>
      <c r="BW23" s="597">
        <f t="shared" si="2"/>
        <v>3128.7518710369818</v>
      </c>
      <c r="BX23" s="597">
        <f t="shared" si="2"/>
        <v>3128.7518710369818</v>
      </c>
      <c r="BY23" s="597">
        <f t="shared" si="2"/>
        <v>3128.7518710369818</v>
      </c>
      <c r="BZ23" s="597">
        <f t="shared" si="2"/>
        <v>3128.7518710369818</v>
      </c>
      <c r="CA23" s="597">
        <f t="shared" si="2"/>
        <v>3128.7518710369818</v>
      </c>
      <c r="CB23" s="597">
        <f t="shared" si="2"/>
        <v>3128.7518710369818</v>
      </c>
      <c r="CC23" s="597">
        <f t="shared" si="2"/>
        <v>3128.7518710369818</v>
      </c>
      <c r="CD23" s="597">
        <f t="shared" si="2"/>
        <v>3128.7518710369818</v>
      </c>
      <c r="CE23" s="597">
        <f t="shared" si="2"/>
        <v>3128.7518710369818</v>
      </c>
      <c r="CF23" s="597">
        <f t="shared" si="2"/>
        <v>3128.7518710369818</v>
      </c>
      <c r="CG23" s="597">
        <f t="shared" si="2"/>
        <v>3128.7518710369818</v>
      </c>
      <c r="CH23" s="597">
        <f t="shared" si="2"/>
        <v>3128.7518710369818</v>
      </c>
      <c r="CI23" s="597">
        <f t="shared" si="2"/>
        <v>3128.7518710369818</v>
      </c>
      <c r="CJ23" s="597">
        <f t="shared" si="2"/>
        <v>3128.7518710369818</v>
      </c>
      <c r="CK23" s="597">
        <f t="shared" si="2"/>
        <v>3128.7518710369818</v>
      </c>
      <c r="CL23" s="597">
        <f t="shared" si="2"/>
        <v>3128.7518710369818</v>
      </c>
      <c r="CM23" s="597">
        <f t="shared" si="2"/>
        <v>3128.7518710369818</v>
      </c>
      <c r="CN23" s="347"/>
      <c r="CO23" s="347"/>
      <c r="CP23" s="347"/>
      <c r="CQ23" s="347"/>
      <c r="CR23" s="347"/>
      <c r="CS23" s="347"/>
      <c r="CT23" s="347"/>
      <c r="CU23" s="347"/>
      <c r="CV23" s="347"/>
      <c r="CW23" s="347"/>
      <c r="CX23" s="347"/>
      <c r="CY23" s="347"/>
      <c r="CZ23" s="347"/>
      <c r="DA23" s="347"/>
      <c r="DB23" s="347"/>
      <c r="DC23" s="347"/>
      <c r="DD23" s="347"/>
      <c r="DE23" s="347"/>
      <c r="DF23" s="347"/>
      <c r="DG23" s="347"/>
      <c r="DH23" s="347"/>
      <c r="DI23" s="347"/>
      <c r="DJ23" s="347"/>
      <c r="DK23" s="347"/>
      <c r="DL23" s="347"/>
      <c r="DM23" s="347"/>
      <c r="DN23" s="347"/>
      <c r="DO23" s="347"/>
      <c r="DP23" s="347"/>
      <c r="DQ23" s="347"/>
      <c r="DR23" s="347"/>
      <c r="DS23" s="347"/>
      <c r="DT23" s="347"/>
      <c r="DU23" s="347"/>
      <c r="DV23" s="347"/>
      <c r="DW23" s="347"/>
      <c r="DX23" s="347"/>
      <c r="DY23" s="347"/>
      <c r="DZ23" s="347"/>
      <c r="EA23" s="347"/>
      <c r="EB23" s="347"/>
      <c r="EC23" s="347"/>
      <c r="ED23" s="347"/>
      <c r="EE23" s="347"/>
      <c r="EF23" s="347"/>
      <c r="EG23" s="347"/>
      <c r="EH23" s="347"/>
      <c r="EI23" s="347"/>
      <c r="EJ23" s="347"/>
      <c r="EK23" s="347"/>
      <c r="EL23" s="347"/>
      <c r="EM23" s="347"/>
      <c r="EN23" s="347"/>
      <c r="EO23" s="347"/>
      <c r="EP23" s="347"/>
      <c r="EQ23" s="347"/>
      <c r="ER23" s="347"/>
      <c r="ES23" s="347"/>
      <c r="ET23" s="347"/>
      <c r="EU23" s="347"/>
      <c r="EV23" s="347"/>
      <c r="EW23" s="347"/>
      <c r="EX23" s="347"/>
      <c r="EY23" s="347"/>
      <c r="EZ23" s="347"/>
      <c r="FA23" s="347"/>
      <c r="FB23" s="347"/>
      <c r="FC23" s="347"/>
      <c r="FD23" s="347"/>
      <c r="FE23" s="347"/>
      <c r="FF23" s="347"/>
      <c r="FG23" s="347"/>
      <c r="FH23" s="347"/>
      <c r="FI23" s="347"/>
      <c r="FJ23" s="347"/>
      <c r="FK23" s="347"/>
      <c r="FL23" s="347"/>
      <c r="FM23" s="347"/>
      <c r="FN23" s="347"/>
      <c r="FO23" s="347"/>
      <c r="FP23" s="347"/>
      <c r="FQ23" s="347"/>
      <c r="FR23" s="347"/>
      <c r="FS23" s="347"/>
      <c r="FT23" s="347"/>
      <c r="FU23" s="347"/>
      <c r="FV23" s="347"/>
    </row>
    <row r="24" spans="1:178">
      <c r="A24" s="1394"/>
      <c r="B24" s="811" t="s">
        <v>403</v>
      </c>
      <c r="C24" s="581" t="s">
        <v>402</v>
      </c>
      <c r="D24" s="581">
        <v>0.23</v>
      </c>
      <c r="E24" s="347"/>
      <c r="F24" s="885" t="s">
        <v>204</v>
      </c>
      <c r="G24" s="597">
        <f>$D$24*G13</f>
        <v>13359.166666666668</v>
      </c>
      <c r="H24" s="597">
        <f t="shared" ref="H24:BS24" si="3">$D$24*H13</f>
        <v>13359.166666666668</v>
      </c>
      <c r="I24" s="597">
        <f t="shared" si="3"/>
        <v>13359.166666666668</v>
      </c>
      <c r="J24" s="597">
        <f t="shared" si="3"/>
        <v>13359.166666666668</v>
      </c>
      <c r="K24" s="597">
        <f t="shared" si="3"/>
        <v>13359.166666666668</v>
      </c>
      <c r="L24" s="597">
        <f t="shared" si="3"/>
        <v>13359.166666666668</v>
      </c>
      <c r="M24" s="597">
        <f t="shared" si="3"/>
        <v>13359.166666666668</v>
      </c>
      <c r="N24" s="597">
        <f t="shared" si="3"/>
        <v>13359.166666666668</v>
      </c>
      <c r="O24" s="597">
        <f t="shared" si="3"/>
        <v>13359.166666666668</v>
      </c>
      <c r="P24" s="597">
        <f t="shared" si="3"/>
        <v>13359.166666666668</v>
      </c>
      <c r="Q24" s="597">
        <f t="shared" si="3"/>
        <v>13359.166666666668</v>
      </c>
      <c r="R24" s="597">
        <f t="shared" si="3"/>
        <v>13359.166666666668</v>
      </c>
      <c r="S24" s="597">
        <f t="shared" si="3"/>
        <v>13359.166666666668</v>
      </c>
      <c r="T24" s="597">
        <f t="shared" si="3"/>
        <v>13359.166666666668</v>
      </c>
      <c r="U24" s="597">
        <f t="shared" si="3"/>
        <v>13359.166666666668</v>
      </c>
      <c r="V24" s="597">
        <f t="shared" si="3"/>
        <v>13359.166666666668</v>
      </c>
      <c r="W24" s="597">
        <f t="shared" si="3"/>
        <v>13359.166666666668</v>
      </c>
      <c r="X24" s="597">
        <f t="shared" si="3"/>
        <v>13359.166666666668</v>
      </c>
      <c r="Y24" s="597">
        <f t="shared" si="3"/>
        <v>13359.166666666668</v>
      </c>
      <c r="Z24" s="597">
        <f t="shared" si="3"/>
        <v>13359.166666666668</v>
      </c>
      <c r="AA24" s="597">
        <f t="shared" si="3"/>
        <v>13359.166666666668</v>
      </c>
      <c r="AB24" s="597">
        <f t="shared" si="3"/>
        <v>13359.166666666668</v>
      </c>
      <c r="AC24" s="597">
        <f t="shared" si="3"/>
        <v>13359.166666666668</v>
      </c>
      <c r="AD24" s="597">
        <f t="shared" si="3"/>
        <v>13359.166666666668</v>
      </c>
      <c r="AE24" s="597">
        <f t="shared" si="3"/>
        <v>13359.166666666668</v>
      </c>
      <c r="AF24" s="597">
        <f t="shared" si="3"/>
        <v>13359.166666666668</v>
      </c>
      <c r="AG24" s="597">
        <f t="shared" si="3"/>
        <v>13359.166666666668</v>
      </c>
      <c r="AH24" s="597">
        <f t="shared" si="3"/>
        <v>13359.166666666668</v>
      </c>
      <c r="AI24" s="597">
        <f t="shared" si="3"/>
        <v>13359.166666666668</v>
      </c>
      <c r="AJ24" s="597">
        <f t="shared" si="3"/>
        <v>13359.166666666668</v>
      </c>
      <c r="AK24" s="597">
        <f t="shared" si="3"/>
        <v>13359.166666666668</v>
      </c>
      <c r="AL24" s="597">
        <f t="shared" si="3"/>
        <v>13359.166666666668</v>
      </c>
      <c r="AM24" s="597">
        <f t="shared" si="3"/>
        <v>13359.166666666668</v>
      </c>
      <c r="AN24" s="597">
        <f t="shared" si="3"/>
        <v>13359.166666666668</v>
      </c>
      <c r="AO24" s="597">
        <f t="shared" si="3"/>
        <v>13359.166666666668</v>
      </c>
      <c r="AP24" s="597">
        <f t="shared" si="3"/>
        <v>13359.166666666668</v>
      </c>
      <c r="AQ24" s="597">
        <f t="shared" si="3"/>
        <v>13359.166666666668</v>
      </c>
      <c r="AR24" s="597">
        <f t="shared" si="3"/>
        <v>13359.166666666668</v>
      </c>
      <c r="AS24" s="597">
        <f t="shared" si="3"/>
        <v>13359.166666666668</v>
      </c>
      <c r="AT24" s="597">
        <f t="shared" si="3"/>
        <v>13359.166666666668</v>
      </c>
      <c r="AU24" s="597">
        <f t="shared" si="3"/>
        <v>13359.166666666668</v>
      </c>
      <c r="AV24" s="597">
        <f t="shared" si="3"/>
        <v>13359.166666666668</v>
      </c>
      <c r="AW24" s="597">
        <f t="shared" si="3"/>
        <v>13359.166666666668</v>
      </c>
      <c r="AX24" s="597">
        <f t="shared" si="3"/>
        <v>13359.166666666668</v>
      </c>
      <c r="AY24" s="597">
        <f t="shared" si="3"/>
        <v>13359.166666666668</v>
      </c>
      <c r="AZ24" s="597">
        <f t="shared" si="3"/>
        <v>13359.166666666668</v>
      </c>
      <c r="BA24" s="597">
        <f t="shared" si="3"/>
        <v>13359.166666666668</v>
      </c>
      <c r="BB24" s="597">
        <f t="shared" si="3"/>
        <v>13359.166666666668</v>
      </c>
      <c r="BC24" s="597">
        <f t="shared" si="3"/>
        <v>13359.166666666668</v>
      </c>
      <c r="BD24" s="597">
        <f t="shared" si="3"/>
        <v>13359.166666666668</v>
      </c>
      <c r="BE24" s="597">
        <f t="shared" si="3"/>
        <v>13359.166666666668</v>
      </c>
      <c r="BF24" s="597">
        <f t="shared" si="3"/>
        <v>13359.166666666668</v>
      </c>
      <c r="BG24" s="597">
        <f t="shared" si="3"/>
        <v>13359.166666666668</v>
      </c>
      <c r="BH24" s="597">
        <f t="shared" si="3"/>
        <v>13359.166666666668</v>
      </c>
      <c r="BI24" s="597">
        <f t="shared" si="3"/>
        <v>13359.166666666668</v>
      </c>
      <c r="BJ24" s="597">
        <f t="shared" si="3"/>
        <v>13359.166666666668</v>
      </c>
      <c r="BK24" s="597">
        <f t="shared" si="3"/>
        <v>13359.166666666668</v>
      </c>
      <c r="BL24" s="597">
        <f t="shared" si="3"/>
        <v>13359.166666666668</v>
      </c>
      <c r="BM24" s="597">
        <f t="shared" si="3"/>
        <v>13359.166666666668</v>
      </c>
      <c r="BN24" s="597">
        <f t="shared" si="3"/>
        <v>13359.166666666668</v>
      </c>
      <c r="BO24" s="597">
        <f t="shared" si="3"/>
        <v>13359.166666666668</v>
      </c>
      <c r="BP24" s="597">
        <f t="shared" si="3"/>
        <v>13359.166666666668</v>
      </c>
      <c r="BQ24" s="597">
        <f t="shared" si="3"/>
        <v>13359.166666666668</v>
      </c>
      <c r="BR24" s="597">
        <f t="shared" si="3"/>
        <v>13359.166666666668</v>
      </c>
      <c r="BS24" s="597">
        <f t="shared" si="3"/>
        <v>13359.166666666668</v>
      </c>
      <c r="BT24" s="597">
        <f t="shared" ref="BT24:CM24" si="4">$D$24*BT13</f>
        <v>13359.166666666668</v>
      </c>
      <c r="BU24" s="597">
        <f t="shared" si="4"/>
        <v>13359.166666666668</v>
      </c>
      <c r="BV24" s="597">
        <f t="shared" si="4"/>
        <v>13359.166666666668</v>
      </c>
      <c r="BW24" s="597">
        <f t="shared" si="4"/>
        <v>13359.166666666668</v>
      </c>
      <c r="BX24" s="597">
        <f t="shared" si="4"/>
        <v>13359.166666666668</v>
      </c>
      <c r="BY24" s="597">
        <f t="shared" si="4"/>
        <v>13359.166666666668</v>
      </c>
      <c r="BZ24" s="597">
        <f t="shared" si="4"/>
        <v>13359.166666666668</v>
      </c>
      <c r="CA24" s="597">
        <f t="shared" si="4"/>
        <v>13359.166666666668</v>
      </c>
      <c r="CB24" s="597">
        <f t="shared" si="4"/>
        <v>13359.166666666668</v>
      </c>
      <c r="CC24" s="597">
        <f t="shared" si="4"/>
        <v>13359.166666666668</v>
      </c>
      <c r="CD24" s="597">
        <f t="shared" si="4"/>
        <v>13359.166666666668</v>
      </c>
      <c r="CE24" s="597">
        <f t="shared" si="4"/>
        <v>13359.166666666668</v>
      </c>
      <c r="CF24" s="597">
        <f t="shared" si="4"/>
        <v>13359.166666666668</v>
      </c>
      <c r="CG24" s="597">
        <f t="shared" si="4"/>
        <v>13359.166666666668</v>
      </c>
      <c r="CH24" s="597">
        <f t="shared" si="4"/>
        <v>13359.166666666668</v>
      </c>
      <c r="CI24" s="597">
        <f t="shared" si="4"/>
        <v>13359.166666666668</v>
      </c>
      <c r="CJ24" s="597">
        <f t="shared" si="4"/>
        <v>13359.166666666668</v>
      </c>
      <c r="CK24" s="597">
        <f t="shared" si="4"/>
        <v>13359.166666666668</v>
      </c>
      <c r="CL24" s="597">
        <f t="shared" si="4"/>
        <v>13359.166666666668</v>
      </c>
      <c r="CM24" s="597">
        <f t="shared" si="4"/>
        <v>13359.166666666668</v>
      </c>
      <c r="CN24" s="347"/>
      <c r="CO24" s="347"/>
      <c r="CP24" s="347"/>
      <c r="CQ24" s="347"/>
      <c r="CR24" s="347"/>
      <c r="CS24" s="347"/>
      <c r="CT24" s="347"/>
      <c r="CU24" s="347"/>
      <c r="CV24" s="347"/>
      <c r="CW24" s="347"/>
      <c r="CX24" s="347"/>
      <c r="CY24" s="347"/>
      <c r="CZ24" s="347"/>
      <c r="DA24" s="347"/>
      <c r="DB24" s="347"/>
      <c r="DC24" s="347"/>
      <c r="DD24" s="347"/>
      <c r="DE24" s="347"/>
      <c r="DF24" s="347"/>
      <c r="DG24" s="347"/>
      <c r="DH24" s="347"/>
      <c r="DI24" s="347"/>
      <c r="DJ24" s="347"/>
      <c r="DK24" s="347"/>
      <c r="DL24" s="347"/>
      <c r="DM24" s="347"/>
      <c r="DN24" s="347"/>
      <c r="DO24" s="347"/>
      <c r="DP24" s="347"/>
      <c r="DQ24" s="347"/>
      <c r="DR24" s="347"/>
      <c r="DS24" s="347"/>
      <c r="DT24" s="347"/>
      <c r="DU24" s="347"/>
      <c r="DV24" s="347"/>
      <c r="DW24" s="347"/>
      <c r="DX24" s="347"/>
      <c r="DY24" s="347"/>
      <c r="DZ24" s="347"/>
      <c r="EA24" s="347"/>
      <c r="EB24" s="347"/>
      <c r="EC24" s="347"/>
      <c r="ED24" s="347"/>
      <c r="EE24" s="347"/>
      <c r="EF24" s="347"/>
      <c r="EG24" s="347"/>
      <c r="EH24" s="347"/>
      <c r="EI24" s="347"/>
      <c r="EJ24" s="347"/>
      <c r="EK24" s="347"/>
      <c r="EL24" s="347"/>
      <c r="EM24" s="347"/>
      <c r="EN24" s="347"/>
      <c r="EO24" s="347"/>
      <c r="EP24" s="347"/>
      <c r="EQ24" s="347"/>
      <c r="ER24" s="347"/>
      <c r="ES24" s="347"/>
      <c r="ET24" s="347"/>
      <c r="EU24" s="347"/>
      <c r="EV24" s="347"/>
      <c r="EW24" s="347"/>
      <c r="EX24" s="347"/>
      <c r="EY24" s="347"/>
      <c r="EZ24" s="347"/>
      <c r="FA24" s="347"/>
      <c r="FB24" s="347"/>
      <c r="FC24" s="347"/>
      <c r="FD24" s="347"/>
      <c r="FE24" s="347"/>
      <c r="FF24" s="347"/>
      <c r="FG24" s="347"/>
      <c r="FH24" s="347"/>
      <c r="FI24" s="347"/>
      <c r="FJ24" s="347"/>
      <c r="FK24" s="347"/>
      <c r="FL24" s="347"/>
      <c r="FM24" s="347"/>
      <c r="FN24" s="347"/>
      <c r="FO24" s="347"/>
      <c r="FP24" s="347"/>
      <c r="FQ24" s="347"/>
      <c r="FR24" s="347"/>
      <c r="FS24" s="347"/>
      <c r="FT24" s="347"/>
      <c r="FU24" s="347"/>
      <c r="FV24" s="347"/>
    </row>
    <row r="25" spans="1:178">
      <c r="A25" s="1394"/>
      <c r="B25" s="811" t="s">
        <v>403</v>
      </c>
      <c r="C25" s="581" t="s">
        <v>402</v>
      </c>
      <c r="D25" s="581">
        <v>0.26500000000000001</v>
      </c>
      <c r="E25" s="347"/>
      <c r="F25" s="885" t="s">
        <v>205</v>
      </c>
      <c r="G25" s="597">
        <f>$D$25*G14</f>
        <v>3003.3333333333335</v>
      </c>
      <c r="H25" s="597">
        <f t="shared" ref="H25:BS25" si="5">$D$25*H14</f>
        <v>3003.3333333333335</v>
      </c>
      <c r="I25" s="597">
        <f t="shared" si="5"/>
        <v>3003.3333333333335</v>
      </c>
      <c r="J25" s="597">
        <f t="shared" si="5"/>
        <v>3003.3333333333335</v>
      </c>
      <c r="K25" s="597">
        <f t="shared" si="5"/>
        <v>3003.3333333333335</v>
      </c>
      <c r="L25" s="597">
        <f t="shared" si="5"/>
        <v>3003.3333333333335</v>
      </c>
      <c r="M25" s="597">
        <f t="shared" si="5"/>
        <v>3003.3333333333335</v>
      </c>
      <c r="N25" s="597">
        <f t="shared" si="5"/>
        <v>3003.3333333333335</v>
      </c>
      <c r="O25" s="597">
        <f t="shared" si="5"/>
        <v>3003.3333333333335</v>
      </c>
      <c r="P25" s="597">
        <f t="shared" si="5"/>
        <v>3003.3333333333335</v>
      </c>
      <c r="Q25" s="597">
        <f t="shared" si="5"/>
        <v>3003.3333333333335</v>
      </c>
      <c r="R25" s="597">
        <f t="shared" si="5"/>
        <v>3003.3333333333335</v>
      </c>
      <c r="S25" s="597">
        <f t="shared" si="5"/>
        <v>3003.3333333333335</v>
      </c>
      <c r="T25" s="597">
        <f t="shared" si="5"/>
        <v>3003.3333333333335</v>
      </c>
      <c r="U25" s="597">
        <f t="shared" si="5"/>
        <v>3003.3333333333335</v>
      </c>
      <c r="V25" s="597">
        <f t="shared" si="5"/>
        <v>3003.3333333333335</v>
      </c>
      <c r="W25" s="597">
        <f t="shared" si="5"/>
        <v>3003.3333333333335</v>
      </c>
      <c r="X25" s="597">
        <f t="shared" si="5"/>
        <v>3003.3333333333335</v>
      </c>
      <c r="Y25" s="597">
        <f t="shared" si="5"/>
        <v>3003.3333333333335</v>
      </c>
      <c r="Z25" s="597">
        <f t="shared" si="5"/>
        <v>3003.3333333333335</v>
      </c>
      <c r="AA25" s="597">
        <f t="shared" si="5"/>
        <v>3003.3333333333335</v>
      </c>
      <c r="AB25" s="597">
        <f t="shared" si="5"/>
        <v>3003.3333333333335</v>
      </c>
      <c r="AC25" s="597">
        <f t="shared" si="5"/>
        <v>3003.3333333333335</v>
      </c>
      <c r="AD25" s="597">
        <f t="shared" si="5"/>
        <v>3003.3333333333335</v>
      </c>
      <c r="AE25" s="597">
        <f t="shared" si="5"/>
        <v>3003.3333333333335</v>
      </c>
      <c r="AF25" s="597">
        <f t="shared" si="5"/>
        <v>3003.3333333333335</v>
      </c>
      <c r="AG25" s="597">
        <f t="shared" si="5"/>
        <v>3003.3333333333335</v>
      </c>
      <c r="AH25" s="597">
        <f t="shared" si="5"/>
        <v>3003.3333333333335</v>
      </c>
      <c r="AI25" s="597">
        <f t="shared" si="5"/>
        <v>3003.3333333333335</v>
      </c>
      <c r="AJ25" s="597">
        <f t="shared" si="5"/>
        <v>3003.3333333333335</v>
      </c>
      <c r="AK25" s="597">
        <f t="shared" si="5"/>
        <v>3003.3333333333335</v>
      </c>
      <c r="AL25" s="597">
        <f t="shared" si="5"/>
        <v>3003.3333333333335</v>
      </c>
      <c r="AM25" s="597">
        <f t="shared" si="5"/>
        <v>3003.3333333333335</v>
      </c>
      <c r="AN25" s="597">
        <f t="shared" si="5"/>
        <v>3003.3333333333335</v>
      </c>
      <c r="AO25" s="597">
        <f t="shared" si="5"/>
        <v>3003.3333333333335</v>
      </c>
      <c r="AP25" s="597">
        <f t="shared" si="5"/>
        <v>3003.3333333333335</v>
      </c>
      <c r="AQ25" s="597">
        <f t="shared" si="5"/>
        <v>3003.3333333333335</v>
      </c>
      <c r="AR25" s="597">
        <f t="shared" si="5"/>
        <v>3003.3333333333335</v>
      </c>
      <c r="AS25" s="597">
        <f t="shared" si="5"/>
        <v>3003.3333333333335</v>
      </c>
      <c r="AT25" s="597">
        <f t="shared" si="5"/>
        <v>3003.3333333333335</v>
      </c>
      <c r="AU25" s="597">
        <f t="shared" si="5"/>
        <v>3003.3333333333335</v>
      </c>
      <c r="AV25" s="597">
        <f t="shared" si="5"/>
        <v>3003.3333333333335</v>
      </c>
      <c r="AW25" s="597">
        <f t="shared" si="5"/>
        <v>3003.3333333333335</v>
      </c>
      <c r="AX25" s="597">
        <f t="shared" si="5"/>
        <v>3003.3333333333335</v>
      </c>
      <c r="AY25" s="597">
        <f t="shared" si="5"/>
        <v>3003.3333333333335</v>
      </c>
      <c r="AZ25" s="597">
        <f t="shared" si="5"/>
        <v>3003.3333333333335</v>
      </c>
      <c r="BA25" s="597">
        <f t="shared" si="5"/>
        <v>3003.3333333333335</v>
      </c>
      <c r="BB25" s="597">
        <f t="shared" si="5"/>
        <v>3003.3333333333335</v>
      </c>
      <c r="BC25" s="597">
        <f t="shared" si="5"/>
        <v>3003.3333333333335</v>
      </c>
      <c r="BD25" s="597">
        <f t="shared" si="5"/>
        <v>3003.3333333333335</v>
      </c>
      <c r="BE25" s="597">
        <f t="shared" si="5"/>
        <v>3003.3333333333335</v>
      </c>
      <c r="BF25" s="597">
        <f t="shared" si="5"/>
        <v>3003.3333333333335</v>
      </c>
      <c r="BG25" s="597">
        <f t="shared" si="5"/>
        <v>3003.3333333333335</v>
      </c>
      <c r="BH25" s="597">
        <f t="shared" si="5"/>
        <v>3003.3333333333335</v>
      </c>
      <c r="BI25" s="597">
        <f t="shared" si="5"/>
        <v>3003.3333333333335</v>
      </c>
      <c r="BJ25" s="597">
        <f t="shared" si="5"/>
        <v>3003.3333333333335</v>
      </c>
      <c r="BK25" s="597">
        <f t="shared" si="5"/>
        <v>3003.3333333333335</v>
      </c>
      <c r="BL25" s="597">
        <f t="shared" si="5"/>
        <v>3003.3333333333335</v>
      </c>
      <c r="BM25" s="597">
        <f t="shared" si="5"/>
        <v>3003.3333333333335</v>
      </c>
      <c r="BN25" s="597">
        <f t="shared" si="5"/>
        <v>3003.3333333333335</v>
      </c>
      <c r="BO25" s="597">
        <f t="shared" si="5"/>
        <v>3003.3333333333335</v>
      </c>
      <c r="BP25" s="597">
        <f t="shared" si="5"/>
        <v>3003.3333333333335</v>
      </c>
      <c r="BQ25" s="597">
        <f t="shared" si="5"/>
        <v>3003.3333333333335</v>
      </c>
      <c r="BR25" s="597">
        <f t="shared" si="5"/>
        <v>3003.3333333333335</v>
      </c>
      <c r="BS25" s="597">
        <f t="shared" si="5"/>
        <v>3003.3333333333335</v>
      </c>
      <c r="BT25" s="597">
        <f t="shared" ref="BT25:CM25" si="6">$D$25*BT14</f>
        <v>3003.3333333333335</v>
      </c>
      <c r="BU25" s="597">
        <f t="shared" si="6"/>
        <v>3003.3333333333335</v>
      </c>
      <c r="BV25" s="597">
        <f t="shared" si="6"/>
        <v>3003.3333333333335</v>
      </c>
      <c r="BW25" s="597">
        <f t="shared" si="6"/>
        <v>3003.3333333333335</v>
      </c>
      <c r="BX25" s="597">
        <f t="shared" si="6"/>
        <v>3003.3333333333335</v>
      </c>
      <c r="BY25" s="597">
        <f t="shared" si="6"/>
        <v>3003.3333333333335</v>
      </c>
      <c r="BZ25" s="597">
        <f t="shared" si="6"/>
        <v>3003.3333333333335</v>
      </c>
      <c r="CA25" s="597">
        <f t="shared" si="6"/>
        <v>3003.3333333333335</v>
      </c>
      <c r="CB25" s="597">
        <f t="shared" si="6"/>
        <v>3003.3333333333335</v>
      </c>
      <c r="CC25" s="597">
        <f t="shared" si="6"/>
        <v>3003.3333333333335</v>
      </c>
      <c r="CD25" s="597">
        <f t="shared" si="6"/>
        <v>3003.3333333333335</v>
      </c>
      <c r="CE25" s="597">
        <f t="shared" si="6"/>
        <v>3003.3333333333335</v>
      </c>
      <c r="CF25" s="597">
        <f t="shared" si="6"/>
        <v>3003.3333333333335</v>
      </c>
      <c r="CG25" s="597">
        <f t="shared" si="6"/>
        <v>3003.3333333333335</v>
      </c>
      <c r="CH25" s="597">
        <f t="shared" si="6"/>
        <v>3003.3333333333335</v>
      </c>
      <c r="CI25" s="597">
        <f t="shared" si="6"/>
        <v>3003.3333333333335</v>
      </c>
      <c r="CJ25" s="597">
        <f t="shared" si="6"/>
        <v>3003.3333333333335</v>
      </c>
      <c r="CK25" s="597">
        <f t="shared" si="6"/>
        <v>3003.3333333333335</v>
      </c>
      <c r="CL25" s="597">
        <f t="shared" si="6"/>
        <v>3003.3333333333335</v>
      </c>
      <c r="CM25" s="597">
        <f t="shared" si="6"/>
        <v>3003.3333333333335</v>
      </c>
      <c r="CN25" s="347"/>
      <c r="CO25" s="347"/>
      <c r="CP25" s="347"/>
      <c r="CQ25" s="347"/>
      <c r="CR25" s="347"/>
      <c r="CS25" s="347"/>
      <c r="CT25" s="347"/>
      <c r="CU25" s="347"/>
      <c r="CV25" s="347"/>
      <c r="CW25" s="347"/>
      <c r="CX25" s="347"/>
      <c r="CY25" s="347"/>
      <c r="CZ25" s="347"/>
      <c r="DA25" s="347"/>
      <c r="DB25" s="347"/>
      <c r="DC25" s="347"/>
      <c r="DD25" s="347"/>
      <c r="DE25" s="347"/>
      <c r="DF25" s="347"/>
      <c r="DG25" s="347"/>
      <c r="DH25" s="347"/>
      <c r="DI25" s="347"/>
      <c r="DJ25" s="347"/>
      <c r="DK25" s="347"/>
      <c r="DL25" s="347"/>
      <c r="DM25" s="347"/>
      <c r="DN25" s="347"/>
      <c r="DO25" s="347"/>
      <c r="DP25" s="347"/>
      <c r="DQ25" s="347"/>
      <c r="DR25" s="347"/>
      <c r="DS25" s="347"/>
      <c r="DT25" s="347"/>
      <c r="DU25" s="347"/>
      <c r="DV25" s="347"/>
      <c r="DW25" s="347"/>
      <c r="DX25" s="347"/>
      <c r="DY25" s="347"/>
      <c r="DZ25" s="347"/>
      <c r="EA25" s="347"/>
      <c r="EB25" s="347"/>
      <c r="EC25" s="347"/>
      <c r="ED25" s="347"/>
      <c r="EE25" s="347"/>
      <c r="EF25" s="347"/>
      <c r="EG25" s="347"/>
      <c r="EH25" s="347"/>
      <c r="EI25" s="347"/>
      <c r="EJ25" s="347"/>
      <c r="EK25" s="347"/>
      <c r="EL25" s="347"/>
      <c r="EM25" s="347"/>
      <c r="EN25" s="347"/>
      <c r="EO25" s="347"/>
      <c r="EP25" s="347"/>
      <c r="EQ25" s="347"/>
      <c r="ER25" s="347"/>
      <c r="ES25" s="347"/>
      <c r="ET25" s="347"/>
      <c r="EU25" s="347"/>
      <c r="EV25" s="347"/>
      <c r="EW25" s="347"/>
      <c r="EX25" s="347"/>
      <c r="EY25" s="347"/>
      <c r="EZ25" s="347"/>
      <c r="FA25" s="347"/>
      <c r="FB25" s="347"/>
      <c r="FC25" s="347"/>
      <c r="FD25" s="347"/>
      <c r="FE25" s="347"/>
      <c r="FF25" s="347"/>
      <c r="FG25" s="347"/>
      <c r="FH25" s="347"/>
      <c r="FI25" s="347"/>
      <c r="FJ25" s="347"/>
      <c r="FK25" s="347"/>
      <c r="FL25" s="347"/>
      <c r="FM25" s="347"/>
      <c r="FN25" s="347"/>
      <c r="FO25" s="347"/>
      <c r="FP25" s="347"/>
      <c r="FQ25" s="347"/>
      <c r="FR25" s="347"/>
      <c r="FS25" s="347"/>
      <c r="FT25" s="347"/>
      <c r="FU25" s="347"/>
      <c r="FV25" s="347"/>
    </row>
    <row r="26" spans="1:178">
      <c r="A26" s="1394"/>
      <c r="B26" s="811" t="s">
        <v>403</v>
      </c>
      <c r="C26" s="581" t="s">
        <v>402</v>
      </c>
      <c r="D26" s="581">
        <v>0.18049999999999999</v>
      </c>
      <c r="E26" s="347"/>
      <c r="F26" s="885" t="s">
        <v>206</v>
      </c>
      <c r="G26" s="597">
        <f>$D$26*G15</f>
        <v>24232.125</v>
      </c>
      <c r="H26" s="597">
        <f t="shared" ref="H26:BS26" si="7">$D$26*H15</f>
        <v>24232.125</v>
      </c>
      <c r="I26" s="597">
        <f t="shared" si="7"/>
        <v>24232.125</v>
      </c>
      <c r="J26" s="597">
        <f t="shared" si="7"/>
        <v>24232.125</v>
      </c>
      <c r="K26" s="597">
        <f t="shared" si="7"/>
        <v>24232.125</v>
      </c>
      <c r="L26" s="597">
        <f t="shared" si="7"/>
        <v>24232.125</v>
      </c>
      <c r="M26" s="597">
        <f t="shared" si="7"/>
        <v>24232.125</v>
      </c>
      <c r="N26" s="597">
        <f t="shared" si="7"/>
        <v>24232.125</v>
      </c>
      <c r="O26" s="597">
        <f t="shared" si="7"/>
        <v>24232.125</v>
      </c>
      <c r="P26" s="597">
        <f t="shared" si="7"/>
        <v>24232.125</v>
      </c>
      <c r="Q26" s="597">
        <f t="shared" si="7"/>
        <v>24232.125</v>
      </c>
      <c r="R26" s="597">
        <f t="shared" si="7"/>
        <v>24232.125</v>
      </c>
      <c r="S26" s="597">
        <f t="shared" si="7"/>
        <v>24232.125</v>
      </c>
      <c r="T26" s="597">
        <f t="shared" si="7"/>
        <v>24232.125</v>
      </c>
      <c r="U26" s="597">
        <f t="shared" si="7"/>
        <v>24232.125</v>
      </c>
      <c r="V26" s="597">
        <f t="shared" si="7"/>
        <v>24232.125</v>
      </c>
      <c r="W26" s="597">
        <f t="shared" si="7"/>
        <v>24232.125</v>
      </c>
      <c r="X26" s="597">
        <f t="shared" si="7"/>
        <v>24232.125</v>
      </c>
      <c r="Y26" s="597">
        <f t="shared" si="7"/>
        <v>24232.125</v>
      </c>
      <c r="Z26" s="597">
        <f t="shared" si="7"/>
        <v>24232.125</v>
      </c>
      <c r="AA26" s="597">
        <f t="shared" si="7"/>
        <v>24232.125</v>
      </c>
      <c r="AB26" s="597">
        <f t="shared" si="7"/>
        <v>24232.125</v>
      </c>
      <c r="AC26" s="597">
        <f t="shared" si="7"/>
        <v>24232.125</v>
      </c>
      <c r="AD26" s="597">
        <f t="shared" si="7"/>
        <v>24232.125</v>
      </c>
      <c r="AE26" s="597">
        <f t="shared" si="7"/>
        <v>24232.125</v>
      </c>
      <c r="AF26" s="597">
        <f t="shared" si="7"/>
        <v>24232.125</v>
      </c>
      <c r="AG26" s="597">
        <f t="shared" si="7"/>
        <v>24232.125</v>
      </c>
      <c r="AH26" s="597">
        <f t="shared" si="7"/>
        <v>24232.125</v>
      </c>
      <c r="AI26" s="597">
        <f t="shared" si="7"/>
        <v>24232.125</v>
      </c>
      <c r="AJ26" s="597">
        <f t="shared" si="7"/>
        <v>24232.125</v>
      </c>
      <c r="AK26" s="597">
        <f t="shared" si="7"/>
        <v>24232.125</v>
      </c>
      <c r="AL26" s="597">
        <f t="shared" si="7"/>
        <v>24232.125</v>
      </c>
      <c r="AM26" s="597">
        <f t="shared" si="7"/>
        <v>24232.125</v>
      </c>
      <c r="AN26" s="597">
        <f t="shared" si="7"/>
        <v>24232.125</v>
      </c>
      <c r="AO26" s="597">
        <f t="shared" si="7"/>
        <v>24232.125</v>
      </c>
      <c r="AP26" s="597">
        <f t="shared" si="7"/>
        <v>24232.125</v>
      </c>
      <c r="AQ26" s="597">
        <f t="shared" si="7"/>
        <v>24232.125</v>
      </c>
      <c r="AR26" s="597">
        <f t="shared" si="7"/>
        <v>24232.125</v>
      </c>
      <c r="AS26" s="597">
        <f t="shared" si="7"/>
        <v>24232.125</v>
      </c>
      <c r="AT26" s="597">
        <f t="shared" si="7"/>
        <v>24232.125</v>
      </c>
      <c r="AU26" s="597">
        <f t="shared" si="7"/>
        <v>24232.125</v>
      </c>
      <c r="AV26" s="597">
        <f t="shared" si="7"/>
        <v>24232.125</v>
      </c>
      <c r="AW26" s="597">
        <f t="shared" si="7"/>
        <v>24232.125</v>
      </c>
      <c r="AX26" s="597">
        <f t="shared" si="7"/>
        <v>24232.125</v>
      </c>
      <c r="AY26" s="597">
        <f t="shared" si="7"/>
        <v>24232.125</v>
      </c>
      <c r="AZ26" s="597">
        <f t="shared" si="7"/>
        <v>24232.125</v>
      </c>
      <c r="BA26" s="597">
        <f t="shared" si="7"/>
        <v>24232.125</v>
      </c>
      <c r="BB26" s="597">
        <f t="shared" si="7"/>
        <v>24232.125</v>
      </c>
      <c r="BC26" s="597">
        <f t="shared" si="7"/>
        <v>24232.125</v>
      </c>
      <c r="BD26" s="597">
        <f t="shared" si="7"/>
        <v>24232.125</v>
      </c>
      <c r="BE26" s="597">
        <f t="shared" si="7"/>
        <v>24232.125</v>
      </c>
      <c r="BF26" s="597">
        <f t="shared" si="7"/>
        <v>24232.125</v>
      </c>
      <c r="BG26" s="597">
        <f t="shared" si="7"/>
        <v>24232.125</v>
      </c>
      <c r="BH26" s="597">
        <f t="shared" si="7"/>
        <v>24232.125</v>
      </c>
      <c r="BI26" s="597">
        <f t="shared" si="7"/>
        <v>24232.125</v>
      </c>
      <c r="BJ26" s="597">
        <f t="shared" si="7"/>
        <v>24232.125</v>
      </c>
      <c r="BK26" s="597">
        <f t="shared" si="7"/>
        <v>24232.125</v>
      </c>
      <c r="BL26" s="597">
        <f t="shared" si="7"/>
        <v>24232.125</v>
      </c>
      <c r="BM26" s="597">
        <f t="shared" si="7"/>
        <v>24232.125</v>
      </c>
      <c r="BN26" s="597">
        <f t="shared" si="7"/>
        <v>24232.125</v>
      </c>
      <c r="BO26" s="597">
        <f t="shared" si="7"/>
        <v>24232.125</v>
      </c>
      <c r="BP26" s="597">
        <f t="shared" si="7"/>
        <v>24232.125</v>
      </c>
      <c r="BQ26" s="597">
        <f t="shared" si="7"/>
        <v>24232.125</v>
      </c>
      <c r="BR26" s="597">
        <f t="shared" si="7"/>
        <v>24232.125</v>
      </c>
      <c r="BS26" s="597">
        <f t="shared" si="7"/>
        <v>24232.125</v>
      </c>
      <c r="BT26" s="597">
        <f t="shared" ref="BT26:CM26" si="8">$D$26*BT15</f>
        <v>24232.125</v>
      </c>
      <c r="BU26" s="597">
        <f t="shared" si="8"/>
        <v>24232.125</v>
      </c>
      <c r="BV26" s="597">
        <f t="shared" si="8"/>
        <v>24232.125</v>
      </c>
      <c r="BW26" s="597">
        <f t="shared" si="8"/>
        <v>24232.125</v>
      </c>
      <c r="BX26" s="597">
        <f t="shared" si="8"/>
        <v>24232.125</v>
      </c>
      <c r="BY26" s="597">
        <f t="shared" si="8"/>
        <v>24232.125</v>
      </c>
      <c r="BZ26" s="597">
        <f t="shared" si="8"/>
        <v>24232.125</v>
      </c>
      <c r="CA26" s="597">
        <f t="shared" si="8"/>
        <v>24232.125</v>
      </c>
      <c r="CB26" s="597">
        <f t="shared" si="8"/>
        <v>24232.125</v>
      </c>
      <c r="CC26" s="597">
        <f t="shared" si="8"/>
        <v>24232.125</v>
      </c>
      <c r="CD26" s="597">
        <f t="shared" si="8"/>
        <v>24232.125</v>
      </c>
      <c r="CE26" s="597">
        <f t="shared" si="8"/>
        <v>24232.125</v>
      </c>
      <c r="CF26" s="597">
        <f t="shared" si="8"/>
        <v>24232.125</v>
      </c>
      <c r="CG26" s="597">
        <f t="shared" si="8"/>
        <v>24232.125</v>
      </c>
      <c r="CH26" s="597">
        <f t="shared" si="8"/>
        <v>24232.125</v>
      </c>
      <c r="CI26" s="597">
        <f t="shared" si="8"/>
        <v>24232.125</v>
      </c>
      <c r="CJ26" s="597">
        <f t="shared" si="8"/>
        <v>24232.125</v>
      </c>
      <c r="CK26" s="597">
        <f t="shared" si="8"/>
        <v>24232.125</v>
      </c>
      <c r="CL26" s="597">
        <f t="shared" si="8"/>
        <v>24232.125</v>
      </c>
      <c r="CM26" s="597">
        <f t="shared" si="8"/>
        <v>24232.125</v>
      </c>
      <c r="CN26" s="347"/>
      <c r="CO26" s="347"/>
      <c r="CP26" s="347"/>
      <c r="CQ26" s="347"/>
      <c r="CR26" s="347"/>
      <c r="CS26" s="347"/>
      <c r="CT26" s="347"/>
      <c r="CU26" s="347"/>
      <c r="CV26" s="347"/>
      <c r="CW26" s="347"/>
      <c r="CX26" s="347"/>
      <c r="CY26" s="347"/>
      <c r="CZ26" s="347"/>
      <c r="DA26" s="347"/>
      <c r="DB26" s="347"/>
      <c r="DC26" s="347"/>
      <c r="DD26" s="347"/>
      <c r="DE26" s="347"/>
      <c r="DF26" s="347"/>
      <c r="DG26" s="347"/>
      <c r="DH26" s="347"/>
      <c r="DI26" s="347"/>
      <c r="DJ26" s="347"/>
      <c r="DK26" s="347"/>
      <c r="DL26" s="347"/>
      <c r="DM26" s="347"/>
      <c r="DN26" s="347"/>
      <c r="DO26" s="347"/>
      <c r="DP26" s="347"/>
      <c r="DQ26" s="347"/>
      <c r="DR26" s="347"/>
      <c r="DS26" s="347"/>
      <c r="DT26" s="347"/>
      <c r="DU26" s="347"/>
      <c r="DV26" s="347"/>
      <c r="DW26" s="347"/>
      <c r="DX26" s="347"/>
      <c r="DY26" s="347"/>
      <c r="DZ26" s="347"/>
      <c r="EA26" s="347"/>
      <c r="EB26" s="347"/>
      <c r="EC26" s="347"/>
      <c r="ED26" s="347"/>
      <c r="EE26" s="347"/>
      <c r="EF26" s="347"/>
      <c r="EG26" s="347"/>
      <c r="EH26" s="347"/>
      <c r="EI26" s="347"/>
      <c r="EJ26" s="347"/>
      <c r="EK26" s="347"/>
      <c r="EL26" s="347"/>
      <c r="EM26" s="347"/>
      <c r="EN26" s="347"/>
      <c r="EO26" s="347"/>
      <c r="EP26" s="347"/>
      <c r="EQ26" s="347"/>
      <c r="ER26" s="347"/>
      <c r="ES26" s="347"/>
      <c r="ET26" s="347"/>
      <c r="EU26" s="347"/>
      <c r="EV26" s="347"/>
      <c r="EW26" s="347"/>
      <c r="EX26" s="347"/>
      <c r="EY26" s="347"/>
      <c r="EZ26" s="347"/>
      <c r="FA26" s="347"/>
      <c r="FB26" s="347"/>
      <c r="FC26" s="347"/>
      <c r="FD26" s="347"/>
      <c r="FE26" s="347"/>
      <c r="FF26" s="347"/>
      <c r="FG26" s="347"/>
      <c r="FH26" s="347"/>
      <c r="FI26" s="347"/>
      <c r="FJ26" s="347"/>
      <c r="FK26" s="347"/>
      <c r="FL26" s="347"/>
      <c r="FM26" s="347"/>
      <c r="FN26" s="347"/>
      <c r="FO26" s="347"/>
      <c r="FP26" s="347"/>
      <c r="FQ26" s="347"/>
      <c r="FR26" s="347"/>
      <c r="FS26" s="347"/>
      <c r="FT26" s="347"/>
      <c r="FU26" s="347"/>
      <c r="FV26" s="347"/>
    </row>
    <row r="27" spans="1:178">
      <c r="A27" s="1394"/>
      <c r="B27" s="811" t="s">
        <v>403</v>
      </c>
      <c r="C27" s="581" t="s">
        <v>402</v>
      </c>
      <c r="D27" s="581">
        <v>1.8104</v>
      </c>
      <c r="E27" s="347"/>
      <c r="F27" s="885" t="s">
        <v>207</v>
      </c>
      <c r="G27" s="597">
        <f>$D$27*G16</f>
        <v>203312.7202916494</v>
      </c>
      <c r="H27" s="597">
        <f t="shared" ref="H27:BS27" si="9">$D$27*H16</f>
        <v>203312.7202916494</v>
      </c>
      <c r="I27" s="597">
        <f t="shared" si="9"/>
        <v>203312.7202916494</v>
      </c>
      <c r="J27" s="597">
        <f t="shared" si="9"/>
        <v>203312.7202916494</v>
      </c>
      <c r="K27" s="597">
        <f t="shared" si="9"/>
        <v>203312.7202916494</v>
      </c>
      <c r="L27" s="597">
        <f t="shared" si="9"/>
        <v>203312.7202916494</v>
      </c>
      <c r="M27" s="597">
        <f t="shared" si="9"/>
        <v>203312.7202916494</v>
      </c>
      <c r="N27" s="597">
        <f t="shared" si="9"/>
        <v>203312.7202916494</v>
      </c>
      <c r="O27" s="597">
        <f t="shared" si="9"/>
        <v>203312.7202916494</v>
      </c>
      <c r="P27" s="597">
        <f t="shared" si="9"/>
        <v>203312.7202916494</v>
      </c>
      <c r="Q27" s="597">
        <f t="shared" si="9"/>
        <v>203312.7202916494</v>
      </c>
      <c r="R27" s="597">
        <f t="shared" si="9"/>
        <v>203312.7202916494</v>
      </c>
      <c r="S27" s="597">
        <f t="shared" si="9"/>
        <v>203312.7202916494</v>
      </c>
      <c r="T27" s="597">
        <f t="shared" si="9"/>
        <v>203312.7202916494</v>
      </c>
      <c r="U27" s="597">
        <f t="shared" si="9"/>
        <v>203312.7202916494</v>
      </c>
      <c r="V27" s="597">
        <f t="shared" si="9"/>
        <v>203312.7202916494</v>
      </c>
      <c r="W27" s="597">
        <f t="shared" si="9"/>
        <v>203312.7202916494</v>
      </c>
      <c r="X27" s="597">
        <f t="shared" si="9"/>
        <v>203312.7202916494</v>
      </c>
      <c r="Y27" s="597">
        <f t="shared" si="9"/>
        <v>203312.7202916494</v>
      </c>
      <c r="Z27" s="597">
        <f t="shared" si="9"/>
        <v>203312.7202916494</v>
      </c>
      <c r="AA27" s="597">
        <f t="shared" si="9"/>
        <v>203312.7202916494</v>
      </c>
      <c r="AB27" s="597">
        <f t="shared" si="9"/>
        <v>203312.7202916494</v>
      </c>
      <c r="AC27" s="597">
        <f t="shared" si="9"/>
        <v>203312.7202916494</v>
      </c>
      <c r="AD27" s="597">
        <f t="shared" si="9"/>
        <v>203312.7202916494</v>
      </c>
      <c r="AE27" s="597">
        <f t="shared" si="9"/>
        <v>203312.7202916494</v>
      </c>
      <c r="AF27" s="597">
        <f t="shared" si="9"/>
        <v>203312.7202916494</v>
      </c>
      <c r="AG27" s="597">
        <f t="shared" si="9"/>
        <v>203312.7202916494</v>
      </c>
      <c r="AH27" s="597">
        <f t="shared" si="9"/>
        <v>203312.7202916494</v>
      </c>
      <c r="AI27" s="597">
        <f t="shared" si="9"/>
        <v>203312.7202916494</v>
      </c>
      <c r="AJ27" s="597">
        <f t="shared" si="9"/>
        <v>203312.7202916494</v>
      </c>
      <c r="AK27" s="597">
        <f t="shared" si="9"/>
        <v>203312.7202916494</v>
      </c>
      <c r="AL27" s="597">
        <f t="shared" si="9"/>
        <v>203312.7202916494</v>
      </c>
      <c r="AM27" s="597">
        <f t="shared" si="9"/>
        <v>203312.7202916494</v>
      </c>
      <c r="AN27" s="597">
        <f t="shared" si="9"/>
        <v>203312.7202916494</v>
      </c>
      <c r="AO27" s="597">
        <f t="shared" si="9"/>
        <v>203312.7202916494</v>
      </c>
      <c r="AP27" s="597">
        <f t="shared" si="9"/>
        <v>203312.7202916494</v>
      </c>
      <c r="AQ27" s="597">
        <f t="shared" si="9"/>
        <v>203312.7202916494</v>
      </c>
      <c r="AR27" s="597">
        <f t="shared" si="9"/>
        <v>203312.7202916494</v>
      </c>
      <c r="AS27" s="597">
        <f t="shared" si="9"/>
        <v>203312.7202916494</v>
      </c>
      <c r="AT27" s="597">
        <f t="shared" si="9"/>
        <v>203312.7202916494</v>
      </c>
      <c r="AU27" s="597">
        <f t="shared" si="9"/>
        <v>203312.7202916494</v>
      </c>
      <c r="AV27" s="597">
        <f t="shared" si="9"/>
        <v>203312.7202916494</v>
      </c>
      <c r="AW27" s="597">
        <f t="shared" si="9"/>
        <v>203312.7202916494</v>
      </c>
      <c r="AX27" s="597">
        <f t="shared" si="9"/>
        <v>203312.7202916494</v>
      </c>
      <c r="AY27" s="597">
        <f t="shared" si="9"/>
        <v>203312.7202916494</v>
      </c>
      <c r="AZ27" s="597">
        <f t="shared" si="9"/>
        <v>203312.7202916494</v>
      </c>
      <c r="BA27" s="597">
        <f t="shared" si="9"/>
        <v>203312.7202916494</v>
      </c>
      <c r="BB27" s="597">
        <f t="shared" si="9"/>
        <v>203312.7202916494</v>
      </c>
      <c r="BC27" s="597">
        <f t="shared" si="9"/>
        <v>203312.7202916494</v>
      </c>
      <c r="BD27" s="597">
        <f t="shared" si="9"/>
        <v>203312.7202916494</v>
      </c>
      <c r="BE27" s="597">
        <f t="shared" si="9"/>
        <v>203312.7202916494</v>
      </c>
      <c r="BF27" s="597">
        <f t="shared" si="9"/>
        <v>203312.7202916494</v>
      </c>
      <c r="BG27" s="597">
        <f t="shared" si="9"/>
        <v>203312.7202916494</v>
      </c>
      <c r="BH27" s="597">
        <f t="shared" si="9"/>
        <v>203312.7202916494</v>
      </c>
      <c r="BI27" s="597">
        <f t="shared" si="9"/>
        <v>203312.7202916494</v>
      </c>
      <c r="BJ27" s="597">
        <f t="shared" si="9"/>
        <v>203312.7202916494</v>
      </c>
      <c r="BK27" s="597">
        <f t="shared" si="9"/>
        <v>203312.7202916494</v>
      </c>
      <c r="BL27" s="597">
        <f t="shared" si="9"/>
        <v>203312.7202916494</v>
      </c>
      <c r="BM27" s="597">
        <f t="shared" si="9"/>
        <v>203312.7202916494</v>
      </c>
      <c r="BN27" s="597">
        <f t="shared" si="9"/>
        <v>203312.7202916494</v>
      </c>
      <c r="BO27" s="597">
        <f t="shared" si="9"/>
        <v>203312.7202916494</v>
      </c>
      <c r="BP27" s="597">
        <f t="shared" si="9"/>
        <v>203312.7202916494</v>
      </c>
      <c r="BQ27" s="597">
        <f t="shared" si="9"/>
        <v>203312.7202916494</v>
      </c>
      <c r="BR27" s="597">
        <f t="shared" si="9"/>
        <v>203312.7202916494</v>
      </c>
      <c r="BS27" s="597">
        <f t="shared" si="9"/>
        <v>203312.7202916494</v>
      </c>
      <c r="BT27" s="597">
        <f t="shared" ref="BT27:CM27" si="10">$D$27*BT16</f>
        <v>203312.7202916494</v>
      </c>
      <c r="BU27" s="597">
        <f t="shared" si="10"/>
        <v>203312.7202916494</v>
      </c>
      <c r="BV27" s="597">
        <f t="shared" si="10"/>
        <v>203312.7202916494</v>
      </c>
      <c r="BW27" s="597">
        <f t="shared" si="10"/>
        <v>203312.7202916494</v>
      </c>
      <c r="BX27" s="597">
        <f t="shared" si="10"/>
        <v>203312.7202916494</v>
      </c>
      <c r="BY27" s="597">
        <f t="shared" si="10"/>
        <v>203312.7202916494</v>
      </c>
      <c r="BZ27" s="597">
        <f t="shared" si="10"/>
        <v>203312.7202916494</v>
      </c>
      <c r="CA27" s="597">
        <f t="shared" si="10"/>
        <v>203312.7202916494</v>
      </c>
      <c r="CB27" s="597">
        <f t="shared" si="10"/>
        <v>203312.7202916494</v>
      </c>
      <c r="CC27" s="597">
        <f t="shared" si="10"/>
        <v>203312.7202916494</v>
      </c>
      <c r="CD27" s="597">
        <f t="shared" si="10"/>
        <v>203312.7202916494</v>
      </c>
      <c r="CE27" s="597">
        <f t="shared" si="10"/>
        <v>203312.7202916494</v>
      </c>
      <c r="CF27" s="597">
        <f t="shared" si="10"/>
        <v>203312.7202916494</v>
      </c>
      <c r="CG27" s="597">
        <f t="shared" si="10"/>
        <v>203312.7202916494</v>
      </c>
      <c r="CH27" s="597">
        <f t="shared" si="10"/>
        <v>203312.7202916494</v>
      </c>
      <c r="CI27" s="597">
        <f t="shared" si="10"/>
        <v>203312.7202916494</v>
      </c>
      <c r="CJ27" s="597">
        <f t="shared" si="10"/>
        <v>203312.7202916494</v>
      </c>
      <c r="CK27" s="597">
        <f t="shared" si="10"/>
        <v>203312.7202916494</v>
      </c>
      <c r="CL27" s="597">
        <f t="shared" si="10"/>
        <v>203312.7202916494</v>
      </c>
      <c r="CM27" s="597">
        <f t="shared" si="10"/>
        <v>203312.7202916494</v>
      </c>
      <c r="CN27" s="347"/>
      <c r="CO27" s="347"/>
      <c r="CP27" s="347"/>
      <c r="CQ27" s="347"/>
      <c r="CR27" s="347"/>
      <c r="CS27" s="347"/>
      <c r="CT27" s="347"/>
      <c r="CU27" s="347"/>
      <c r="CV27" s="347"/>
      <c r="CW27" s="347"/>
      <c r="CX27" s="347"/>
      <c r="CY27" s="347"/>
      <c r="CZ27" s="347"/>
      <c r="DA27" s="347"/>
      <c r="DB27" s="347"/>
      <c r="DC27" s="347"/>
      <c r="DD27" s="347"/>
      <c r="DE27" s="347"/>
      <c r="DF27" s="347"/>
      <c r="DG27" s="347"/>
      <c r="DH27" s="347"/>
      <c r="DI27" s="347"/>
      <c r="DJ27" s="347"/>
      <c r="DK27" s="347"/>
      <c r="DL27" s="347"/>
      <c r="DM27" s="347"/>
      <c r="DN27" s="347"/>
      <c r="DO27" s="347"/>
      <c r="DP27" s="347"/>
      <c r="DQ27" s="347"/>
      <c r="DR27" s="347"/>
      <c r="DS27" s="347"/>
      <c r="DT27" s="347"/>
      <c r="DU27" s="347"/>
      <c r="DV27" s="347"/>
      <c r="DW27" s="347"/>
      <c r="DX27" s="347"/>
      <c r="DY27" s="347"/>
      <c r="DZ27" s="347"/>
      <c r="EA27" s="347"/>
      <c r="EB27" s="347"/>
      <c r="EC27" s="347"/>
      <c r="ED27" s="347"/>
      <c r="EE27" s="347"/>
      <c r="EF27" s="347"/>
      <c r="EG27" s="347"/>
      <c r="EH27" s="347"/>
      <c r="EI27" s="347"/>
      <c r="EJ27" s="347"/>
      <c r="EK27" s="347"/>
      <c r="EL27" s="347"/>
      <c r="EM27" s="347"/>
      <c r="EN27" s="347"/>
      <c r="EO27" s="347"/>
      <c r="EP27" s="347"/>
      <c r="EQ27" s="347"/>
      <c r="ER27" s="347"/>
      <c r="ES27" s="347"/>
      <c r="ET27" s="347"/>
      <c r="EU27" s="347"/>
      <c r="EV27" s="347"/>
      <c r="EW27" s="347"/>
      <c r="EX27" s="347"/>
      <c r="EY27" s="347"/>
      <c r="EZ27" s="347"/>
      <c r="FA27" s="347"/>
      <c r="FB27" s="347"/>
      <c r="FC27" s="347"/>
      <c r="FD27" s="347"/>
      <c r="FE27" s="347"/>
      <c r="FF27" s="347"/>
      <c r="FG27" s="347"/>
      <c r="FH27" s="347"/>
      <c r="FI27" s="347"/>
      <c r="FJ27" s="347"/>
      <c r="FK27" s="347"/>
      <c r="FL27" s="347"/>
      <c r="FM27" s="347"/>
      <c r="FN27" s="347"/>
      <c r="FO27" s="347"/>
      <c r="FP27" s="347"/>
      <c r="FQ27" s="347"/>
      <c r="FR27" s="347"/>
      <c r="FS27" s="347"/>
      <c r="FT27" s="347"/>
      <c r="FU27" s="347"/>
      <c r="FV27" s="347"/>
    </row>
    <row r="28" spans="1:178">
      <c r="A28" s="1394"/>
      <c r="B28" s="811" t="s">
        <v>403</v>
      </c>
      <c r="C28" s="581" t="s">
        <v>151</v>
      </c>
      <c r="D28" s="581"/>
      <c r="E28" s="347"/>
      <c r="F28" s="886" t="s">
        <v>406</v>
      </c>
      <c r="G28" s="887">
        <f>(G29*G2+G30*G3+G31*G4+G32*G5)/SUM(G29:G32)</f>
        <v>26774.39079411425</v>
      </c>
      <c r="H28" s="887">
        <f t="shared" ref="H28:BS28" si="11">(H29*H2+H30*H3+H31*H4+H32*H5)/SUM(H29:H32)</f>
        <v>28595.407664030867</v>
      </c>
      <c r="I28" s="887">
        <f t="shared" si="11"/>
        <v>28484.438918544118</v>
      </c>
      <c r="J28" s="887">
        <f t="shared" si="11"/>
        <v>27471.735195197816</v>
      </c>
      <c r="K28" s="887">
        <f t="shared" si="11"/>
        <v>27770.763161636038</v>
      </c>
      <c r="L28" s="887">
        <f t="shared" si="11"/>
        <v>27976.364454841929</v>
      </c>
      <c r="M28" s="887">
        <f t="shared" si="11"/>
        <v>27989.3097425999</v>
      </c>
      <c r="N28" s="887">
        <f t="shared" si="11"/>
        <v>28356.049927670876</v>
      </c>
      <c r="O28" s="887">
        <f t="shared" si="11"/>
        <v>27162.125257683208</v>
      </c>
      <c r="P28" s="887">
        <f t="shared" si="11"/>
        <v>26840.814605816377</v>
      </c>
      <c r="Q28" s="887">
        <f t="shared" si="11"/>
        <v>26985.076430165722</v>
      </c>
      <c r="R28" s="887">
        <f t="shared" si="11"/>
        <v>27155.295506248771</v>
      </c>
      <c r="S28" s="887">
        <f t="shared" si="11"/>
        <v>27016.832144789711</v>
      </c>
      <c r="T28" s="887">
        <f t="shared" si="11"/>
        <v>27267.89980735023</v>
      </c>
      <c r="U28" s="887">
        <f t="shared" si="11"/>
        <v>24962.363186998766</v>
      </c>
      <c r="V28" s="887">
        <f t="shared" si="11"/>
        <v>24681.966242246421</v>
      </c>
      <c r="W28" s="887">
        <f t="shared" si="11"/>
        <v>24545.489141346457</v>
      </c>
      <c r="X28" s="887">
        <f t="shared" si="11"/>
        <v>24274.942209339151</v>
      </c>
      <c r="Y28" s="887">
        <f t="shared" si="11"/>
        <v>22251.888795487605</v>
      </c>
      <c r="Z28" s="887">
        <f t="shared" si="11"/>
        <v>22427.015785738517</v>
      </c>
      <c r="AA28" s="887">
        <f t="shared" si="11"/>
        <v>22519.041018927343</v>
      </c>
      <c r="AB28" s="887">
        <f t="shared" si="11"/>
        <v>22482.033786828339</v>
      </c>
      <c r="AC28" s="887">
        <f t="shared" si="11"/>
        <v>22333.839903521486</v>
      </c>
      <c r="AD28" s="887">
        <f t="shared" si="11"/>
        <v>22462.472616897798</v>
      </c>
      <c r="AE28" s="887">
        <f t="shared" si="11"/>
        <v>21090.761736118966</v>
      </c>
      <c r="AF28" s="887">
        <f t="shared" si="11"/>
        <v>21363.383091918666</v>
      </c>
      <c r="AG28" s="887">
        <f t="shared" si="11"/>
        <v>21547.302750286883</v>
      </c>
      <c r="AH28" s="887">
        <f t="shared" si="11"/>
        <v>22009.773877412459</v>
      </c>
      <c r="AI28" s="887">
        <f t="shared" si="11"/>
        <v>21911.072457429047</v>
      </c>
      <c r="AJ28" s="887">
        <f t="shared" si="11"/>
        <v>21284.349717182227</v>
      </c>
      <c r="AK28" s="887">
        <f t="shared" si="11"/>
        <v>21047.769088050496</v>
      </c>
      <c r="AL28" s="887">
        <f t="shared" si="11"/>
        <v>20810.395444221533</v>
      </c>
      <c r="AM28" s="887">
        <f t="shared" si="11"/>
        <v>20729.154899615034</v>
      </c>
      <c r="AN28" s="887">
        <f t="shared" si="11"/>
        <v>20600.963022948905</v>
      </c>
      <c r="AO28" s="887">
        <f t="shared" si="11"/>
        <v>20853.711339098834</v>
      </c>
      <c r="AP28" s="887">
        <f t="shared" si="11"/>
        <v>21197.874998168616</v>
      </c>
      <c r="AQ28" s="887">
        <f t="shared" si="11"/>
        <v>22747.695374793257</v>
      </c>
      <c r="AR28" s="887">
        <f t="shared" si="11"/>
        <v>22871.075882735779</v>
      </c>
      <c r="AS28" s="887">
        <f t="shared" si="11"/>
        <v>22810.719338275831</v>
      </c>
      <c r="AT28" s="887">
        <f t="shared" si="11"/>
        <v>22729.45738665534</v>
      </c>
      <c r="AU28" s="887">
        <f t="shared" si="11"/>
        <v>22804.15831066887</v>
      </c>
      <c r="AV28" s="887">
        <f t="shared" si="11"/>
        <v>22602.260874559317</v>
      </c>
      <c r="AW28" s="887">
        <f t="shared" si="11"/>
        <v>23384.037337852224</v>
      </c>
      <c r="AX28" s="887">
        <f t="shared" si="11"/>
        <v>24032.510876947603</v>
      </c>
      <c r="AY28" s="887">
        <f t="shared" si="11"/>
        <v>24171.876872506218</v>
      </c>
      <c r="AZ28" s="887">
        <f t="shared" si="11"/>
        <v>24386.420391069259</v>
      </c>
      <c r="BA28" s="887">
        <f t="shared" si="11"/>
        <v>24677.825340814106</v>
      </c>
      <c r="BB28" s="887">
        <f t="shared" si="11"/>
        <v>25375.181306408947</v>
      </c>
      <c r="BC28" s="887">
        <f t="shared" si="11"/>
        <v>26676.583755664</v>
      </c>
      <c r="BD28" s="887">
        <f t="shared" si="11"/>
        <v>25380.095273868465</v>
      </c>
      <c r="BE28" s="887">
        <f t="shared" si="11"/>
        <v>25178.087146231224</v>
      </c>
      <c r="BF28" s="887">
        <f t="shared" si="11"/>
        <v>24975.39897524966</v>
      </c>
      <c r="BG28" s="887">
        <f t="shared" si="11"/>
        <v>25050.217235706015</v>
      </c>
      <c r="BH28" s="887">
        <f t="shared" si="11"/>
        <v>24883.92356927288</v>
      </c>
      <c r="BI28" s="887">
        <f t="shared" si="11"/>
        <v>26049.173491840316</v>
      </c>
      <c r="BJ28" s="887">
        <f t="shared" si="11"/>
        <v>26013.504770311916</v>
      </c>
      <c r="BK28" s="887">
        <f t="shared" si="11"/>
        <v>25396.250083351722</v>
      </c>
      <c r="BL28" s="887">
        <f t="shared" si="11"/>
        <v>25236.66973613124</v>
      </c>
      <c r="BM28" s="887">
        <f t="shared" si="11"/>
        <v>25519.883535245732</v>
      </c>
      <c r="BN28" s="887">
        <f t="shared" si="11"/>
        <v>25569.269351334369</v>
      </c>
      <c r="BO28" s="887">
        <f t="shared" si="11"/>
        <v>24365.635322508377</v>
      </c>
      <c r="BP28" s="887">
        <f t="shared" si="11"/>
        <v>24683.870317200242</v>
      </c>
      <c r="BQ28" s="887">
        <f t="shared" si="11"/>
        <v>24709.600599410427</v>
      </c>
      <c r="BR28" s="887">
        <f t="shared" si="11"/>
        <v>24891.459642057162</v>
      </c>
      <c r="BS28" s="887">
        <f t="shared" si="11"/>
        <v>24559.550764007647</v>
      </c>
      <c r="BT28" s="887">
        <f t="shared" ref="BT28:CM28" si="12">(BT29*BT2+BT30*BT3+BT31*BT4+BT32*BT5)/SUM(BT29:BT32)</f>
        <v>24185.73054521317</v>
      </c>
      <c r="BU28" s="887">
        <f t="shared" si="12"/>
        <v>20417.563817311144</v>
      </c>
      <c r="BV28" s="887">
        <f t="shared" si="12"/>
        <v>21037.309477219918</v>
      </c>
      <c r="BW28" s="887">
        <f t="shared" si="12"/>
        <v>21581.288905613823</v>
      </c>
      <c r="BX28" s="887">
        <f t="shared" si="12"/>
        <v>21582.701619491054</v>
      </c>
      <c r="BY28" s="887">
        <f t="shared" si="12"/>
        <v>21566.942728755552</v>
      </c>
      <c r="BZ28" s="887">
        <f t="shared" si="12"/>
        <v>21648.763468987887</v>
      </c>
      <c r="CA28" s="887">
        <f t="shared" si="12"/>
        <v>19613.178000283559</v>
      </c>
      <c r="CB28" s="887">
        <f t="shared" si="12"/>
        <v>20011.468108828409</v>
      </c>
      <c r="CC28" s="887">
        <f t="shared" si="12"/>
        <v>20185.644949128571</v>
      </c>
      <c r="CD28" s="887">
        <f t="shared" si="12"/>
        <v>20534.608839932262</v>
      </c>
      <c r="CE28" s="887">
        <f t="shared" si="12"/>
        <v>20944.530476292497</v>
      </c>
      <c r="CF28" s="887">
        <f t="shared" si="12"/>
        <v>21071.327858542772</v>
      </c>
      <c r="CG28" s="887">
        <f t="shared" si="12"/>
        <v>20995.674893589297</v>
      </c>
      <c r="CH28" s="887">
        <f t="shared" si="12"/>
        <v>20813.625856563256</v>
      </c>
      <c r="CI28" s="887">
        <f t="shared" si="12"/>
        <v>21233.142939135221</v>
      </c>
      <c r="CJ28" s="887">
        <f t="shared" si="12"/>
        <v>21879.948888616771</v>
      </c>
      <c r="CK28" s="887">
        <f t="shared" si="12"/>
        <v>21851.668411820978</v>
      </c>
      <c r="CL28" s="887">
        <f t="shared" si="12"/>
        <v>22066.04407424539</v>
      </c>
      <c r="CM28" s="887">
        <f t="shared" si="12"/>
        <v>23668.900302889549</v>
      </c>
      <c r="CN28" s="347"/>
      <c r="CO28" s="347"/>
      <c r="CP28" s="347"/>
      <c r="CQ28" s="347"/>
      <c r="CR28" s="347"/>
      <c r="CS28" s="347"/>
      <c r="CT28" s="347"/>
      <c r="CU28" s="347"/>
      <c r="CV28" s="347"/>
      <c r="CW28" s="347"/>
      <c r="CX28" s="347"/>
      <c r="CY28" s="347"/>
      <c r="CZ28" s="347"/>
      <c r="DA28" s="347"/>
      <c r="DB28" s="347"/>
      <c r="DC28" s="347"/>
      <c r="DD28" s="347"/>
      <c r="DE28" s="347"/>
      <c r="DF28" s="347"/>
      <c r="DG28" s="347"/>
      <c r="DH28" s="347"/>
      <c r="DI28" s="347"/>
      <c r="DJ28" s="347"/>
      <c r="DK28" s="347"/>
      <c r="DL28" s="347"/>
      <c r="DM28" s="347"/>
      <c r="DN28" s="347"/>
      <c r="DO28" s="347"/>
      <c r="DP28" s="347"/>
      <c r="DQ28" s="347"/>
      <c r="DR28" s="347"/>
      <c r="DS28" s="347"/>
      <c r="DT28" s="347"/>
      <c r="DU28" s="347"/>
      <c r="DV28" s="347"/>
      <c r="DW28" s="347"/>
      <c r="DX28" s="347"/>
      <c r="DY28" s="347"/>
      <c r="DZ28" s="347"/>
      <c r="EA28" s="347"/>
      <c r="EB28" s="347"/>
      <c r="EC28" s="347"/>
      <c r="ED28" s="347"/>
      <c r="EE28" s="347"/>
      <c r="EF28" s="347"/>
      <c r="EG28" s="347"/>
      <c r="EH28" s="347"/>
      <c r="EI28" s="347"/>
      <c r="EJ28" s="347"/>
      <c r="EK28" s="347"/>
      <c r="EL28" s="347"/>
      <c r="EM28" s="347"/>
      <c r="EN28" s="347"/>
      <c r="EO28" s="347"/>
      <c r="EP28" s="347"/>
      <c r="EQ28" s="347"/>
      <c r="ER28" s="347"/>
      <c r="ES28" s="347"/>
      <c r="ET28" s="347"/>
      <c r="EU28" s="347"/>
      <c r="EV28" s="347"/>
      <c r="EW28" s="347"/>
      <c r="EX28" s="347"/>
      <c r="EY28" s="347"/>
      <c r="EZ28" s="347"/>
      <c r="FA28" s="347"/>
      <c r="FB28" s="347"/>
      <c r="FC28" s="347"/>
      <c r="FD28" s="347"/>
      <c r="FE28" s="347"/>
      <c r="FF28" s="347"/>
      <c r="FG28" s="347"/>
      <c r="FH28" s="347"/>
      <c r="FI28" s="347"/>
      <c r="FJ28" s="347"/>
      <c r="FK28" s="347"/>
      <c r="FL28" s="347"/>
      <c r="FM28" s="347"/>
      <c r="FN28" s="347"/>
      <c r="FO28" s="347"/>
      <c r="FP28" s="347"/>
      <c r="FQ28" s="347"/>
      <c r="FR28" s="347"/>
      <c r="FS28" s="347"/>
      <c r="FT28" s="347"/>
      <c r="FU28" s="347"/>
      <c r="FV28" s="347"/>
    </row>
    <row r="29" spans="1:178">
      <c r="A29" s="1394"/>
      <c r="B29" s="811" t="s">
        <v>403</v>
      </c>
      <c r="C29" s="581" t="s">
        <v>402</v>
      </c>
      <c r="D29" s="581">
        <v>0.622</v>
      </c>
      <c r="E29" s="347"/>
      <c r="F29" s="888" t="s">
        <v>450</v>
      </c>
      <c r="G29" s="889">
        <f>$D$29*G12</f>
        <v>29493.166666666664</v>
      </c>
      <c r="H29" s="889">
        <f t="shared" ref="H29:BS29" si="13">$D$29*H12</f>
        <v>29493.166666666664</v>
      </c>
      <c r="I29" s="889">
        <f t="shared" si="13"/>
        <v>29493.166666666664</v>
      </c>
      <c r="J29" s="889">
        <f t="shared" si="13"/>
        <v>29493.166666666664</v>
      </c>
      <c r="K29" s="889">
        <f t="shared" si="13"/>
        <v>29493.166666666664</v>
      </c>
      <c r="L29" s="889">
        <f t="shared" si="13"/>
        <v>29493.166666666664</v>
      </c>
      <c r="M29" s="889">
        <f t="shared" si="13"/>
        <v>29493.166666666664</v>
      </c>
      <c r="N29" s="889">
        <f t="shared" si="13"/>
        <v>29493.166666666664</v>
      </c>
      <c r="O29" s="889">
        <f t="shared" si="13"/>
        <v>29493.166666666664</v>
      </c>
      <c r="P29" s="889">
        <f t="shared" si="13"/>
        <v>29493.166666666664</v>
      </c>
      <c r="Q29" s="889">
        <f t="shared" si="13"/>
        <v>29493.166666666664</v>
      </c>
      <c r="R29" s="889">
        <f t="shared" si="13"/>
        <v>29493.166666666664</v>
      </c>
      <c r="S29" s="889">
        <f t="shared" si="13"/>
        <v>29493.166666666664</v>
      </c>
      <c r="T29" s="889">
        <f t="shared" si="13"/>
        <v>29493.166666666664</v>
      </c>
      <c r="U29" s="889">
        <f t="shared" si="13"/>
        <v>29493.166666666664</v>
      </c>
      <c r="V29" s="889">
        <f t="shared" si="13"/>
        <v>29493.166666666664</v>
      </c>
      <c r="W29" s="889">
        <f t="shared" si="13"/>
        <v>29493.166666666664</v>
      </c>
      <c r="X29" s="889">
        <f t="shared" si="13"/>
        <v>29493.166666666664</v>
      </c>
      <c r="Y29" s="889">
        <f t="shared" si="13"/>
        <v>29493.166666666664</v>
      </c>
      <c r="Z29" s="889">
        <f t="shared" si="13"/>
        <v>29493.166666666664</v>
      </c>
      <c r="AA29" s="889">
        <f t="shared" si="13"/>
        <v>29493.166666666664</v>
      </c>
      <c r="AB29" s="889">
        <f t="shared" si="13"/>
        <v>29493.166666666664</v>
      </c>
      <c r="AC29" s="889">
        <f t="shared" si="13"/>
        <v>29493.166666666664</v>
      </c>
      <c r="AD29" s="889">
        <f t="shared" si="13"/>
        <v>29493.166666666664</v>
      </c>
      <c r="AE29" s="889">
        <f t="shared" si="13"/>
        <v>29493.166666666664</v>
      </c>
      <c r="AF29" s="889">
        <f t="shared" si="13"/>
        <v>29493.166666666664</v>
      </c>
      <c r="AG29" s="889">
        <f t="shared" si="13"/>
        <v>29493.166666666664</v>
      </c>
      <c r="AH29" s="889">
        <f t="shared" si="13"/>
        <v>29493.166666666664</v>
      </c>
      <c r="AI29" s="889">
        <f t="shared" si="13"/>
        <v>29493.166666666664</v>
      </c>
      <c r="AJ29" s="889">
        <f t="shared" si="13"/>
        <v>29493.166666666664</v>
      </c>
      <c r="AK29" s="889">
        <f t="shared" si="13"/>
        <v>29493.166666666664</v>
      </c>
      <c r="AL29" s="889">
        <f t="shared" si="13"/>
        <v>29493.166666666664</v>
      </c>
      <c r="AM29" s="889">
        <f t="shared" si="13"/>
        <v>29493.166666666664</v>
      </c>
      <c r="AN29" s="889">
        <f t="shared" si="13"/>
        <v>29493.166666666664</v>
      </c>
      <c r="AO29" s="889">
        <f t="shared" si="13"/>
        <v>29493.166666666664</v>
      </c>
      <c r="AP29" s="889">
        <f t="shared" si="13"/>
        <v>29493.166666666664</v>
      </c>
      <c r="AQ29" s="889">
        <f t="shared" si="13"/>
        <v>29493.166666666664</v>
      </c>
      <c r="AR29" s="889">
        <f t="shared" si="13"/>
        <v>29493.166666666664</v>
      </c>
      <c r="AS29" s="889">
        <f t="shared" si="13"/>
        <v>29493.166666666664</v>
      </c>
      <c r="AT29" s="889">
        <f t="shared" si="13"/>
        <v>29493.166666666664</v>
      </c>
      <c r="AU29" s="889">
        <f t="shared" si="13"/>
        <v>29493.166666666664</v>
      </c>
      <c r="AV29" s="889">
        <f t="shared" si="13"/>
        <v>29493.166666666664</v>
      </c>
      <c r="AW29" s="889">
        <f t="shared" si="13"/>
        <v>29493.166666666664</v>
      </c>
      <c r="AX29" s="889">
        <f t="shared" si="13"/>
        <v>29493.166666666664</v>
      </c>
      <c r="AY29" s="889">
        <f t="shared" si="13"/>
        <v>29493.166666666664</v>
      </c>
      <c r="AZ29" s="889">
        <f t="shared" si="13"/>
        <v>29493.166666666664</v>
      </c>
      <c r="BA29" s="889">
        <f t="shared" si="13"/>
        <v>29493.166666666664</v>
      </c>
      <c r="BB29" s="889">
        <f t="shared" si="13"/>
        <v>29493.166666666664</v>
      </c>
      <c r="BC29" s="889">
        <f t="shared" si="13"/>
        <v>29493.166666666664</v>
      </c>
      <c r="BD29" s="889">
        <f t="shared" si="13"/>
        <v>29493.166666666664</v>
      </c>
      <c r="BE29" s="889">
        <f t="shared" si="13"/>
        <v>29493.166666666664</v>
      </c>
      <c r="BF29" s="889">
        <f t="shared" si="13"/>
        <v>29493.166666666664</v>
      </c>
      <c r="BG29" s="889">
        <f t="shared" si="13"/>
        <v>29493.166666666664</v>
      </c>
      <c r="BH29" s="889">
        <f t="shared" si="13"/>
        <v>29493.166666666664</v>
      </c>
      <c r="BI29" s="889">
        <f t="shared" si="13"/>
        <v>29493.166666666664</v>
      </c>
      <c r="BJ29" s="889">
        <f t="shared" si="13"/>
        <v>29493.166666666664</v>
      </c>
      <c r="BK29" s="889">
        <f t="shared" si="13"/>
        <v>29493.166666666664</v>
      </c>
      <c r="BL29" s="889">
        <f t="shared" si="13"/>
        <v>29493.166666666664</v>
      </c>
      <c r="BM29" s="889">
        <f t="shared" si="13"/>
        <v>29493.166666666664</v>
      </c>
      <c r="BN29" s="889">
        <f t="shared" si="13"/>
        <v>29493.166666666664</v>
      </c>
      <c r="BO29" s="889">
        <f t="shared" si="13"/>
        <v>29493.166666666664</v>
      </c>
      <c r="BP29" s="889">
        <f t="shared" si="13"/>
        <v>29493.166666666664</v>
      </c>
      <c r="BQ29" s="889">
        <f t="shared" si="13"/>
        <v>29493.166666666664</v>
      </c>
      <c r="BR29" s="889">
        <f t="shared" si="13"/>
        <v>29493.166666666664</v>
      </c>
      <c r="BS29" s="889">
        <f t="shared" si="13"/>
        <v>29493.166666666664</v>
      </c>
      <c r="BT29" s="889">
        <f t="shared" ref="BT29:CM29" si="14">$D$29*BT12</f>
        <v>29493.166666666664</v>
      </c>
      <c r="BU29" s="889">
        <f t="shared" si="14"/>
        <v>29493.166666666664</v>
      </c>
      <c r="BV29" s="889">
        <f t="shared" si="14"/>
        <v>29493.166666666664</v>
      </c>
      <c r="BW29" s="889">
        <f t="shared" si="14"/>
        <v>29493.166666666664</v>
      </c>
      <c r="BX29" s="889">
        <f t="shared" si="14"/>
        <v>29493.166666666664</v>
      </c>
      <c r="BY29" s="889">
        <f t="shared" si="14"/>
        <v>29493.166666666664</v>
      </c>
      <c r="BZ29" s="889">
        <f t="shared" si="14"/>
        <v>29493.166666666664</v>
      </c>
      <c r="CA29" s="889">
        <f t="shared" si="14"/>
        <v>29493.166666666664</v>
      </c>
      <c r="CB29" s="889">
        <f t="shared" si="14"/>
        <v>29493.166666666664</v>
      </c>
      <c r="CC29" s="889">
        <f t="shared" si="14"/>
        <v>29493.166666666664</v>
      </c>
      <c r="CD29" s="889">
        <f t="shared" si="14"/>
        <v>29493.166666666664</v>
      </c>
      <c r="CE29" s="889">
        <f t="shared" si="14"/>
        <v>29493.166666666664</v>
      </c>
      <c r="CF29" s="889">
        <f t="shared" si="14"/>
        <v>29493.166666666664</v>
      </c>
      <c r="CG29" s="889">
        <f t="shared" si="14"/>
        <v>29493.166666666664</v>
      </c>
      <c r="CH29" s="889">
        <f t="shared" si="14"/>
        <v>29493.166666666664</v>
      </c>
      <c r="CI29" s="889">
        <f t="shared" si="14"/>
        <v>29493.166666666664</v>
      </c>
      <c r="CJ29" s="889">
        <f t="shared" si="14"/>
        <v>29493.166666666664</v>
      </c>
      <c r="CK29" s="889">
        <f t="shared" si="14"/>
        <v>29493.166666666664</v>
      </c>
      <c r="CL29" s="889">
        <f t="shared" si="14"/>
        <v>29493.166666666664</v>
      </c>
      <c r="CM29" s="889">
        <f t="shared" si="14"/>
        <v>29493.166666666664</v>
      </c>
      <c r="CN29" s="347"/>
      <c r="CO29" s="347"/>
      <c r="CP29" s="347"/>
      <c r="CQ29" s="347"/>
      <c r="CR29" s="347"/>
      <c r="CS29" s="347"/>
      <c r="CT29" s="347"/>
      <c r="CU29" s="347"/>
      <c r="CV29" s="347"/>
      <c r="CW29" s="347"/>
      <c r="CX29" s="347"/>
      <c r="CY29" s="347"/>
      <c r="CZ29" s="347"/>
      <c r="DA29" s="347"/>
      <c r="DB29" s="347"/>
      <c r="DC29" s="347"/>
      <c r="DD29" s="347"/>
      <c r="DE29" s="347"/>
      <c r="DF29" s="347"/>
      <c r="DG29" s="347"/>
      <c r="DH29" s="347"/>
      <c r="DI29" s="347"/>
      <c r="DJ29" s="347"/>
      <c r="DK29" s="347"/>
      <c r="DL29" s="347"/>
      <c r="DM29" s="347"/>
      <c r="DN29" s="347"/>
      <c r="DO29" s="347"/>
      <c r="DP29" s="347"/>
      <c r="DQ29" s="347"/>
      <c r="DR29" s="347"/>
      <c r="DS29" s="347"/>
      <c r="DT29" s="347"/>
      <c r="DU29" s="347"/>
      <c r="DV29" s="347"/>
      <c r="DW29" s="347"/>
      <c r="DX29" s="347"/>
      <c r="DY29" s="347"/>
      <c r="DZ29" s="347"/>
      <c r="EA29" s="347"/>
      <c r="EB29" s="347"/>
      <c r="EC29" s="347"/>
      <c r="ED29" s="347"/>
      <c r="EE29" s="347"/>
      <c r="EF29" s="347"/>
      <c r="EG29" s="347"/>
      <c r="EH29" s="347"/>
      <c r="EI29" s="347"/>
      <c r="EJ29" s="347"/>
      <c r="EK29" s="347"/>
      <c r="EL29" s="347"/>
      <c r="EM29" s="347"/>
      <c r="EN29" s="347"/>
      <c r="EO29" s="347"/>
      <c r="EP29" s="347"/>
      <c r="EQ29" s="347"/>
      <c r="ER29" s="347"/>
      <c r="ES29" s="347"/>
      <c r="ET29" s="347"/>
      <c r="EU29" s="347"/>
      <c r="EV29" s="347"/>
      <c r="EW29" s="347"/>
      <c r="EX29" s="347"/>
      <c r="EY29" s="347"/>
      <c r="EZ29" s="347"/>
      <c r="FA29" s="347"/>
      <c r="FB29" s="347"/>
      <c r="FC29" s="347"/>
      <c r="FD29" s="347"/>
      <c r="FE29" s="347"/>
      <c r="FF29" s="347"/>
      <c r="FG29" s="347"/>
      <c r="FH29" s="347"/>
      <c r="FI29" s="347"/>
      <c r="FJ29" s="347"/>
      <c r="FK29" s="347"/>
      <c r="FL29" s="347"/>
      <c r="FM29" s="347"/>
      <c r="FN29" s="347"/>
      <c r="FO29" s="347"/>
      <c r="FP29" s="347"/>
      <c r="FQ29" s="347"/>
      <c r="FR29" s="347"/>
      <c r="FS29" s="347"/>
      <c r="FT29" s="347"/>
      <c r="FU29" s="347"/>
      <c r="FV29" s="347"/>
    </row>
    <row r="30" spans="1:178">
      <c r="A30" s="1394"/>
      <c r="B30" s="811" t="s">
        <v>403</v>
      </c>
      <c r="C30" s="581" t="s">
        <v>402</v>
      </c>
      <c r="D30" s="581">
        <v>1.4999999999999999E-2</v>
      </c>
      <c r="E30" s="347"/>
      <c r="F30" s="888" t="s">
        <v>451</v>
      </c>
      <c r="G30" s="889">
        <f>$D$30*G13</f>
        <v>871.25</v>
      </c>
      <c r="H30" s="889">
        <f t="shared" ref="H30:BS30" si="15">$D$30*H13</f>
        <v>871.25</v>
      </c>
      <c r="I30" s="889">
        <f t="shared" si="15"/>
        <v>871.25</v>
      </c>
      <c r="J30" s="889">
        <f t="shared" si="15"/>
        <v>871.25</v>
      </c>
      <c r="K30" s="889">
        <f t="shared" si="15"/>
        <v>871.25</v>
      </c>
      <c r="L30" s="889">
        <f t="shared" si="15"/>
        <v>871.25</v>
      </c>
      <c r="M30" s="889">
        <f t="shared" si="15"/>
        <v>871.25</v>
      </c>
      <c r="N30" s="889">
        <f t="shared" si="15"/>
        <v>871.25</v>
      </c>
      <c r="O30" s="889">
        <f t="shared" si="15"/>
        <v>871.25</v>
      </c>
      <c r="P30" s="889">
        <f t="shared" si="15"/>
        <v>871.25</v>
      </c>
      <c r="Q30" s="889">
        <f t="shared" si="15"/>
        <v>871.25</v>
      </c>
      <c r="R30" s="889">
        <f t="shared" si="15"/>
        <v>871.25</v>
      </c>
      <c r="S30" s="889">
        <f t="shared" si="15"/>
        <v>871.25</v>
      </c>
      <c r="T30" s="889">
        <f t="shared" si="15"/>
        <v>871.25</v>
      </c>
      <c r="U30" s="889">
        <f t="shared" si="15"/>
        <v>871.25</v>
      </c>
      <c r="V30" s="889">
        <f t="shared" si="15"/>
        <v>871.25</v>
      </c>
      <c r="W30" s="889">
        <f t="shared" si="15"/>
        <v>871.25</v>
      </c>
      <c r="X30" s="889">
        <f t="shared" si="15"/>
        <v>871.25</v>
      </c>
      <c r="Y30" s="889">
        <f t="shared" si="15"/>
        <v>871.25</v>
      </c>
      <c r="Z30" s="889">
        <f t="shared" si="15"/>
        <v>871.25</v>
      </c>
      <c r="AA30" s="889">
        <f t="shared" si="15"/>
        <v>871.25</v>
      </c>
      <c r="AB30" s="889">
        <f t="shared" si="15"/>
        <v>871.25</v>
      </c>
      <c r="AC30" s="889">
        <f t="shared" si="15"/>
        <v>871.25</v>
      </c>
      <c r="AD30" s="889">
        <f t="shared" si="15"/>
        <v>871.25</v>
      </c>
      <c r="AE30" s="889">
        <f t="shared" si="15"/>
        <v>871.25</v>
      </c>
      <c r="AF30" s="889">
        <f t="shared" si="15"/>
        <v>871.25</v>
      </c>
      <c r="AG30" s="889">
        <f t="shared" si="15"/>
        <v>871.25</v>
      </c>
      <c r="AH30" s="889">
        <f t="shared" si="15"/>
        <v>871.25</v>
      </c>
      <c r="AI30" s="889">
        <f t="shared" si="15"/>
        <v>871.25</v>
      </c>
      <c r="AJ30" s="889">
        <f t="shared" si="15"/>
        <v>871.25</v>
      </c>
      <c r="AK30" s="889">
        <f t="shared" si="15"/>
        <v>871.25</v>
      </c>
      <c r="AL30" s="889">
        <f t="shared" si="15"/>
        <v>871.25</v>
      </c>
      <c r="AM30" s="889">
        <f t="shared" si="15"/>
        <v>871.25</v>
      </c>
      <c r="AN30" s="889">
        <f t="shared" si="15"/>
        <v>871.25</v>
      </c>
      <c r="AO30" s="889">
        <f t="shared" si="15"/>
        <v>871.25</v>
      </c>
      <c r="AP30" s="889">
        <f t="shared" si="15"/>
        <v>871.25</v>
      </c>
      <c r="AQ30" s="889">
        <f t="shared" si="15"/>
        <v>871.25</v>
      </c>
      <c r="AR30" s="889">
        <f t="shared" si="15"/>
        <v>871.25</v>
      </c>
      <c r="AS30" s="889">
        <f t="shared" si="15"/>
        <v>871.25</v>
      </c>
      <c r="AT30" s="889">
        <f t="shared" si="15"/>
        <v>871.25</v>
      </c>
      <c r="AU30" s="889">
        <f t="shared" si="15"/>
        <v>871.25</v>
      </c>
      <c r="AV30" s="889">
        <f t="shared" si="15"/>
        <v>871.25</v>
      </c>
      <c r="AW30" s="889">
        <f t="shared" si="15"/>
        <v>871.25</v>
      </c>
      <c r="AX30" s="889">
        <f t="shared" si="15"/>
        <v>871.25</v>
      </c>
      <c r="AY30" s="889">
        <f t="shared" si="15"/>
        <v>871.25</v>
      </c>
      <c r="AZ30" s="889">
        <f t="shared" si="15"/>
        <v>871.25</v>
      </c>
      <c r="BA30" s="889">
        <f t="shared" si="15"/>
        <v>871.25</v>
      </c>
      <c r="BB30" s="889">
        <f t="shared" si="15"/>
        <v>871.25</v>
      </c>
      <c r="BC30" s="889">
        <f t="shared" si="15"/>
        <v>871.25</v>
      </c>
      <c r="BD30" s="889">
        <f t="shared" si="15"/>
        <v>871.25</v>
      </c>
      <c r="BE30" s="889">
        <f t="shared" si="15"/>
        <v>871.25</v>
      </c>
      <c r="BF30" s="889">
        <f t="shared" si="15"/>
        <v>871.25</v>
      </c>
      <c r="BG30" s="889">
        <f t="shared" si="15"/>
        <v>871.25</v>
      </c>
      <c r="BH30" s="889">
        <f t="shared" si="15"/>
        <v>871.25</v>
      </c>
      <c r="BI30" s="889">
        <f t="shared" si="15"/>
        <v>871.25</v>
      </c>
      <c r="BJ30" s="889">
        <f t="shared" si="15"/>
        <v>871.25</v>
      </c>
      <c r="BK30" s="889">
        <f t="shared" si="15"/>
        <v>871.25</v>
      </c>
      <c r="BL30" s="889">
        <f t="shared" si="15"/>
        <v>871.25</v>
      </c>
      <c r="BM30" s="889">
        <f t="shared" si="15"/>
        <v>871.25</v>
      </c>
      <c r="BN30" s="889">
        <f t="shared" si="15"/>
        <v>871.25</v>
      </c>
      <c r="BO30" s="889">
        <f t="shared" si="15"/>
        <v>871.25</v>
      </c>
      <c r="BP30" s="889">
        <f t="shared" si="15"/>
        <v>871.25</v>
      </c>
      <c r="BQ30" s="889">
        <f t="shared" si="15"/>
        <v>871.25</v>
      </c>
      <c r="BR30" s="889">
        <f t="shared" si="15"/>
        <v>871.25</v>
      </c>
      <c r="BS30" s="889">
        <f t="shared" si="15"/>
        <v>871.25</v>
      </c>
      <c r="BT30" s="889">
        <f t="shared" ref="BT30:CM30" si="16">$D$30*BT13</f>
        <v>871.25</v>
      </c>
      <c r="BU30" s="889">
        <f t="shared" si="16"/>
        <v>871.25</v>
      </c>
      <c r="BV30" s="889">
        <f t="shared" si="16"/>
        <v>871.25</v>
      </c>
      <c r="BW30" s="889">
        <f t="shared" si="16"/>
        <v>871.25</v>
      </c>
      <c r="BX30" s="889">
        <f t="shared" si="16"/>
        <v>871.25</v>
      </c>
      <c r="BY30" s="889">
        <f t="shared" si="16"/>
        <v>871.25</v>
      </c>
      <c r="BZ30" s="889">
        <f t="shared" si="16"/>
        <v>871.25</v>
      </c>
      <c r="CA30" s="889">
        <f t="shared" si="16"/>
        <v>871.25</v>
      </c>
      <c r="CB30" s="889">
        <f t="shared" si="16"/>
        <v>871.25</v>
      </c>
      <c r="CC30" s="889">
        <f t="shared" si="16"/>
        <v>871.25</v>
      </c>
      <c r="CD30" s="889">
        <f t="shared" si="16"/>
        <v>871.25</v>
      </c>
      <c r="CE30" s="889">
        <f t="shared" si="16"/>
        <v>871.25</v>
      </c>
      <c r="CF30" s="889">
        <f t="shared" si="16"/>
        <v>871.25</v>
      </c>
      <c r="CG30" s="889">
        <f t="shared" si="16"/>
        <v>871.25</v>
      </c>
      <c r="CH30" s="889">
        <f t="shared" si="16"/>
        <v>871.25</v>
      </c>
      <c r="CI30" s="889">
        <f t="shared" si="16"/>
        <v>871.25</v>
      </c>
      <c r="CJ30" s="889">
        <f t="shared" si="16"/>
        <v>871.25</v>
      </c>
      <c r="CK30" s="889">
        <f t="shared" si="16"/>
        <v>871.25</v>
      </c>
      <c r="CL30" s="889">
        <f t="shared" si="16"/>
        <v>871.25</v>
      </c>
      <c r="CM30" s="889">
        <f t="shared" si="16"/>
        <v>871.25</v>
      </c>
      <c r="CN30" s="347"/>
      <c r="CO30" s="347"/>
      <c r="CP30" s="347"/>
      <c r="CQ30" s="347"/>
      <c r="CR30" s="347"/>
      <c r="CS30" s="347"/>
      <c r="CT30" s="347"/>
      <c r="CU30" s="347"/>
      <c r="CV30" s="347"/>
      <c r="CW30" s="347"/>
      <c r="CX30" s="347"/>
      <c r="CY30" s="347"/>
      <c r="CZ30" s="347"/>
      <c r="DA30" s="347"/>
      <c r="DB30" s="347"/>
      <c r="DC30" s="347"/>
      <c r="DD30" s="347"/>
      <c r="DE30" s="347"/>
      <c r="DF30" s="347"/>
      <c r="DG30" s="347"/>
      <c r="DH30" s="347"/>
      <c r="DI30" s="347"/>
      <c r="DJ30" s="347"/>
      <c r="DK30" s="347"/>
      <c r="DL30" s="347"/>
      <c r="DM30" s="347"/>
      <c r="DN30" s="347"/>
      <c r="DO30" s="347"/>
      <c r="DP30" s="347"/>
      <c r="DQ30" s="347"/>
      <c r="DR30" s="347"/>
      <c r="DS30" s="347"/>
      <c r="DT30" s="347"/>
      <c r="DU30" s="347"/>
      <c r="DV30" s="347"/>
      <c r="DW30" s="347"/>
      <c r="DX30" s="347"/>
      <c r="DY30" s="347"/>
      <c r="DZ30" s="347"/>
      <c r="EA30" s="347"/>
      <c r="EB30" s="347"/>
      <c r="EC30" s="347"/>
      <c r="ED30" s="347"/>
      <c r="EE30" s="347"/>
      <c r="EF30" s="347"/>
      <c r="EG30" s="347"/>
      <c r="EH30" s="347"/>
      <c r="EI30" s="347"/>
      <c r="EJ30" s="347"/>
      <c r="EK30" s="347"/>
      <c r="EL30" s="347"/>
      <c r="EM30" s="347"/>
      <c r="EN30" s="347"/>
      <c r="EO30" s="347"/>
      <c r="EP30" s="347"/>
      <c r="EQ30" s="347"/>
      <c r="ER30" s="347"/>
      <c r="ES30" s="347"/>
      <c r="ET30" s="347"/>
      <c r="EU30" s="347"/>
      <c r="EV30" s="347"/>
      <c r="EW30" s="347"/>
      <c r="EX30" s="347"/>
      <c r="EY30" s="347"/>
      <c r="EZ30" s="347"/>
      <c r="FA30" s="347"/>
      <c r="FB30" s="347"/>
      <c r="FC30" s="347"/>
      <c r="FD30" s="347"/>
      <c r="FE30" s="347"/>
      <c r="FF30" s="347"/>
      <c r="FG30" s="347"/>
      <c r="FH30" s="347"/>
      <c r="FI30" s="347"/>
      <c r="FJ30" s="347"/>
      <c r="FK30" s="347"/>
      <c r="FL30" s="347"/>
      <c r="FM30" s="347"/>
      <c r="FN30" s="347"/>
      <c r="FO30" s="347"/>
      <c r="FP30" s="347"/>
      <c r="FQ30" s="347"/>
      <c r="FR30" s="347"/>
      <c r="FS30" s="347"/>
      <c r="FT30" s="347"/>
      <c r="FU30" s="347"/>
      <c r="FV30" s="347"/>
    </row>
    <row r="31" spans="1:178">
      <c r="A31" s="1394"/>
      <c r="B31" s="811" t="s">
        <v>403</v>
      </c>
      <c r="C31" s="581" t="s">
        <v>402</v>
      </c>
      <c r="D31" s="581">
        <v>1.9E-2</v>
      </c>
      <c r="E31" s="347"/>
      <c r="F31" s="888" t="s">
        <v>452</v>
      </c>
      <c r="G31" s="889">
        <f>$D$31*G14</f>
        <v>215.33333333333334</v>
      </c>
      <c r="H31" s="889">
        <f t="shared" ref="H31:BS31" si="17">$D$31*H14</f>
        <v>215.33333333333334</v>
      </c>
      <c r="I31" s="889">
        <f t="shared" si="17"/>
        <v>215.33333333333334</v>
      </c>
      <c r="J31" s="889">
        <f t="shared" si="17"/>
        <v>215.33333333333334</v>
      </c>
      <c r="K31" s="889">
        <f t="shared" si="17"/>
        <v>215.33333333333334</v>
      </c>
      <c r="L31" s="889">
        <f t="shared" si="17"/>
        <v>215.33333333333334</v>
      </c>
      <c r="M31" s="889">
        <f t="shared" si="17"/>
        <v>215.33333333333334</v>
      </c>
      <c r="N31" s="889">
        <f t="shared" si="17"/>
        <v>215.33333333333334</v>
      </c>
      <c r="O31" s="889">
        <f t="shared" si="17"/>
        <v>215.33333333333334</v>
      </c>
      <c r="P31" s="889">
        <f t="shared" si="17"/>
        <v>215.33333333333334</v>
      </c>
      <c r="Q31" s="889">
        <f t="shared" si="17"/>
        <v>215.33333333333334</v>
      </c>
      <c r="R31" s="889">
        <f t="shared" si="17"/>
        <v>215.33333333333334</v>
      </c>
      <c r="S31" s="889">
        <f t="shared" si="17"/>
        <v>215.33333333333334</v>
      </c>
      <c r="T31" s="889">
        <f t="shared" si="17"/>
        <v>215.33333333333334</v>
      </c>
      <c r="U31" s="889">
        <f t="shared" si="17"/>
        <v>215.33333333333334</v>
      </c>
      <c r="V31" s="889">
        <f t="shared" si="17"/>
        <v>215.33333333333334</v>
      </c>
      <c r="W31" s="889">
        <f t="shared" si="17"/>
        <v>215.33333333333334</v>
      </c>
      <c r="X31" s="889">
        <f t="shared" si="17"/>
        <v>215.33333333333334</v>
      </c>
      <c r="Y31" s="889">
        <f t="shared" si="17"/>
        <v>215.33333333333334</v>
      </c>
      <c r="Z31" s="889">
        <f t="shared" si="17"/>
        <v>215.33333333333334</v>
      </c>
      <c r="AA31" s="889">
        <f t="shared" si="17"/>
        <v>215.33333333333334</v>
      </c>
      <c r="AB31" s="889">
        <f t="shared" si="17"/>
        <v>215.33333333333334</v>
      </c>
      <c r="AC31" s="889">
        <f t="shared" si="17"/>
        <v>215.33333333333334</v>
      </c>
      <c r="AD31" s="889">
        <f t="shared" si="17"/>
        <v>215.33333333333334</v>
      </c>
      <c r="AE31" s="889">
        <f t="shared" si="17"/>
        <v>215.33333333333334</v>
      </c>
      <c r="AF31" s="889">
        <f t="shared" si="17"/>
        <v>215.33333333333334</v>
      </c>
      <c r="AG31" s="889">
        <f t="shared" si="17"/>
        <v>215.33333333333334</v>
      </c>
      <c r="AH31" s="889">
        <f t="shared" si="17"/>
        <v>215.33333333333334</v>
      </c>
      <c r="AI31" s="889">
        <f t="shared" si="17"/>
        <v>215.33333333333334</v>
      </c>
      <c r="AJ31" s="889">
        <f t="shared" si="17"/>
        <v>215.33333333333334</v>
      </c>
      <c r="AK31" s="889">
        <f t="shared" si="17"/>
        <v>215.33333333333334</v>
      </c>
      <c r="AL31" s="889">
        <f t="shared" si="17"/>
        <v>215.33333333333334</v>
      </c>
      <c r="AM31" s="889">
        <f t="shared" si="17"/>
        <v>215.33333333333334</v>
      </c>
      <c r="AN31" s="889">
        <f t="shared" si="17"/>
        <v>215.33333333333334</v>
      </c>
      <c r="AO31" s="889">
        <f t="shared" si="17"/>
        <v>215.33333333333334</v>
      </c>
      <c r="AP31" s="889">
        <f t="shared" si="17"/>
        <v>215.33333333333334</v>
      </c>
      <c r="AQ31" s="889">
        <f t="shared" si="17"/>
        <v>215.33333333333334</v>
      </c>
      <c r="AR31" s="889">
        <f t="shared" si="17"/>
        <v>215.33333333333334</v>
      </c>
      <c r="AS31" s="889">
        <f t="shared" si="17"/>
        <v>215.33333333333334</v>
      </c>
      <c r="AT31" s="889">
        <f t="shared" si="17"/>
        <v>215.33333333333334</v>
      </c>
      <c r="AU31" s="889">
        <f t="shared" si="17"/>
        <v>215.33333333333334</v>
      </c>
      <c r="AV31" s="889">
        <f t="shared" si="17"/>
        <v>215.33333333333334</v>
      </c>
      <c r="AW31" s="889">
        <f t="shared" si="17"/>
        <v>215.33333333333334</v>
      </c>
      <c r="AX31" s="889">
        <f t="shared" si="17"/>
        <v>215.33333333333334</v>
      </c>
      <c r="AY31" s="889">
        <f t="shared" si="17"/>
        <v>215.33333333333334</v>
      </c>
      <c r="AZ31" s="889">
        <f t="shared" si="17"/>
        <v>215.33333333333334</v>
      </c>
      <c r="BA31" s="889">
        <f t="shared" si="17"/>
        <v>215.33333333333334</v>
      </c>
      <c r="BB31" s="889">
        <f t="shared" si="17"/>
        <v>215.33333333333334</v>
      </c>
      <c r="BC31" s="889">
        <f t="shared" si="17"/>
        <v>215.33333333333334</v>
      </c>
      <c r="BD31" s="889">
        <f t="shared" si="17"/>
        <v>215.33333333333334</v>
      </c>
      <c r="BE31" s="889">
        <f t="shared" si="17"/>
        <v>215.33333333333334</v>
      </c>
      <c r="BF31" s="889">
        <f t="shared" si="17"/>
        <v>215.33333333333334</v>
      </c>
      <c r="BG31" s="889">
        <f t="shared" si="17"/>
        <v>215.33333333333334</v>
      </c>
      <c r="BH31" s="889">
        <f t="shared" si="17"/>
        <v>215.33333333333334</v>
      </c>
      <c r="BI31" s="889">
        <f t="shared" si="17"/>
        <v>215.33333333333334</v>
      </c>
      <c r="BJ31" s="889">
        <f t="shared" si="17"/>
        <v>215.33333333333334</v>
      </c>
      <c r="BK31" s="889">
        <f t="shared" si="17"/>
        <v>215.33333333333334</v>
      </c>
      <c r="BL31" s="889">
        <f t="shared" si="17"/>
        <v>215.33333333333334</v>
      </c>
      <c r="BM31" s="889">
        <f t="shared" si="17"/>
        <v>215.33333333333334</v>
      </c>
      <c r="BN31" s="889">
        <f t="shared" si="17"/>
        <v>215.33333333333334</v>
      </c>
      <c r="BO31" s="889">
        <f t="shared" si="17"/>
        <v>215.33333333333334</v>
      </c>
      <c r="BP31" s="889">
        <f t="shared" si="17"/>
        <v>215.33333333333334</v>
      </c>
      <c r="BQ31" s="889">
        <f t="shared" si="17"/>
        <v>215.33333333333334</v>
      </c>
      <c r="BR31" s="889">
        <f t="shared" si="17"/>
        <v>215.33333333333334</v>
      </c>
      <c r="BS31" s="889">
        <f t="shared" si="17"/>
        <v>215.33333333333334</v>
      </c>
      <c r="BT31" s="889">
        <f t="shared" ref="BT31:CM31" si="18">$D$31*BT14</f>
        <v>215.33333333333334</v>
      </c>
      <c r="BU31" s="889">
        <f t="shared" si="18"/>
        <v>215.33333333333334</v>
      </c>
      <c r="BV31" s="889">
        <f t="shared" si="18"/>
        <v>215.33333333333334</v>
      </c>
      <c r="BW31" s="889">
        <f t="shared" si="18"/>
        <v>215.33333333333334</v>
      </c>
      <c r="BX31" s="889">
        <f t="shared" si="18"/>
        <v>215.33333333333334</v>
      </c>
      <c r="BY31" s="889">
        <f t="shared" si="18"/>
        <v>215.33333333333334</v>
      </c>
      <c r="BZ31" s="889">
        <f t="shared" si="18"/>
        <v>215.33333333333334</v>
      </c>
      <c r="CA31" s="889">
        <f t="shared" si="18"/>
        <v>215.33333333333334</v>
      </c>
      <c r="CB31" s="889">
        <f t="shared" si="18"/>
        <v>215.33333333333334</v>
      </c>
      <c r="CC31" s="889">
        <f t="shared" si="18"/>
        <v>215.33333333333334</v>
      </c>
      <c r="CD31" s="889">
        <f t="shared" si="18"/>
        <v>215.33333333333334</v>
      </c>
      <c r="CE31" s="889">
        <f t="shared" si="18"/>
        <v>215.33333333333334</v>
      </c>
      <c r="CF31" s="889">
        <f t="shared" si="18"/>
        <v>215.33333333333334</v>
      </c>
      <c r="CG31" s="889">
        <f t="shared" si="18"/>
        <v>215.33333333333334</v>
      </c>
      <c r="CH31" s="889">
        <f t="shared" si="18"/>
        <v>215.33333333333334</v>
      </c>
      <c r="CI31" s="889">
        <f t="shared" si="18"/>
        <v>215.33333333333334</v>
      </c>
      <c r="CJ31" s="889">
        <f t="shared" si="18"/>
        <v>215.33333333333334</v>
      </c>
      <c r="CK31" s="889">
        <f t="shared" si="18"/>
        <v>215.33333333333334</v>
      </c>
      <c r="CL31" s="889">
        <f t="shared" si="18"/>
        <v>215.33333333333334</v>
      </c>
      <c r="CM31" s="889">
        <f t="shared" si="18"/>
        <v>215.33333333333334</v>
      </c>
      <c r="CN31" s="347"/>
      <c r="CO31" s="347"/>
      <c r="CP31" s="347"/>
      <c r="CQ31" s="347"/>
      <c r="CR31" s="347"/>
      <c r="CS31" s="347"/>
      <c r="CT31" s="347"/>
      <c r="CU31" s="347"/>
      <c r="CV31" s="347"/>
      <c r="CW31" s="347"/>
      <c r="CX31" s="347"/>
      <c r="CY31" s="347"/>
      <c r="CZ31" s="347"/>
      <c r="DA31" s="347"/>
      <c r="DB31" s="347"/>
      <c r="DC31" s="347"/>
      <c r="DD31" s="347"/>
      <c r="DE31" s="347"/>
      <c r="DF31" s="347"/>
      <c r="DG31" s="347"/>
      <c r="DH31" s="347"/>
      <c r="DI31" s="347"/>
      <c r="DJ31" s="347"/>
      <c r="DK31" s="347"/>
      <c r="DL31" s="347"/>
      <c r="DM31" s="347"/>
      <c r="DN31" s="347"/>
      <c r="DO31" s="347"/>
      <c r="DP31" s="347"/>
      <c r="DQ31" s="347"/>
      <c r="DR31" s="347"/>
      <c r="DS31" s="347"/>
      <c r="DT31" s="347"/>
      <c r="DU31" s="347"/>
      <c r="DV31" s="347"/>
      <c r="DW31" s="347"/>
      <c r="DX31" s="347"/>
      <c r="DY31" s="347"/>
      <c r="DZ31" s="347"/>
      <c r="EA31" s="347"/>
      <c r="EB31" s="347"/>
      <c r="EC31" s="347"/>
      <c r="ED31" s="347"/>
      <c r="EE31" s="347"/>
      <c r="EF31" s="347"/>
      <c r="EG31" s="347"/>
      <c r="EH31" s="347"/>
      <c r="EI31" s="347"/>
      <c r="EJ31" s="347"/>
      <c r="EK31" s="347"/>
      <c r="EL31" s="347"/>
      <c r="EM31" s="347"/>
      <c r="EN31" s="347"/>
      <c r="EO31" s="347"/>
      <c r="EP31" s="347"/>
      <c r="EQ31" s="347"/>
      <c r="ER31" s="347"/>
      <c r="ES31" s="347"/>
      <c r="ET31" s="347"/>
      <c r="EU31" s="347"/>
      <c r="EV31" s="347"/>
      <c r="EW31" s="347"/>
      <c r="EX31" s="347"/>
      <c r="EY31" s="347"/>
      <c r="EZ31" s="347"/>
      <c r="FA31" s="347"/>
      <c r="FB31" s="347"/>
      <c r="FC31" s="347"/>
      <c r="FD31" s="347"/>
      <c r="FE31" s="347"/>
      <c r="FF31" s="347"/>
      <c r="FG31" s="347"/>
      <c r="FH31" s="347"/>
      <c r="FI31" s="347"/>
      <c r="FJ31" s="347"/>
      <c r="FK31" s="347"/>
      <c r="FL31" s="347"/>
      <c r="FM31" s="347"/>
      <c r="FN31" s="347"/>
      <c r="FO31" s="347"/>
      <c r="FP31" s="347"/>
      <c r="FQ31" s="347"/>
      <c r="FR31" s="347"/>
      <c r="FS31" s="347"/>
      <c r="FT31" s="347"/>
      <c r="FU31" s="347"/>
      <c r="FV31" s="347"/>
    </row>
    <row r="32" spans="1:178">
      <c r="A32" s="1394"/>
      <c r="B32" s="811" t="s">
        <v>403</v>
      </c>
      <c r="C32" s="581" t="s">
        <v>402</v>
      </c>
      <c r="D32" s="581">
        <v>1.1900000000000001E-2</v>
      </c>
      <c r="E32" s="347"/>
      <c r="F32" s="888" t="s">
        <v>453</v>
      </c>
      <c r="G32" s="889">
        <f>$D$32*G15</f>
        <v>1597.575</v>
      </c>
      <c r="H32" s="889">
        <f t="shared" ref="H32:BS32" si="19">$D$32*H15</f>
        <v>1597.575</v>
      </c>
      <c r="I32" s="889">
        <f t="shared" si="19"/>
        <v>1597.575</v>
      </c>
      <c r="J32" s="889">
        <f t="shared" si="19"/>
        <v>1597.575</v>
      </c>
      <c r="K32" s="889">
        <f t="shared" si="19"/>
        <v>1597.575</v>
      </c>
      <c r="L32" s="889">
        <f t="shared" si="19"/>
        <v>1597.575</v>
      </c>
      <c r="M32" s="889">
        <f t="shared" si="19"/>
        <v>1597.575</v>
      </c>
      <c r="N32" s="889">
        <f t="shared" si="19"/>
        <v>1597.575</v>
      </c>
      <c r="O32" s="889">
        <f t="shared" si="19"/>
        <v>1597.575</v>
      </c>
      <c r="P32" s="889">
        <f t="shared" si="19"/>
        <v>1597.575</v>
      </c>
      <c r="Q32" s="889">
        <f t="shared" si="19"/>
        <v>1597.575</v>
      </c>
      <c r="R32" s="889">
        <f t="shared" si="19"/>
        <v>1597.575</v>
      </c>
      <c r="S32" s="889">
        <f t="shared" si="19"/>
        <v>1597.575</v>
      </c>
      <c r="T32" s="889">
        <f t="shared" si="19"/>
        <v>1597.575</v>
      </c>
      <c r="U32" s="889">
        <f t="shared" si="19"/>
        <v>1597.575</v>
      </c>
      <c r="V32" s="889">
        <f t="shared" si="19"/>
        <v>1597.575</v>
      </c>
      <c r="W32" s="889">
        <f t="shared" si="19"/>
        <v>1597.575</v>
      </c>
      <c r="X32" s="889">
        <f t="shared" si="19"/>
        <v>1597.575</v>
      </c>
      <c r="Y32" s="889">
        <f t="shared" si="19"/>
        <v>1597.575</v>
      </c>
      <c r="Z32" s="889">
        <f t="shared" si="19"/>
        <v>1597.575</v>
      </c>
      <c r="AA32" s="889">
        <f t="shared" si="19"/>
        <v>1597.575</v>
      </c>
      <c r="AB32" s="889">
        <f t="shared" si="19"/>
        <v>1597.575</v>
      </c>
      <c r="AC32" s="889">
        <f t="shared" si="19"/>
        <v>1597.575</v>
      </c>
      <c r="AD32" s="889">
        <f t="shared" si="19"/>
        <v>1597.575</v>
      </c>
      <c r="AE32" s="889">
        <f t="shared" si="19"/>
        <v>1597.575</v>
      </c>
      <c r="AF32" s="889">
        <f t="shared" si="19"/>
        <v>1597.575</v>
      </c>
      <c r="AG32" s="889">
        <f t="shared" si="19"/>
        <v>1597.575</v>
      </c>
      <c r="AH32" s="889">
        <f t="shared" si="19"/>
        <v>1597.575</v>
      </c>
      <c r="AI32" s="889">
        <f t="shared" si="19"/>
        <v>1597.575</v>
      </c>
      <c r="AJ32" s="889">
        <f t="shared" si="19"/>
        <v>1597.575</v>
      </c>
      <c r="AK32" s="889">
        <f t="shared" si="19"/>
        <v>1597.575</v>
      </c>
      <c r="AL32" s="889">
        <f t="shared" si="19"/>
        <v>1597.575</v>
      </c>
      <c r="AM32" s="889">
        <f t="shared" si="19"/>
        <v>1597.575</v>
      </c>
      <c r="AN32" s="889">
        <f t="shared" si="19"/>
        <v>1597.575</v>
      </c>
      <c r="AO32" s="889">
        <f t="shared" si="19"/>
        <v>1597.575</v>
      </c>
      <c r="AP32" s="889">
        <f t="shared" si="19"/>
        <v>1597.575</v>
      </c>
      <c r="AQ32" s="889">
        <f t="shared" si="19"/>
        <v>1597.575</v>
      </c>
      <c r="AR32" s="889">
        <f t="shared" si="19"/>
        <v>1597.575</v>
      </c>
      <c r="AS32" s="889">
        <f t="shared" si="19"/>
        <v>1597.575</v>
      </c>
      <c r="AT32" s="889">
        <f t="shared" si="19"/>
        <v>1597.575</v>
      </c>
      <c r="AU32" s="889">
        <f t="shared" si="19"/>
        <v>1597.575</v>
      </c>
      <c r="AV32" s="889">
        <f t="shared" si="19"/>
        <v>1597.575</v>
      </c>
      <c r="AW32" s="889">
        <f t="shared" si="19"/>
        <v>1597.575</v>
      </c>
      <c r="AX32" s="889">
        <f t="shared" si="19"/>
        <v>1597.575</v>
      </c>
      <c r="AY32" s="889">
        <f t="shared" si="19"/>
        <v>1597.575</v>
      </c>
      <c r="AZ32" s="889">
        <f t="shared" si="19"/>
        <v>1597.575</v>
      </c>
      <c r="BA32" s="889">
        <f t="shared" si="19"/>
        <v>1597.575</v>
      </c>
      <c r="BB32" s="889">
        <f t="shared" si="19"/>
        <v>1597.575</v>
      </c>
      <c r="BC32" s="889">
        <f t="shared" si="19"/>
        <v>1597.575</v>
      </c>
      <c r="BD32" s="889">
        <f t="shared" si="19"/>
        <v>1597.575</v>
      </c>
      <c r="BE32" s="889">
        <f t="shared" si="19"/>
        <v>1597.575</v>
      </c>
      <c r="BF32" s="889">
        <f t="shared" si="19"/>
        <v>1597.575</v>
      </c>
      <c r="BG32" s="889">
        <f t="shared" si="19"/>
        <v>1597.575</v>
      </c>
      <c r="BH32" s="889">
        <f t="shared" si="19"/>
        <v>1597.575</v>
      </c>
      <c r="BI32" s="889">
        <f t="shared" si="19"/>
        <v>1597.575</v>
      </c>
      <c r="BJ32" s="889">
        <f t="shared" si="19"/>
        <v>1597.575</v>
      </c>
      <c r="BK32" s="889">
        <f t="shared" si="19"/>
        <v>1597.575</v>
      </c>
      <c r="BL32" s="889">
        <f t="shared" si="19"/>
        <v>1597.575</v>
      </c>
      <c r="BM32" s="889">
        <f t="shared" si="19"/>
        <v>1597.575</v>
      </c>
      <c r="BN32" s="889">
        <f t="shared" si="19"/>
        <v>1597.575</v>
      </c>
      <c r="BO32" s="889">
        <f t="shared" si="19"/>
        <v>1597.575</v>
      </c>
      <c r="BP32" s="889">
        <f t="shared" si="19"/>
        <v>1597.575</v>
      </c>
      <c r="BQ32" s="889">
        <f t="shared" si="19"/>
        <v>1597.575</v>
      </c>
      <c r="BR32" s="889">
        <f t="shared" si="19"/>
        <v>1597.575</v>
      </c>
      <c r="BS32" s="889">
        <f t="shared" si="19"/>
        <v>1597.575</v>
      </c>
      <c r="BT32" s="889">
        <f t="shared" ref="BT32:CM32" si="20">$D$32*BT15</f>
        <v>1597.575</v>
      </c>
      <c r="BU32" s="889">
        <f t="shared" si="20"/>
        <v>1597.575</v>
      </c>
      <c r="BV32" s="889">
        <f t="shared" si="20"/>
        <v>1597.575</v>
      </c>
      <c r="BW32" s="889">
        <f t="shared" si="20"/>
        <v>1597.575</v>
      </c>
      <c r="BX32" s="889">
        <f t="shared" si="20"/>
        <v>1597.575</v>
      </c>
      <c r="BY32" s="889">
        <f t="shared" si="20"/>
        <v>1597.575</v>
      </c>
      <c r="BZ32" s="889">
        <f t="shared" si="20"/>
        <v>1597.575</v>
      </c>
      <c r="CA32" s="889">
        <f t="shared" si="20"/>
        <v>1597.575</v>
      </c>
      <c r="CB32" s="889">
        <f t="shared" si="20"/>
        <v>1597.575</v>
      </c>
      <c r="CC32" s="889">
        <f t="shared" si="20"/>
        <v>1597.575</v>
      </c>
      <c r="CD32" s="889">
        <f t="shared" si="20"/>
        <v>1597.575</v>
      </c>
      <c r="CE32" s="889">
        <f t="shared" si="20"/>
        <v>1597.575</v>
      </c>
      <c r="CF32" s="889">
        <f t="shared" si="20"/>
        <v>1597.575</v>
      </c>
      <c r="CG32" s="889">
        <f t="shared" si="20"/>
        <v>1597.575</v>
      </c>
      <c r="CH32" s="889">
        <f t="shared" si="20"/>
        <v>1597.575</v>
      </c>
      <c r="CI32" s="889">
        <f t="shared" si="20"/>
        <v>1597.575</v>
      </c>
      <c r="CJ32" s="889">
        <f t="shared" si="20"/>
        <v>1597.575</v>
      </c>
      <c r="CK32" s="889">
        <f t="shared" si="20"/>
        <v>1597.575</v>
      </c>
      <c r="CL32" s="889">
        <f t="shared" si="20"/>
        <v>1597.575</v>
      </c>
      <c r="CM32" s="889">
        <f t="shared" si="20"/>
        <v>1597.575</v>
      </c>
      <c r="CN32" s="347"/>
      <c r="CO32" s="347"/>
      <c r="CP32" s="347"/>
      <c r="CQ32" s="347"/>
      <c r="CR32" s="347"/>
      <c r="CS32" s="347"/>
      <c r="CT32" s="347"/>
      <c r="CU32" s="347"/>
      <c r="CV32" s="347"/>
      <c r="CW32" s="347"/>
      <c r="CX32" s="347"/>
      <c r="CY32" s="347"/>
      <c r="CZ32" s="347"/>
      <c r="DA32" s="347"/>
      <c r="DB32" s="347"/>
      <c r="DC32" s="347"/>
      <c r="DD32" s="347"/>
      <c r="DE32" s="347"/>
      <c r="DF32" s="347"/>
      <c r="DG32" s="347"/>
      <c r="DH32" s="347"/>
      <c r="DI32" s="347"/>
      <c r="DJ32" s="347"/>
      <c r="DK32" s="347"/>
      <c r="DL32" s="347"/>
      <c r="DM32" s="347"/>
      <c r="DN32" s="347"/>
      <c r="DO32" s="347"/>
      <c r="DP32" s="347"/>
      <c r="DQ32" s="347"/>
      <c r="DR32" s="347"/>
      <c r="DS32" s="347"/>
      <c r="DT32" s="347"/>
      <c r="DU32" s="347"/>
      <c r="DV32" s="347"/>
      <c r="DW32" s="347"/>
      <c r="DX32" s="347"/>
      <c r="DY32" s="347"/>
      <c r="DZ32" s="347"/>
      <c r="EA32" s="347"/>
      <c r="EB32" s="347"/>
      <c r="EC32" s="347"/>
      <c r="ED32" s="347"/>
      <c r="EE32" s="347"/>
      <c r="EF32" s="347"/>
      <c r="EG32" s="347"/>
      <c r="EH32" s="347"/>
      <c r="EI32" s="347"/>
      <c r="EJ32" s="347"/>
      <c r="EK32" s="347"/>
      <c r="EL32" s="347"/>
      <c r="EM32" s="347"/>
      <c r="EN32" s="347"/>
      <c r="EO32" s="347"/>
      <c r="EP32" s="347"/>
      <c r="EQ32" s="347"/>
      <c r="ER32" s="347"/>
      <c r="ES32" s="347"/>
      <c r="ET32" s="347"/>
      <c r="EU32" s="347"/>
      <c r="EV32" s="347"/>
      <c r="EW32" s="347"/>
      <c r="EX32" s="347"/>
      <c r="EY32" s="347"/>
      <c r="EZ32" s="347"/>
      <c r="FA32" s="347"/>
      <c r="FB32" s="347"/>
      <c r="FC32" s="347"/>
      <c r="FD32" s="347"/>
      <c r="FE32" s="347"/>
      <c r="FF32" s="347"/>
      <c r="FG32" s="347"/>
      <c r="FH32" s="347"/>
      <c r="FI32" s="347"/>
      <c r="FJ32" s="347"/>
      <c r="FK32" s="347"/>
      <c r="FL32" s="347"/>
      <c r="FM32" s="347"/>
      <c r="FN32" s="347"/>
      <c r="FO32" s="347"/>
      <c r="FP32" s="347"/>
      <c r="FQ32" s="347"/>
      <c r="FR32" s="347"/>
      <c r="FS32" s="347"/>
      <c r="FT32" s="347"/>
      <c r="FU32" s="347"/>
      <c r="FV32" s="347"/>
    </row>
    <row r="33" spans="1:179">
      <c r="A33" s="1395"/>
      <c r="B33" s="859" t="s">
        <v>403</v>
      </c>
      <c r="C33" s="860" t="s">
        <v>402</v>
      </c>
      <c r="D33" s="890">
        <f>1.50375/1000</f>
        <v>1.5037499999999999E-3</v>
      </c>
      <c r="E33" s="861"/>
      <c r="F33" s="891" t="s">
        <v>454</v>
      </c>
      <c r="G33" s="892">
        <v>166.44858374999998</v>
      </c>
      <c r="H33" s="892">
        <v>166.44858374999998</v>
      </c>
      <c r="I33" s="892">
        <v>166.44858374999998</v>
      </c>
      <c r="J33" s="892">
        <v>166.44858374999998</v>
      </c>
      <c r="K33" s="892">
        <v>166.44858374999998</v>
      </c>
      <c r="L33" s="892">
        <v>166.44858374999998</v>
      </c>
      <c r="M33" s="892">
        <v>166.44858374999998</v>
      </c>
      <c r="N33" s="892">
        <v>166.44858374999998</v>
      </c>
      <c r="O33" s="892">
        <v>166.44858374999998</v>
      </c>
      <c r="P33" s="892">
        <v>166.44858374999998</v>
      </c>
      <c r="Q33" s="892">
        <v>166.44858374999998</v>
      </c>
      <c r="R33" s="892">
        <v>166.44858374999998</v>
      </c>
      <c r="S33" s="892">
        <v>166.44858374999998</v>
      </c>
      <c r="T33" s="892">
        <f t="shared" ref="T33:AS33" si="21">T16*$D$33</f>
        <v>168.8751122064559</v>
      </c>
      <c r="U33" s="892">
        <f t="shared" si="21"/>
        <v>168.8751122064559</v>
      </c>
      <c r="V33" s="892">
        <f t="shared" si="21"/>
        <v>168.8751122064559</v>
      </c>
      <c r="W33" s="892">
        <f t="shared" si="21"/>
        <v>168.8751122064559</v>
      </c>
      <c r="X33" s="892">
        <f t="shared" si="21"/>
        <v>168.8751122064559</v>
      </c>
      <c r="Y33" s="892">
        <f t="shared" si="21"/>
        <v>168.8751122064559</v>
      </c>
      <c r="Z33" s="892">
        <f t="shared" si="21"/>
        <v>168.8751122064559</v>
      </c>
      <c r="AA33" s="892">
        <f t="shared" si="21"/>
        <v>168.8751122064559</v>
      </c>
      <c r="AB33" s="892">
        <f t="shared" si="21"/>
        <v>168.8751122064559</v>
      </c>
      <c r="AC33" s="892">
        <f t="shared" si="21"/>
        <v>168.8751122064559</v>
      </c>
      <c r="AD33" s="892">
        <f t="shared" si="21"/>
        <v>168.8751122064559</v>
      </c>
      <c r="AE33" s="892">
        <f t="shared" si="21"/>
        <v>168.8751122064559</v>
      </c>
      <c r="AF33" s="892">
        <f t="shared" si="21"/>
        <v>168.8751122064559</v>
      </c>
      <c r="AG33" s="892">
        <f t="shared" si="21"/>
        <v>168.8751122064559</v>
      </c>
      <c r="AH33" s="892">
        <f t="shared" si="21"/>
        <v>168.8751122064559</v>
      </c>
      <c r="AI33" s="892">
        <f t="shared" si="21"/>
        <v>168.8751122064559</v>
      </c>
      <c r="AJ33" s="892">
        <f t="shared" si="21"/>
        <v>168.8751122064559</v>
      </c>
      <c r="AK33" s="892">
        <f t="shared" si="21"/>
        <v>168.8751122064559</v>
      </c>
      <c r="AL33" s="892">
        <f t="shared" si="21"/>
        <v>168.8751122064559</v>
      </c>
      <c r="AM33" s="892">
        <f t="shared" si="21"/>
        <v>168.8751122064559</v>
      </c>
      <c r="AN33" s="892">
        <f t="shared" si="21"/>
        <v>168.8751122064559</v>
      </c>
      <c r="AO33" s="892">
        <f t="shared" si="21"/>
        <v>168.8751122064559</v>
      </c>
      <c r="AP33" s="892">
        <f t="shared" si="21"/>
        <v>168.8751122064559</v>
      </c>
      <c r="AQ33" s="892">
        <f t="shared" si="21"/>
        <v>168.8751122064559</v>
      </c>
      <c r="AR33" s="892">
        <f t="shared" si="21"/>
        <v>168.8751122064559</v>
      </c>
      <c r="AS33" s="892">
        <f t="shared" si="21"/>
        <v>168.8751122064559</v>
      </c>
      <c r="AT33" s="892">
        <f>AT16*$D$33</f>
        <v>168.8751122064559</v>
      </c>
      <c r="AU33" s="893">
        <f t="shared" ref="AU33:CL33" si="22">AU16*$D$33</f>
        <v>168.8751122064559</v>
      </c>
      <c r="AV33" s="893">
        <f t="shared" si="22"/>
        <v>168.8751122064559</v>
      </c>
      <c r="AW33" s="893">
        <f t="shared" si="22"/>
        <v>168.8751122064559</v>
      </c>
      <c r="AX33" s="893">
        <f t="shared" si="22"/>
        <v>168.8751122064559</v>
      </c>
      <c r="AY33" s="893">
        <f t="shared" si="22"/>
        <v>168.8751122064559</v>
      </c>
      <c r="AZ33" s="893">
        <f t="shared" si="22"/>
        <v>168.8751122064559</v>
      </c>
      <c r="BA33" s="893">
        <f t="shared" si="22"/>
        <v>168.8751122064559</v>
      </c>
      <c r="BB33" s="893">
        <f t="shared" si="22"/>
        <v>168.8751122064559</v>
      </c>
      <c r="BC33" s="893">
        <f t="shared" si="22"/>
        <v>168.8751122064559</v>
      </c>
      <c r="BD33" s="893">
        <f t="shared" si="22"/>
        <v>168.8751122064559</v>
      </c>
      <c r="BE33" s="893">
        <f t="shared" si="22"/>
        <v>168.8751122064559</v>
      </c>
      <c r="BF33" s="893">
        <f t="shared" si="22"/>
        <v>168.8751122064559</v>
      </c>
      <c r="BG33" s="893">
        <f t="shared" si="22"/>
        <v>168.8751122064559</v>
      </c>
      <c r="BH33" s="893">
        <f t="shared" si="22"/>
        <v>168.8751122064559</v>
      </c>
      <c r="BI33" s="893">
        <f t="shared" si="22"/>
        <v>168.8751122064559</v>
      </c>
      <c r="BJ33" s="893">
        <f t="shared" si="22"/>
        <v>168.8751122064559</v>
      </c>
      <c r="BK33" s="893">
        <f t="shared" si="22"/>
        <v>168.8751122064559</v>
      </c>
      <c r="BL33" s="893">
        <f t="shared" si="22"/>
        <v>168.8751122064559</v>
      </c>
      <c r="BM33" s="893">
        <f t="shared" si="22"/>
        <v>168.8751122064559</v>
      </c>
      <c r="BN33" s="893">
        <f t="shared" si="22"/>
        <v>168.8751122064559</v>
      </c>
      <c r="BO33" s="893">
        <f t="shared" si="22"/>
        <v>168.8751122064559</v>
      </c>
      <c r="BP33" s="893">
        <f t="shared" si="22"/>
        <v>168.8751122064559</v>
      </c>
      <c r="BQ33" s="893">
        <f t="shared" si="22"/>
        <v>168.8751122064559</v>
      </c>
      <c r="BR33" s="893">
        <f t="shared" si="22"/>
        <v>168.8751122064559</v>
      </c>
      <c r="BS33" s="893">
        <f t="shared" si="22"/>
        <v>168.8751122064559</v>
      </c>
      <c r="BT33" s="893">
        <f t="shared" si="22"/>
        <v>168.8751122064559</v>
      </c>
      <c r="BU33" s="893">
        <f t="shared" si="22"/>
        <v>168.8751122064559</v>
      </c>
      <c r="BV33" s="893">
        <f t="shared" si="22"/>
        <v>168.8751122064559</v>
      </c>
      <c r="BW33" s="893">
        <f t="shared" si="22"/>
        <v>168.8751122064559</v>
      </c>
      <c r="BX33" s="893">
        <f t="shared" si="22"/>
        <v>168.8751122064559</v>
      </c>
      <c r="BY33" s="893">
        <f t="shared" si="22"/>
        <v>168.8751122064559</v>
      </c>
      <c r="BZ33" s="893">
        <f t="shared" si="22"/>
        <v>168.8751122064559</v>
      </c>
      <c r="CA33" s="893">
        <f t="shared" si="22"/>
        <v>168.8751122064559</v>
      </c>
      <c r="CB33" s="893">
        <f t="shared" si="22"/>
        <v>168.8751122064559</v>
      </c>
      <c r="CC33" s="893">
        <f t="shared" si="22"/>
        <v>168.8751122064559</v>
      </c>
      <c r="CD33" s="893">
        <f t="shared" si="22"/>
        <v>168.8751122064559</v>
      </c>
      <c r="CE33" s="893">
        <f t="shared" si="22"/>
        <v>168.8751122064559</v>
      </c>
      <c r="CF33" s="893">
        <f t="shared" si="22"/>
        <v>168.8751122064559</v>
      </c>
      <c r="CG33" s="893">
        <f t="shared" si="22"/>
        <v>168.8751122064559</v>
      </c>
      <c r="CH33" s="893">
        <f t="shared" si="22"/>
        <v>168.8751122064559</v>
      </c>
      <c r="CI33" s="893">
        <f t="shared" si="22"/>
        <v>168.8751122064559</v>
      </c>
      <c r="CJ33" s="893">
        <f t="shared" si="22"/>
        <v>168.8751122064559</v>
      </c>
      <c r="CK33" s="893">
        <f t="shared" si="22"/>
        <v>168.8751122064559</v>
      </c>
      <c r="CL33" s="894">
        <f t="shared" si="22"/>
        <v>168.8751122064559</v>
      </c>
      <c r="CM33" s="854">
        <f t="shared" ref="CM33:CM57" si="23">AVERAGE(G33:CL33)</f>
        <v>168.49957804057544</v>
      </c>
      <c r="CN33" s="347"/>
      <c r="CO33" s="895">
        <v>41883</v>
      </c>
      <c r="CP33" s="895">
        <v>41913</v>
      </c>
      <c r="CQ33" s="895">
        <v>41944</v>
      </c>
      <c r="CR33" s="895">
        <v>41974</v>
      </c>
      <c r="CS33" s="895">
        <v>42005</v>
      </c>
      <c r="CT33" s="895">
        <v>42036</v>
      </c>
      <c r="CU33" s="895">
        <v>42064</v>
      </c>
      <c r="CV33" s="895">
        <v>42095</v>
      </c>
      <c r="CW33" s="895">
        <v>42125</v>
      </c>
      <c r="CX33" s="895">
        <v>42156</v>
      </c>
      <c r="CY33" s="895">
        <v>42186</v>
      </c>
      <c r="CZ33" s="895">
        <v>42217</v>
      </c>
      <c r="DA33" s="895">
        <v>42248</v>
      </c>
      <c r="DB33" s="895">
        <v>42278</v>
      </c>
      <c r="DC33" s="895">
        <v>42309</v>
      </c>
      <c r="DD33" s="895">
        <v>42339</v>
      </c>
      <c r="DE33" s="895">
        <v>42370</v>
      </c>
      <c r="DF33" s="895">
        <v>42401</v>
      </c>
      <c r="DG33" s="895">
        <v>42430</v>
      </c>
      <c r="DH33" s="895">
        <v>42461</v>
      </c>
      <c r="DI33" s="895">
        <v>42491</v>
      </c>
      <c r="DJ33" s="895">
        <v>42522</v>
      </c>
      <c r="DK33" s="895">
        <v>42552</v>
      </c>
      <c r="DL33" s="895">
        <v>42583</v>
      </c>
      <c r="DM33" s="895">
        <v>42614</v>
      </c>
      <c r="DN33" s="895">
        <v>42644</v>
      </c>
      <c r="DO33" s="895">
        <v>42675</v>
      </c>
      <c r="DP33" s="895">
        <v>42705</v>
      </c>
      <c r="DQ33" s="895">
        <v>42736</v>
      </c>
      <c r="DR33" s="895">
        <v>42767</v>
      </c>
      <c r="DS33" s="895">
        <v>42795</v>
      </c>
      <c r="DT33" s="895">
        <v>42826</v>
      </c>
      <c r="DU33" s="895">
        <v>42856</v>
      </c>
      <c r="DV33" s="895">
        <v>42887</v>
      </c>
      <c r="DW33" s="895">
        <v>42917</v>
      </c>
      <c r="DX33" s="895">
        <v>42948</v>
      </c>
      <c r="DY33" s="895">
        <v>42979</v>
      </c>
      <c r="DZ33" s="895">
        <v>43009</v>
      </c>
      <c r="EA33" s="895">
        <v>43040</v>
      </c>
      <c r="EB33" s="895">
        <v>43070</v>
      </c>
      <c r="EC33" s="895">
        <v>43101</v>
      </c>
      <c r="ED33" s="895">
        <v>43132</v>
      </c>
      <c r="EE33" s="895">
        <v>43160</v>
      </c>
      <c r="EF33" s="895">
        <v>43191</v>
      </c>
      <c r="EG33" s="895">
        <v>43221</v>
      </c>
      <c r="EH33" s="895">
        <v>43252</v>
      </c>
      <c r="EI33" s="895">
        <v>43282</v>
      </c>
      <c r="EJ33" s="895">
        <v>43313</v>
      </c>
      <c r="EK33" s="895">
        <v>43344</v>
      </c>
      <c r="EL33" s="895">
        <v>43374</v>
      </c>
      <c r="EM33" s="895">
        <v>43405</v>
      </c>
      <c r="EN33" s="895">
        <v>43435</v>
      </c>
      <c r="EO33" s="895">
        <v>43466</v>
      </c>
      <c r="EP33" s="895">
        <v>43497</v>
      </c>
      <c r="EQ33" s="895">
        <v>43525</v>
      </c>
      <c r="ER33" s="895">
        <v>43556</v>
      </c>
      <c r="ES33" s="895">
        <v>43586</v>
      </c>
      <c r="ET33" s="895">
        <v>43617</v>
      </c>
      <c r="EU33" s="895">
        <v>43647</v>
      </c>
      <c r="EV33" s="895">
        <v>43678</v>
      </c>
      <c r="EW33" s="895">
        <v>43709</v>
      </c>
      <c r="EX33" s="895">
        <v>43739</v>
      </c>
      <c r="EY33" s="895">
        <v>43770</v>
      </c>
      <c r="EZ33" s="895">
        <v>43800</v>
      </c>
      <c r="FA33" s="895">
        <v>43831</v>
      </c>
      <c r="FB33" s="895">
        <v>43862</v>
      </c>
      <c r="FC33" s="895">
        <v>43891</v>
      </c>
      <c r="FD33" s="895">
        <v>43922</v>
      </c>
      <c r="FE33" s="895">
        <v>43952</v>
      </c>
      <c r="FF33" s="895">
        <v>43983</v>
      </c>
      <c r="FG33" s="895">
        <v>44013</v>
      </c>
      <c r="FH33" s="895">
        <v>44044</v>
      </c>
      <c r="FI33" s="895">
        <v>44075</v>
      </c>
      <c r="FJ33" s="895">
        <v>44105</v>
      </c>
      <c r="FK33" s="895">
        <v>44136</v>
      </c>
      <c r="FL33" s="895">
        <v>44166</v>
      </c>
      <c r="FM33" s="895">
        <v>44197</v>
      </c>
      <c r="FN33" s="895">
        <v>44228</v>
      </c>
      <c r="FO33" s="895">
        <v>44256</v>
      </c>
      <c r="FP33" s="895">
        <v>44287</v>
      </c>
      <c r="FQ33" s="895">
        <v>44317</v>
      </c>
      <c r="FR33" s="895">
        <v>44348</v>
      </c>
      <c r="FS33" s="895">
        <v>44378</v>
      </c>
      <c r="FT33" s="895">
        <v>44409</v>
      </c>
      <c r="FU33" s="895">
        <v>44440</v>
      </c>
      <c r="FV33" s="601"/>
    </row>
    <row r="34" spans="1:179" ht="15" customHeight="1">
      <c r="A34" s="1396" t="s">
        <v>111</v>
      </c>
      <c r="B34" s="876" t="s">
        <v>399</v>
      </c>
      <c r="C34" s="877" t="s">
        <v>402</v>
      </c>
      <c r="D34" s="877">
        <v>1.61</v>
      </c>
      <c r="E34" s="1398" t="s">
        <v>449</v>
      </c>
      <c r="F34" s="896" t="s">
        <v>148</v>
      </c>
      <c r="G34" s="897">
        <f t="shared" ref="G34:R34" si="24">$D$34*G16</f>
        <v>180807.26892927283</v>
      </c>
      <c r="H34" s="897">
        <f t="shared" si="24"/>
        <v>180807.26892927283</v>
      </c>
      <c r="I34" s="897">
        <f t="shared" si="24"/>
        <v>180807.26892927283</v>
      </c>
      <c r="J34" s="897">
        <f t="shared" si="24"/>
        <v>180807.26892927283</v>
      </c>
      <c r="K34" s="897">
        <f t="shared" si="24"/>
        <v>180807.26892927283</v>
      </c>
      <c r="L34" s="897">
        <f t="shared" si="24"/>
        <v>180807.26892927283</v>
      </c>
      <c r="M34" s="897">
        <f t="shared" si="24"/>
        <v>180807.26892927283</v>
      </c>
      <c r="N34" s="897">
        <f t="shared" si="24"/>
        <v>180807.26892927283</v>
      </c>
      <c r="O34" s="897">
        <f t="shared" si="24"/>
        <v>180807.26892927283</v>
      </c>
      <c r="P34" s="897">
        <f t="shared" si="24"/>
        <v>180807.26892927283</v>
      </c>
      <c r="Q34" s="897">
        <f t="shared" si="24"/>
        <v>180807.26892927283</v>
      </c>
      <c r="R34" s="897">
        <f t="shared" si="24"/>
        <v>180807.26892927283</v>
      </c>
      <c r="S34" s="897">
        <f>$D$34*S16</f>
        <v>180807.26892927283</v>
      </c>
      <c r="T34" s="897">
        <f t="shared" ref="T34:CE34" si="25">$D$34*T16</f>
        <v>180807.26892927283</v>
      </c>
      <c r="U34" s="897">
        <f t="shared" si="25"/>
        <v>180807.26892927283</v>
      </c>
      <c r="V34" s="897">
        <f t="shared" si="25"/>
        <v>180807.26892927283</v>
      </c>
      <c r="W34" s="897">
        <f t="shared" si="25"/>
        <v>180807.26892927283</v>
      </c>
      <c r="X34" s="897">
        <f t="shared" si="25"/>
        <v>180807.26892927283</v>
      </c>
      <c r="Y34" s="897">
        <f t="shared" si="25"/>
        <v>180807.26892927283</v>
      </c>
      <c r="Z34" s="897">
        <f t="shared" si="25"/>
        <v>180807.26892927283</v>
      </c>
      <c r="AA34" s="897">
        <f t="shared" si="25"/>
        <v>180807.26892927283</v>
      </c>
      <c r="AB34" s="897">
        <f t="shared" si="25"/>
        <v>180807.26892927283</v>
      </c>
      <c r="AC34" s="897">
        <f t="shared" si="25"/>
        <v>180807.26892927283</v>
      </c>
      <c r="AD34" s="897">
        <f t="shared" si="25"/>
        <v>180807.26892927283</v>
      </c>
      <c r="AE34" s="897">
        <f t="shared" si="25"/>
        <v>180807.26892927283</v>
      </c>
      <c r="AF34" s="897">
        <f t="shared" si="25"/>
        <v>180807.26892927283</v>
      </c>
      <c r="AG34" s="897">
        <f t="shared" si="25"/>
        <v>180807.26892927283</v>
      </c>
      <c r="AH34" s="897">
        <f t="shared" si="25"/>
        <v>180807.26892927283</v>
      </c>
      <c r="AI34" s="897">
        <f t="shared" si="25"/>
        <v>180807.26892927283</v>
      </c>
      <c r="AJ34" s="897">
        <f t="shared" si="25"/>
        <v>180807.26892927283</v>
      </c>
      <c r="AK34" s="897">
        <f t="shared" si="25"/>
        <v>180807.26892927283</v>
      </c>
      <c r="AL34" s="897">
        <f t="shared" si="25"/>
        <v>180807.26892927283</v>
      </c>
      <c r="AM34" s="897">
        <f t="shared" si="25"/>
        <v>180807.26892927283</v>
      </c>
      <c r="AN34" s="897">
        <f t="shared" si="25"/>
        <v>180807.26892927283</v>
      </c>
      <c r="AO34" s="897">
        <f t="shared" si="25"/>
        <v>180807.26892927283</v>
      </c>
      <c r="AP34" s="897">
        <f t="shared" si="25"/>
        <v>180807.26892927283</v>
      </c>
      <c r="AQ34" s="897">
        <f t="shared" si="25"/>
        <v>180807.26892927283</v>
      </c>
      <c r="AR34" s="897">
        <f t="shared" si="25"/>
        <v>180807.26892927283</v>
      </c>
      <c r="AS34" s="897">
        <f t="shared" si="25"/>
        <v>180807.26892927283</v>
      </c>
      <c r="AT34" s="897">
        <f t="shared" si="25"/>
        <v>180807.26892927283</v>
      </c>
      <c r="AU34" s="898">
        <f t="shared" si="25"/>
        <v>180807.26892927283</v>
      </c>
      <c r="AV34" s="898">
        <f t="shared" si="25"/>
        <v>180807.26892927283</v>
      </c>
      <c r="AW34" s="898">
        <f t="shared" si="25"/>
        <v>180807.26892927283</v>
      </c>
      <c r="AX34" s="898">
        <f t="shared" si="25"/>
        <v>180807.26892927283</v>
      </c>
      <c r="AY34" s="898">
        <f t="shared" si="25"/>
        <v>180807.26892927283</v>
      </c>
      <c r="AZ34" s="898">
        <f t="shared" si="25"/>
        <v>180807.26892927283</v>
      </c>
      <c r="BA34" s="898">
        <f t="shared" si="25"/>
        <v>180807.26892927283</v>
      </c>
      <c r="BB34" s="898">
        <f t="shared" si="25"/>
        <v>180807.26892927283</v>
      </c>
      <c r="BC34" s="898">
        <f t="shared" si="25"/>
        <v>180807.26892927283</v>
      </c>
      <c r="BD34" s="898">
        <f t="shared" si="25"/>
        <v>180807.26892927283</v>
      </c>
      <c r="BE34" s="898">
        <f t="shared" si="25"/>
        <v>180807.26892927283</v>
      </c>
      <c r="BF34" s="898">
        <f t="shared" si="25"/>
        <v>180807.26892927283</v>
      </c>
      <c r="BG34" s="898">
        <f t="shared" si="25"/>
        <v>180807.26892927283</v>
      </c>
      <c r="BH34" s="898">
        <f t="shared" si="25"/>
        <v>180807.26892927283</v>
      </c>
      <c r="BI34" s="898">
        <f t="shared" si="25"/>
        <v>180807.26892927283</v>
      </c>
      <c r="BJ34" s="898">
        <f t="shared" si="25"/>
        <v>180807.26892927283</v>
      </c>
      <c r="BK34" s="898">
        <f t="shared" si="25"/>
        <v>180807.26892927283</v>
      </c>
      <c r="BL34" s="898">
        <f t="shared" si="25"/>
        <v>180807.26892927283</v>
      </c>
      <c r="BM34" s="898">
        <f t="shared" si="25"/>
        <v>180807.26892927283</v>
      </c>
      <c r="BN34" s="898">
        <f t="shared" si="25"/>
        <v>180807.26892927283</v>
      </c>
      <c r="BO34" s="898">
        <f t="shared" si="25"/>
        <v>180807.26892927283</v>
      </c>
      <c r="BP34" s="898">
        <f t="shared" si="25"/>
        <v>180807.26892927283</v>
      </c>
      <c r="BQ34" s="898">
        <f t="shared" si="25"/>
        <v>180807.26892927283</v>
      </c>
      <c r="BR34" s="898">
        <f t="shared" si="25"/>
        <v>180807.26892927283</v>
      </c>
      <c r="BS34" s="898">
        <f t="shared" si="25"/>
        <v>180807.26892927283</v>
      </c>
      <c r="BT34" s="898">
        <f t="shared" si="25"/>
        <v>180807.26892927283</v>
      </c>
      <c r="BU34" s="898">
        <f t="shared" si="25"/>
        <v>180807.26892927283</v>
      </c>
      <c r="BV34" s="898">
        <f t="shared" si="25"/>
        <v>180807.26892927283</v>
      </c>
      <c r="BW34" s="898">
        <f t="shared" si="25"/>
        <v>180807.26892927283</v>
      </c>
      <c r="BX34" s="898">
        <f t="shared" si="25"/>
        <v>180807.26892927283</v>
      </c>
      <c r="BY34" s="898">
        <f t="shared" si="25"/>
        <v>180807.26892927283</v>
      </c>
      <c r="BZ34" s="898">
        <f t="shared" si="25"/>
        <v>180807.26892927283</v>
      </c>
      <c r="CA34" s="898">
        <f t="shared" si="25"/>
        <v>180807.26892927283</v>
      </c>
      <c r="CB34" s="898">
        <f t="shared" si="25"/>
        <v>180807.26892927283</v>
      </c>
      <c r="CC34" s="898">
        <f t="shared" si="25"/>
        <v>180807.26892927283</v>
      </c>
      <c r="CD34" s="898">
        <f t="shared" si="25"/>
        <v>180807.26892927283</v>
      </c>
      <c r="CE34" s="898">
        <f t="shared" si="25"/>
        <v>180807.26892927283</v>
      </c>
      <c r="CF34" s="898">
        <f t="shared" ref="CF34:CL34" si="26">$D$34*CF16</f>
        <v>180807.26892927283</v>
      </c>
      <c r="CG34" s="898">
        <f t="shared" si="26"/>
        <v>180807.26892927283</v>
      </c>
      <c r="CH34" s="898">
        <f t="shared" si="26"/>
        <v>180807.26892927283</v>
      </c>
      <c r="CI34" s="898">
        <f t="shared" si="26"/>
        <v>180807.26892927283</v>
      </c>
      <c r="CJ34" s="898">
        <f t="shared" si="26"/>
        <v>180807.26892927283</v>
      </c>
      <c r="CK34" s="898">
        <f t="shared" si="26"/>
        <v>180807.26892927283</v>
      </c>
      <c r="CL34" s="896">
        <f t="shared" si="26"/>
        <v>180807.26892927283</v>
      </c>
      <c r="CM34" s="899">
        <f t="shared" si="23"/>
        <v>180807.26892927286</v>
      </c>
      <c r="CN34" s="900" t="s">
        <v>437</v>
      </c>
      <c r="CO34" s="901">
        <v>6.12</v>
      </c>
      <c r="CP34" s="901">
        <v>6.12</v>
      </c>
      <c r="CQ34" s="901">
        <v>6.12</v>
      </c>
      <c r="CR34" s="901">
        <v>6.12</v>
      </c>
      <c r="CS34" s="901">
        <v>6.24</v>
      </c>
      <c r="CT34" s="901">
        <v>6.24</v>
      </c>
      <c r="CU34" s="901">
        <v>6.28</v>
      </c>
      <c r="CV34" s="901">
        <v>6.28</v>
      </c>
      <c r="CW34" s="901">
        <v>6.32</v>
      </c>
      <c r="CX34" s="901">
        <v>6.32</v>
      </c>
      <c r="CY34" s="901">
        <v>6.47</v>
      </c>
      <c r="CZ34" s="901">
        <v>6.47</v>
      </c>
      <c r="DA34" s="901">
        <v>6.47</v>
      </c>
      <c r="DB34" s="901">
        <v>6.51</v>
      </c>
      <c r="DC34" s="901">
        <v>6.6447253073219397</v>
      </c>
      <c r="DD34" s="901">
        <v>6.6592391374311397</v>
      </c>
      <c r="DE34" s="901">
        <v>6.6737529675403398</v>
      </c>
      <c r="DF34" s="901">
        <v>6.6882667976495496</v>
      </c>
      <c r="DG34" s="901">
        <v>6.7027806277587496</v>
      </c>
      <c r="DH34" s="901">
        <v>6.7172944578679497</v>
      </c>
      <c r="DI34" s="901">
        <v>6.7318082879771604</v>
      </c>
      <c r="DJ34" s="901">
        <v>6.7463221180863604</v>
      </c>
      <c r="DK34" s="901">
        <v>6.7608359481955604</v>
      </c>
      <c r="DL34" s="901">
        <v>6.7753497783047703</v>
      </c>
      <c r="DM34" s="901">
        <v>6.7898636084139703</v>
      </c>
      <c r="DN34" s="901">
        <v>6.91</v>
      </c>
      <c r="DO34" s="901">
        <v>6.8188912686323802</v>
      </c>
      <c r="DP34" s="901">
        <v>6.86</v>
      </c>
      <c r="DQ34" s="901">
        <v>6.8479189288507802</v>
      </c>
      <c r="DR34" s="901">
        <v>6.8624327589599803</v>
      </c>
      <c r="DS34" s="901">
        <v>6.8769465890691901</v>
      </c>
      <c r="DT34" s="901">
        <v>6.8914604191783901</v>
      </c>
      <c r="DU34" s="901">
        <v>6.9059742492875902</v>
      </c>
      <c r="DV34" s="901">
        <v>6.9204880793968</v>
      </c>
      <c r="DW34" s="901">
        <v>6.935001909506</v>
      </c>
      <c r="DX34" s="901">
        <v>6.9495157396152001</v>
      </c>
      <c r="DY34" s="901">
        <v>6.9640295697244099</v>
      </c>
      <c r="DZ34" s="901">
        <v>6.9785433998336099</v>
      </c>
      <c r="EA34" s="901">
        <v>6.99305722994281</v>
      </c>
      <c r="EB34" s="901">
        <v>7.0075710600520198</v>
      </c>
      <c r="EC34" s="901">
        <v>5.2450000000000001</v>
      </c>
      <c r="ED34" s="901">
        <v>7.48</v>
      </c>
      <c r="EE34" s="901">
        <v>7.6002255138846202</v>
      </c>
      <c r="EF34" s="901">
        <v>6.65</v>
      </c>
      <c r="EG34" s="901">
        <v>6.77</v>
      </c>
      <c r="EH34" s="901">
        <v>6.83</v>
      </c>
      <c r="EI34" s="901">
        <v>8.23</v>
      </c>
      <c r="EJ34" s="901">
        <v>8.2200000000000006</v>
      </c>
      <c r="EK34" s="901">
        <v>7.32</v>
      </c>
      <c r="EL34" s="901">
        <v>8.18</v>
      </c>
      <c r="EM34" s="901">
        <v>7.53</v>
      </c>
      <c r="EN34" s="901">
        <v>7.13</v>
      </c>
      <c r="EO34" s="901">
        <v>6.42</v>
      </c>
      <c r="EP34" s="901">
        <v>7.18</v>
      </c>
      <c r="EQ34" s="901">
        <v>6.07</v>
      </c>
      <c r="ER34" s="901">
        <v>4.8415999999999997</v>
      </c>
      <c r="ES34" s="901">
        <v>4.8899999999999997</v>
      </c>
      <c r="ET34" s="901">
        <v>5.4</v>
      </c>
      <c r="EU34" s="901">
        <v>5.84</v>
      </c>
      <c r="EV34" s="901">
        <v>5.76</v>
      </c>
      <c r="EW34" s="901">
        <v>5.46</v>
      </c>
      <c r="EX34" s="901">
        <v>6.36</v>
      </c>
      <c r="EY34" s="901">
        <v>6.17</v>
      </c>
      <c r="EZ34" s="901">
        <v>6.84</v>
      </c>
      <c r="FA34" s="901">
        <v>5.67</v>
      </c>
      <c r="FB34" s="901">
        <v>5.33</v>
      </c>
      <c r="FC34" s="901">
        <v>3.69</v>
      </c>
      <c r="FD34" s="901">
        <v>4.9800000000000004</v>
      </c>
      <c r="FE34" s="901">
        <v>4.4800000000000004</v>
      </c>
      <c r="FF34" s="901">
        <v>3</v>
      </c>
      <c r="FG34" s="901">
        <v>2.6</v>
      </c>
      <c r="FH34" s="901">
        <v>3.43</v>
      </c>
      <c r="FI34" s="901">
        <v>4.3499999999999996</v>
      </c>
      <c r="FJ34" s="901">
        <v>4.68</v>
      </c>
      <c r="FK34" s="901">
        <v>5.0999999999999996</v>
      </c>
      <c r="FL34" s="901">
        <v>6.03</v>
      </c>
      <c r="FM34" s="901">
        <v>6.67</v>
      </c>
      <c r="FN34" s="901">
        <v>8.02</v>
      </c>
      <c r="FO34" s="901">
        <v>7.23</v>
      </c>
      <c r="FP34" s="901">
        <v>5.36</v>
      </c>
      <c r="FQ34" s="901">
        <v>5.15</v>
      </c>
      <c r="FR34" s="901">
        <v>5.64</v>
      </c>
      <c r="FS34" s="901">
        <v>6.42</v>
      </c>
      <c r="FT34" s="901">
        <v>7.17</v>
      </c>
      <c r="FU34" s="901">
        <v>7.47</v>
      </c>
      <c r="FV34" s="902">
        <f t="shared" ref="FV34:FV41" si="27">AVERAGE(EC34:FU34)</f>
        <v>6.0197072336418813</v>
      </c>
      <c r="FW34" s="903"/>
    </row>
    <row r="35" spans="1:179">
      <c r="A35" s="1397"/>
      <c r="B35" s="876" t="s">
        <v>399</v>
      </c>
      <c r="C35" s="877" t="s">
        <v>402</v>
      </c>
      <c r="D35" s="877">
        <v>514.32000000000005</v>
      </c>
      <c r="E35" s="1398"/>
      <c r="F35" s="896" t="s">
        <v>134</v>
      </c>
      <c r="G35" s="897">
        <f t="shared" ref="G35:BR35" si="28">$D$35*G16</f>
        <v>57759499.72403951</v>
      </c>
      <c r="H35" s="897">
        <f t="shared" si="28"/>
        <v>57759499.72403951</v>
      </c>
      <c r="I35" s="897">
        <f t="shared" si="28"/>
        <v>57759499.72403951</v>
      </c>
      <c r="J35" s="897">
        <f t="shared" si="28"/>
        <v>57759499.72403951</v>
      </c>
      <c r="K35" s="897">
        <f t="shared" si="28"/>
        <v>57759499.72403951</v>
      </c>
      <c r="L35" s="897">
        <f t="shared" si="28"/>
        <v>57759499.72403951</v>
      </c>
      <c r="M35" s="897">
        <f t="shared" si="28"/>
        <v>57759499.72403951</v>
      </c>
      <c r="N35" s="897">
        <f t="shared" si="28"/>
        <v>57759499.72403951</v>
      </c>
      <c r="O35" s="897">
        <f t="shared" si="28"/>
        <v>57759499.72403951</v>
      </c>
      <c r="P35" s="897">
        <f t="shared" si="28"/>
        <v>57759499.72403951</v>
      </c>
      <c r="Q35" s="897">
        <f t="shared" si="28"/>
        <v>57759499.72403951</v>
      </c>
      <c r="R35" s="897">
        <f t="shared" si="28"/>
        <v>57759499.72403951</v>
      </c>
      <c r="S35" s="897">
        <f t="shared" si="28"/>
        <v>57759499.72403951</v>
      </c>
      <c r="T35" s="897">
        <f t="shared" si="28"/>
        <v>57759499.72403951</v>
      </c>
      <c r="U35" s="897">
        <f t="shared" si="28"/>
        <v>57759499.72403951</v>
      </c>
      <c r="V35" s="897">
        <f t="shared" si="28"/>
        <v>57759499.72403951</v>
      </c>
      <c r="W35" s="897">
        <f t="shared" si="28"/>
        <v>57759499.72403951</v>
      </c>
      <c r="X35" s="897">
        <f t="shared" si="28"/>
        <v>57759499.72403951</v>
      </c>
      <c r="Y35" s="897">
        <f t="shared" si="28"/>
        <v>57759499.72403951</v>
      </c>
      <c r="Z35" s="897">
        <f t="shared" si="28"/>
        <v>57759499.72403951</v>
      </c>
      <c r="AA35" s="897">
        <f t="shared" si="28"/>
        <v>57759499.72403951</v>
      </c>
      <c r="AB35" s="897">
        <f t="shared" si="28"/>
        <v>57759499.72403951</v>
      </c>
      <c r="AC35" s="897">
        <f t="shared" si="28"/>
        <v>57759499.72403951</v>
      </c>
      <c r="AD35" s="897">
        <f t="shared" si="28"/>
        <v>57759499.72403951</v>
      </c>
      <c r="AE35" s="897">
        <f t="shared" si="28"/>
        <v>57759499.72403951</v>
      </c>
      <c r="AF35" s="897">
        <f t="shared" si="28"/>
        <v>57759499.72403951</v>
      </c>
      <c r="AG35" s="897">
        <f t="shared" si="28"/>
        <v>57759499.72403951</v>
      </c>
      <c r="AH35" s="897">
        <f t="shared" si="28"/>
        <v>57759499.72403951</v>
      </c>
      <c r="AI35" s="897">
        <f t="shared" si="28"/>
        <v>57759499.72403951</v>
      </c>
      <c r="AJ35" s="897">
        <f t="shared" si="28"/>
        <v>57759499.72403951</v>
      </c>
      <c r="AK35" s="897">
        <f t="shared" si="28"/>
        <v>57759499.72403951</v>
      </c>
      <c r="AL35" s="897">
        <f t="shared" si="28"/>
        <v>57759499.72403951</v>
      </c>
      <c r="AM35" s="897">
        <f t="shared" si="28"/>
        <v>57759499.72403951</v>
      </c>
      <c r="AN35" s="897">
        <f t="shared" si="28"/>
        <v>57759499.72403951</v>
      </c>
      <c r="AO35" s="897">
        <f t="shared" si="28"/>
        <v>57759499.72403951</v>
      </c>
      <c r="AP35" s="897">
        <f t="shared" si="28"/>
        <v>57759499.72403951</v>
      </c>
      <c r="AQ35" s="897">
        <f t="shared" si="28"/>
        <v>57759499.72403951</v>
      </c>
      <c r="AR35" s="897">
        <f t="shared" si="28"/>
        <v>57759499.72403951</v>
      </c>
      <c r="AS35" s="897">
        <f t="shared" si="28"/>
        <v>57759499.72403951</v>
      </c>
      <c r="AT35" s="897">
        <f t="shared" si="28"/>
        <v>57759499.72403951</v>
      </c>
      <c r="AU35" s="898">
        <f t="shared" si="28"/>
        <v>57759499.72403951</v>
      </c>
      <c r="AV35" s="898">
        <f t="shared" si="28"/>
        <v>57759499.72403951</v>
      </c>
      <c r="AW35" s="898">
        <f t="shared" si="28"/>
        <v>57759499.72403951</v>
      </c>
      <c r="AX35" s="898">
        <f t="shared" si="28"/>
        <v>57759499.72403951</v>
      </c>
      <c r="AY35" s="898">
        <f t="shared" si="28"/>
        <v>57759499.72403951</v>
      </c>
      <c r="AZ35" s="898">
        <f t="shared" si="28"/>
        <v>57759499.72403951</v>
      </c>
      <c r="BA35" s="898">
        <f t="shared" si="28"/>
        <v>57759499.72403951</v>
      </c>
      <c r="BB35" s="898">
        <f t="shared" si="28"/>
        <v>57759499.72403951</v>
      </c>
      <c r="BC35" s="898">
        <f t="shared" si="28"/>
        <v>57759499.72403951</v>
      </c>
      <c r="BD35" s="898">
        <f t="shared" si="28"/>
        <v>57759499.72403951</v>
      </c>
      <c r="BE35" s="898">
        <f t="shared" si="28"/>
        <v>57759499.72403951</v>
      </c>
      <c r="BF35" s="898">
        <f t="shared" si="28"/>
        <v>57759499.72403951</v>
      </c>
      <c r="BG35" s="898">
        <f t="shared" si="28"/>
        <v>57759499.72403951</v>
      </c>
      <c r="BH35" s="898">
        <f t="shared" si="28"/>
        <v>57759499.72403951</v>
      </c>
      <c r="BI35" s="898">
        <f t="shared" si="28"/>
        <v>57759499.72403951</v>
      </c>
      <c r="BJ35" s="898">
        <f t="shared" si="28"/>
        <v>57759499.72403951</v>
      </c>
      <c r="BK35" s="898">
        <f t="shared" si="28"/>
        <v>57759499.72403951</v>
      </c>
      <c r="BL35" s="898">
        <f t="shared" si="28"/>
        <v>57759499.72403951</v>
      </c>
      <c r="BM35" s="898">
        <f t="shared" si="28"/>
        <v>57759499.72403951</v>
      </c>
      <c r="BN35" s="898">
        <f t="shared" si="28"/>
        <v>57759499.72403951</v>
      </c>
      <c r="BO35" s="898">
        <f t="shared" si="28"/>
        <v>57759499.72403951</v>
      </c>
      <c r="BP35" s="898">
        <f t="shared" si="28"/>
        <v>57759499.72403951</v>
      </c>
      <c r="BQ35" s="898">
        <f t="shared" si="28"/>
        <v>57759499.72403951</v>
      </c>
      <c r="BR35" s="898">
        <f t="shared" si="28"/>
        <v>57759499.72403951</v>
      </c>
      <c r="BS35" s="898">
        <f t="shared" ref="BS35:CL35" si="29">$D$35*BS16</f>
        <v>57759499.72403951</v>
      </c>
      <c r="BT35" s="898">
        <f t="shared" si="29"/>
        <v>57759499.72403951</v>
      </c>
      <c r="BU35" s="898">
        <f t="shared" si="29"/>
        <v>57759499.72403951</v>
      </c>
      <c r="BV35" s="898">
        <f t="shared" si="29"/>
        <v>57759499.72403951</v>
      </c>
      <c r="BW35" s="898">
        <f t="shared" si="29"/>
        <v>57759499.72403951</v>
      </c>
      <c r="BX35" s="898">
        <f t="shared" si="29"/>
        <v>57759499.72403951</v>
      </c>
      <c r="BY35" s="898">
        <f t="shared" si="29"/>
        <v>57759499.72403951</v>
      </c>
      <c r="BZ35" s="898">
        <f t="shared" si="29"/>
        <v>57759499.72403951</v>
      </c>
      <c r="CA35" s="898">
        <f t="shared" si="29"/>
        <v>57759499.72403951</v>
      </c>
      <c r="CB35" s="898">
        <f t="shared" si="29"/>
        <v>57759499.72403951</v>
      </c>
      <c r="CC35" s="898">
        <f t="shared" si="29"/>
        <v>57759499.72403951</v>
      </c>
      <c r="CD35" s="898">
        <f t="shared" si="29"/>
        <v>57759499.72403951</v>
      </c>
      <c r="CE35" s="898">
        <f t="shared" si="29"/>
        <v>57759499.72403951</v>
      </c>
      <c r="CF35" s="898">
        <f t="shared" si="29"/>
        <v>57759499.72403951</v>
      </c>
      <c r="CG35" s="898">
        <f t="shared" si="29"/>
        <v>57759499.72403951</v>
      </c>
      <c r="CH35" s="898">
        <f t="shared" si="29"/>
        <v>57759499.72403951</v>
      </c>
      <c r="CI35" s="898">
        <f t="shared" si="29"/>
        <v>57759499.72403951</v>
      </c>
      <c r="CJ35" s="898">
        <f t="shared" si="29"/>
        <v>57759499.72403951</v>
      </c>
      <c r="CK35" s="898">
        <f t="shared" si="29"/>
        <v>57759499.72403951</v>
      </c>
      <c r="CL35" s="896">
        <f t="shared" si="29"/>
        <v>57759499.72403951</v>
      </c>
      <c r="CM35" s="875">
        <f t="shared" si="23"/>
        <v>57759499.724039495</v>
      </c>
      <c r="CN35" s="904" t="s">
        <v>438</v>
      </c>
      <c r="CO35" s="905">
        <v>2198.1265252613698</v>
      </c>
      <c r="CP35" s="905">
        <v>2198.1265252613698</v>
      </c>
      <c r="CQ35" s="905">
        <v>2198.1265252613698</v>
      </c>
      <c r="CR35" s="905">
        <v>2198.1265252613698</v>
      </c>
      <c r="CS35" s="905">
        <v>2198.1265252613698</v>
      </c>
      <c r="CT35" s="905">
        <v>2198.1265252613698</v>
      </c>
      <c r="CU35" s="905">
        <v>2198.1265252613698</v>
      </c>
      <c r="CV35" s="905">
        <v>2198.1265252613698</v>
      </c>
      <c r="CW35" s="905">
        <v>2204.6719970040999</v>
      </c>
      <c r="CX35" s="905">
        <v>2198.1265252613698</v>
      </c>
      <c r="CY35" s="905">
        <v>2204.6719970040999</v>
      </c>
      <c r="CZ35" s="905">
        <v>2211.21746874684</v>
      </c>
      <c r="DA35" s="905">
        <v>2217.7629404895802</v>
      </c>
      <c r="DB35" s="905">
        <v>2224.3084122323098</v>
      </c>
      <c r="DC35" s="905">
        <v>2230.8538839750499</v>
      </c>
      <c r="DD35" s="905">
        <v>2237.3993557177901</v>
      </c>
      <c r="DE35" s="905">
        <v>2243.9448274605202</v>
      </c>
      <c r="DF35" s="905">
        <v>2250.4902992032598</v>
      </c>
      <c r="DG35" s="905">
        <v>2257.03577094599</v>
      </c>
      <c r="DH35" s="905">
        <v>2263.5812426887301</v>
      </c>
      <c r="DI35" s="905">
        <v>2270.1267144314702</v>
      </c>
      <c r="DJ35" s="905">
        <v>2276.6721861741999</v>
      </c>
      <c r="DK35" s="905">
        <v>2283.21765791694</v>
      </c>
      <c r="DL35" s="905">
        <v>2289.7631296596801</v>
      </c>
      <c r="DM35" s="905">
        <v>2296.3086014024102</v>
      </c>
      <c r="DN35" s="905">
        <v>2302.8540731451499</v>
      </c>
      <c r="DO35" s="905">
        <v>2309.39954488788</v>
      </c>
      <c r="DP35" s="905">
        <v>2315.9450166306201</v>
      </c>
      <c r="DQ35" s="905">
        <v>2322.4904883733602</v>
      </c>
      <c r="DR35" s="905">
        <v>2329.0359601160899</v>
      </c>
      <c r="DS35" s="905">
        <v>2335.58143185883</v>
      </c>
      <c r="DT35" s="905">
        <v>2342.1269036015701</v>
      </c>
      <c r="DU35" s="905">
        <v>2348.6723753442998</v>
      </c>
      <c r="DV35" s="905">
        <v>2355.2178470870399</v>
      </c>
      <c r="DW35" s="905">
        <v>2361.76331882977</v>
      </c>
      <c r="DX35" s="905">
        <v>2368.3087905725101</v>
      </c>
      <c r="DY35" s="905">
        <v>2374.8542623152498</v>
      </c>
      <c r="DZ35" s="905">
        <v>2381.3997340579799</v>
      </c>
      <c r="EA35" s="905">
        <v>2387.94520580072</v>
      </c>
      <c r="EB35" s="905">
        <v>2394.4906775434602</v>
      </c>
      <c r="EC35" s="905">
        <v>1659</v>
      </c>
      <c r="ED35" s="905">
        <v>2237</v>
      </c>
      <c r="EE35" s="905">
        <v>2255.1410444563789</v>
      </c>
      <c r="EF35" s="905">
        <v>2146.2487431145209</v>
      </c>
      <c r="EG35" s="905">
        <v>2418.3910474276554</v>
      </c>
      <c r="EH35" s="905">
        <v>2701.6199743644243</v>
      </c>
      <c r="EI35" s="905">
        <v>2777.0407045596344</v>
      </c>
      <c r="EJ35" s="905">
        <v>2836.6205896021006</v>
      </c>
      <c r="EK35" s="905">
        <v>2780.2581602607625</v>
      </c>
      <c r="EL35" s="905">
        <v>3053.926570501239</v>
      </c>
      <c r="EM35" s="905">
        <v>2836.1664048306907</v>
      </c>
      <c r="EN35" s="905">
        <v>2611.932049598453</v>
      </c>
      <c r="EO35" s="905">
        <v>2577.919484614094</v>
      </c>
      <c r="EP35" s="905">
        <v>2856.2006891112787</v>
      </c>
      <c r="EQ35" s="905">
        <v>2469.3423214225581</v>
      </c>
      <c r="ER35" s="905">
        <v>2091.94</v>
      </c>
      <c r="ES35" s="905">
        <v>2025.12</v>
      </c>
      <c r="ET35" s="905">
        <v>2197.69</v>
      </c>
      <c r="EU35" s="905">
        <v>2450.21</v>
      </c>
      <c r="EV35" s="905">
        <v>2188.85</v>
      </c>
      <c r="EW35" s="905">
        <v>2098.58</v>
      </c>
      <c r="EX35" s="905">
        <v>2650.93</v>
      </c>
      <c r="EY35" s="905">
        <v>2588.92</v>
      </c>
      <c r="EZ35" s="905">
        <v>2922.37</v>
      </c>
      <c r="FA35" s="905">
        <v>2398.6999999999998</v>
      </c>
      <c r="FB35" s="905">
        <v>2269.4</v>
      </c>
      <c r="FC35" s="905">
        <v>1425.69</v>
      </c>
      <c r="FD35" s="905">
        <v>1908.42</v>
      </c>
      <c r="FE35" s="905">
        <v>1785.56</v>
      </c>
      <c r="FF35" s="905">
        <v>1111.8399999999999</v>
      </c>
      <c r="FG35" s="905">
        <v>1033.04</v>
      </c>
      <c r="FH35" s="905">
        <v>1321.01</v>
      </c>
      <c r="FI35" s="905">
        <v>1668.98</v>
      </c>
      <c r="FJ35" s="905">
        <v>1783.8</v>
      </c>
      <c r="FK35" s="905">
        <v>2035.2</v>
      </c>
      <c r="FL35" s="905">
        <v>2259.19</v>
      </c>
      <c r="FM35" s="905">
        <v>2699.1</v>
      </c>
      <c r="FN35" s="905">
        <v>3294.54</v>
      </c>
      <c r="FO35" s="905">
        <v>2840.46</v>
      </c>
      <c r="FP35" s="905">
        <v>2266.15</v>
      </c>
      <c r="FQ35" s="905">
        <v>2243.14</v>
      </c>
      <c r="FR35" s="905">
        <v>2506.4699999999998</v>
      </c>
      <c r="FS35" s="905">
        <v>2911.57</v>
      </c>
      <c r="FT35" s="905">
        <v>3467.2</v>
      </c>
      <c r="FU35" s="905">
        <v>3800.16</v>
      </c>
      <c r="FV35" s="906">
        <f t="shared" si="27"/>
        <v>2365.8008396414175</v>
      </c>
      <c r="FW35" s="903"/>
    </row>
    <row r="36" spans="1:179">
      <c r="A36" s="1397"/>
      <c r="B36" s="876" t="s">
        <v>399</v>
      </c>
      <c r="C36" s="877" t="s">
        <v>402</v>
      </c>
      <c r="D36" s="877">
        <v>0.51</v>
      </c>
      <c r="E36" s="1398"/>
      <c r="F36" s="896" t="s">
        <v>133</v>
      </c>
      <c r="G36" s="897">
        <f t="shared" ref="G36:BR36" si="30">$D$36*G16</f>
        <v>57274.352269521209</v>
      </c>
      <c r="H36" s="897">
        <f t="shared" si="30"/>
        <v>57274.352269521209</v>
      </c>
      <c r="I36" s="897">
        <f t="shared" si="30"/>
        <v>57274.352269521209</v>
      </c>
      <c r="J36" s="897">
        <f t="shared" si="30"/>
        <v>57274.352269521209</v>
      </c>
      <c r="K36" s="897">
        <f t="shared" si="30"/>
        <v>57274.352269521209</v>
      </c>
      <c r="L36" s="897">
        <f t="shared" si="30"/>
        <v>57274.352269521209</v>
      </c>
      <c r="M36" s="897">
        <f t="shared" si="30"/>
        <v>57274.352269521209</v>
      </c>
      <c r="N36" s="897">
        <f t="shared" si="30"/>
        <v>57274.352269521209</v>
      </c>
      <c r="O36" s="897">
        <f t="shared" si="30"/>
        <v>57274.352269521209</v>
      </c>
      <c r="P36" s="897">
        <f t="shared" si="30"/>
        <v>57274.352269521209</v>
      </c>
      <c r="Q36" s="897">
        <f t="shared" si="30"/>
        <v>57274.352269521209</v>
      </c>
      <c r="R36" s="897">
        <f t="shared" si="30"/>
        <v>57274.352269521209</v>
      </c>
      <c r="S36" s="897">
        <f t="shared" si="30"/>
        <v>57274.352269521209</v>
      </c>
      <c r="T36" s="897">
        <f t="shared" si="30"/>
        <v>57274.352269521209</v>
      </c>
      <c r="U36" s="897">
        <f t="shared" si="30"/>
        <v>57274.352269521209</v>
      </c>
      <c r="V36" s="897">
        <f t="shared" si="30"/>
        <v>57274.352269521209</v>
      </c>
      <c r="W36" s="897">
        <f t="shared" si="30"/>
        <v>57274.352269521209</v>
      </c>
      <c r="X36" s="897">
        <f t="shared" si="30"/>
        <v>57274.352269521209</v>
      </c>
      <c r="Y36" s="897">
        <f t="shared" si="30"/>
        <v>57274.352269521209</v>
      </c>
      <c r="Z36" s="897">
        <f t="shared" si="30"/>
        <v>57274.352269521209</v>
      </c>
      <c r="AA36" s="897">
        <f t="shared" si="30"/>
        <v>57274.352269521209</v>
      </c>
      <c r="AB36" s="897">
        <f t="shared" si="30"/>
        <v>57274.352269521209</v>
      </c>
      <c r="AC36" s="897">
        <f t="shared" si="30"/>
        <v>57274.352269521209</v>
      </c>
      <c r="AD36" s="897">
        <f t="shared" si="30"/>
        <v>57274.352269521209</v>
      </c>
      <c r="AE36" s="897">
        <f t="shared" si="30"/>
        <v>57274.352269521209</v>
      </c>
      <c r="AF36" s="897">
        <f t="shared" si="30"/>
        <v>57274.352269521209</v>
      </c>
      <c r="AG36" s="897">
        <f t="shared" si="30"/>
        <v>57274.352269521209</v>
      </c>
      <c r="AH36" s="897">
        <f t="shared" si="30"/>
        <v>57274.352269521209</v>
      </c>
      <c r="AI36" s="897">
        <f t="shared" si="30"/>
        <v>57274.352269521209</v>
      </c>
      <c r="AJ36" s="897">
        <f t="shared" si="30"/>
        <v>57274.352269521209</v>
      </c>
      <c r="AK36" s="897">
        <f t="shared" si="30"/>
        <v>57274.352269521209</v>
      </c>
      <c r="AL36" s="897">
        <f t="shared" si="30"/>
        <v>57274.352269521209</v>
      </c>
      <c r="AM36" s="897">
        <f t="shared" si="30"/>
        <v>57274.352269521209</v>
      </c>
      <c r="AN36" s="897">
        <f t="shared" si="30"/>
        <v>57274.352269521209</v>
      </c>
      <c r="AO36" s="897">
        <f t="shared" si="30"/>
        <v>57274.352269521209</v>
      </c>
      <c r="AP36" s="897">
        <f t="shared" si="30"/>
        <v>57274.352269521209</v>
      </c>
      <c r="AQ36" s="897">
        <f t="shared" si="30"/>
        <v>57274.352269521209</v>
      </c>
      <c r="AR36" s="897">
        <f t="shared" si="30"/>
        <v>57274.352269521209</v>
      </c>
      <c r="AS36" s="897">
        <f t="shared" si="30"/>
        <v>57274.352269521209</v>
      </c>
      <c r="AT36" s="897">
        <f t="shared" si="30"/>
        <v>57274.352269521209</v>
      </c>
      <c r="AU36" s="898">
        <f t="shared" si="30"/>
        <v>57274.352269521209</v>
      </c>
      <c r="AV36" s="898">
        <f t="shared" si="30"/>
        <v>57274.352269521209</v>
      </c>
      <c r="AW36" s="898">
        <f t="shared" si="30"/>
        <v>57274.352269521209</v>
      </c>
      <c r="AX36" s="898">
        <f t="shared" si="30"/>
        <v>57274.352269521209</v>
      </c>
      <c r="AY36" s="898">
        <f t="shared" si="30"/>
        <v>57274.352269521209</v>
      </c>
      <c r="AZ36" s="898">
        <f t="shared" si="30"/>
        <v>57274.352269521209</v>
      </c>
      <c r="BA36" s="898">
        <f t="shared" si="30"/>
        <v>57274.352269521209</v>
      </c>
      <c r="BB36" s="898">
        <f t="shared" si="30"/>
        <v>57274.352269521209</v>
      </c>
      <c r="BC36" s="898">
        <f t="shared" si="30"/>
        <v>57274.352269521209</v>
      </c>
      <c r="BD36" s="898">
        <f t="shared" si="30"/>
        <v>57274.352269521209</v>
      </c>
      <c r="BE36" s="898">
        <f t="shared" si="30"/>
        <v>57274.352269521209</v>
      </c>
      <c r="BF36" s="898">
        <f t="shared" si="30"/>
        <v>57274.352269521209</v>
      </c>
      <c r="BG36" s="898">
        <f t="shared" si="30"/>
        <v>57274.352269521209</v>
      </c>
      <c r="BH36" s="898">
        <f t="shared" si="30"/>
        <v>57274.352269521209</v>
      </c>
      <c r="BI36" s="898">
        <f t="shared" si="30"/>
        <v>57274.352269521209</v>
      </c>
      <c r="BJ36" s="898">
        <f t="shared" si="30"/>
        <v>57274.352269521209</v>
      </c>
      <c r="BK36" s="898">
        <f t="shared" si="30"/>
        <v>57274.352269521209</v>
      </c>
      <c r="BL36" s="898">
        <f t="shared" si="30"/>
        <v>57274.352269521209</v>
      </c>
      <c r="BM36" s="898">
        <f t="shared" si="30"/>
        <v>57274.352269521209</v>
      </c>
      <c r="BN36" s="898">
        <f t="shared" si="30"/>
        <v>57274.352269521209</v>
      </c>
      <c r="BO36" s="898">
        <f t="shared" si="30"/>
        <v>57274.352269521209</v>
      </c>
      <c r="BP36" s="898">
        <f t="shared" si="30"/>
        <v>57274.352269521209</v>
      </c>
      <c r="BQ36" s="898">
        <f t="shared" si="30"/>
        <v>57274.352269521209</v>
      </c>
      <c r="BR36" s="898">
        <f t="shared" si="30"/>
        <v>57274.352269521209</v>
      </c>
      <c r="BS36" s="898">
        <f t="shared" ref="BS36:CL36" si="31">$D$36*BS16</f>
        <v>57274.352269521209</v>
      </c>
      <c r="BT36" s="898">
        <f t="shared" si="31"/>
        <v>57274.352269521209</v>
      </c>
      <c r="BU36" s="898">
        <f t="shared" si="31"/>
        <v>57274.352269521209</v>
      </c>
      <c r="BV36" s="898">
        <f t="shared" si="31"/>
        <v>57274.352269521209</v>
      </c>
      <c r="BW36" s="898">
        <f t="shared" si="31"/>
        <v>57274.352269521209</v>
      </c>
      <c r="BX36" s="898">
        <f t="shared" si="31"/>
        <v>57274.352269521209</v>
      </c>
      <c r="BY36" s="898">
        <f t="shared" si="31"/>
        <v>57274.352269521209</v>
      </c>
      <c r="BZ36" s="898">
        <f t="shared" si="31"/>
        <v>57274.352269521209</v>
      </c>
      <c r="CA36" s="898">
        <f t="shared" si="31"/>
        <v>57274.352269521209</v>
      </c>
      <c r="CB36" s="898">
        <f t="shared" si="31"/>
        <v>57274.352269521209</v>
      </c>
      <c r="CC36" s="898">
        <f t="shared" si="31"/>
        <v>57274.352269521209</v>
      </c>
      <c r="CD36" s="898">
        <f t="shared" si="31"/>
        <v>57274.352269521209</v>
      </c>
      <c r="CE36" s="898">
        <f t="shared" si="31"/>
        <v>57274.352269521209</v>
      </c>
      <c r="CF36" s="898">
        <f t="shared" si="31"/>
        <v>57274.352269521209</v>
      </c>
      <c r="CG36" s="898">
        <f t="shared" si="31"/>
        <v>57274.352269521209</v>
      </c>
      <c r="CH36" s="898">
        <f t="shared" si="31"/>
        <v>57274.352269521209</v>
      </c>
      <c r="CI36" s="898">
        <f t="shared" si="31"/>
        <v>57274.352269521209</v>
      </c>
      <c r="CJ36" s="898">
        <f t="shared" si="31"/>
        <v>57274.352269521209</v>
      </c>
      <c r="CK36" s="898">
        <f t="shared" si="31"/>
        <v>57274.352269521209</v>
      </c>
      <c r="CL36" s="896">
        <f t="shared" si="31"/>
        <v>57274.352269521209</v>
      </c>
      <c r="CM36" s="875">
        <f t="shared" si="23"/>
        <v>57274.352269521085</v>
      </c>
      <c r="CN36" s="904" t="s">
        <v>439</v>
      </c>
      <c r="CO36" s="905">
        <v>36.979805128205101</v>
      </c>
      <c r="CP36" s="905">
        <v>36.979805128205101</v>
      </c>
      <c r="CQ36" s="905">
        <v>36.979805128205101</v>
      </c>
      <c r="CR36" s="905">
        <v>36.979805128205101</v>
      </c>
      <c r="CS36" s="905">
        <v>36.979805128205101</v>
      </c>
      <c r="CT36" s="905">
        <v>36.979805128205101</v>
      </c>
      <c r="CU36" s="905">
        <v>36.979805128205101</v>
      </c>
      <c r="CV36" s="905">
        <v>36.979805128205101</v>
      </c>
      <c r="CW36" s="905">
        <v>37.756290598290597</v>
      </c>
      <c r="CX36" s="905">
        <v>36.979805128205101</v>
      </c>
      <c r="CY36" s="905">
        <v>37.756290598290597</v>
      </c>
      <c r="CZ36" s="905">
        <v>38.532776068376101</v>
      </c>
      <c r="DA36" s="905">
        <v>39.309261538461499</v>
      </c>
      <c r="DB36" s="905">
        <v>40.085747008547003</v>
      </c>
      <c r="DC36" s="905">
        <v>40.8622324786325</v>
      </c>
      <c r="DD36" s="905">
        <v>41.638717948718003</v>
      </c>
      <c r="DE36" s="905">
        <v>42.415203418803401</v>
      </c>
      <c r="DF36" s="905">
        <v>43.191688888888898</v>
      </c>
      <c r="DG36" s="905">
        <v>43.968174358974402</v>
      </c>
      <c r="DH36" s="905">
        <v>44.744659829059799</v>
      </c>
      <c r="DI36" s="905">
        <v>45.521145299145303</v>
      </c>
      <c r="DJ36" s="905">
        <v>46.2976307692308</v>
      </c>
      <c r="DK36" s="905">
        <v>47.074116239316197</v>
      </c>
      <c r="DL36" s="905">
        <v>47.850601709401701</v>
      </c>
      <c r="DM36" s="905">
        <v>48.627087179487198</v>
      </c>
      <c r="DN36" s="905">
        <v>49.403572649572702</v>
      </c>
      <c r="DO36" s="905">
        <v>50.180058119658099</v>
      </c>
      <c r="DP36" s="905">
        <v>50.956543589743603</v>
      </c>
      <c r="DQ36" s="905">
        <v>51.7330290598291</v>
      </c>
      <c r="DR36" s="905">
        <v>52.509514529914497</v>
      </c>
      <c r="DS36" s="905">
        <v>53.286000000000001</v>
      </c>
      <c r="DT36" s="905">
        <v>54.062485470085498</v>
      </c>
      <c r="DU36" s="905">
        <v>54.838970940170903</v>
      </c>
      <c r="DV36" s="905">
        <v>55.6154564102564</v>
      </c>
      <c r="DW36" s="905">
        <v>56.391941880341903</v>
      </c>
      <c r="DX36" s="905">
        <v>57.1684273504274</v>
      </c>
      <c r="DY36" s="905">
        <v>57.944912820512798</v>
      </c>
      <c r="DZ36" s="905">
        <v>58.721398290598302</v>
      </c>
      <c r="EA36" s="905">
        <v>59.497883760683798</v>
      </c>
      <c r="EB36" s="905">
        <v>60.274369230769203</v>
      </c>
      <c r="EC36" s="905">
        <v>56.1</v>
      </c>
      <c r="ED36" s="905">
        <v>57.6</v>
      </c>
      <c r="EE36" s="905">
        <v>55.7</v>
      </c>
      <c r="EF36" s="905">
        <v>59.95</v>
      </c>
      <c r="EG36" s="905">
        <v>68.569999999999993</v>
      </c>
      <c r="EH36" s="905">
        <v>79.7</v>
      </c>
      <c r="EI36" s="905">
        <v>85.01</v>
      </c>
      <c r="EJ36" s="905">
        <v>73.42</v>
      </c>
      <c r="EK36" s="905">
        <v>68.25</v>
      </c>
      <c r="EL36" s="905">
        <v>53.25</v>
      </c>
      <c r="EM36" s="905">
        <v>65.459999999999994</v>
      </c>
      <c r="EN36" s="905">
        <v>60.93</v>
      </c>
      <c r="EO36" s="905">
        <v>59.7</v>
      </c>
      <c r="EP36" s="905">
        <v>58.94</v>
      </c>
      <c r="EQ36" s="905">
        <v>57.95</v>
      </c>
      <c r="ER36" s="905">
        <v>78.48</v>
      </c>
      <c r="ES36" s="905">
        <v>82.51</v>
      </c>
      <c r="ET36" s="905">
        <v>83.6</v>
      </c>
      <c r="EU36" s="905">
        <v>102.15</v>
      </c>
      <c r="EV36" s="905">
        <v>74.58</v>
      </c>
      <c r="EW36" s="905">
        <v>78.45</v>
      </c>
      <c r="EX36" s="905">
        <v>76.87</v>
      </c>
      <c r="EY36" s="905">
        <v>82.39</v>
      </c>
      <c r="EZ36" s="905">
        <v>77.88</v>
      </c>
      <c r="FA36" s="905">
        <v>75.39</v>
      </c>
      <c r="FB36" s="905">
        <v>66.849999999999994</v>
      </c>
      <c r="FC36" s="905">
        <v>64.58</v>
      </c>
      <c r="FD36" s="905">
        <v>84.97</v>
      </c>
      <c r="FE36" s="905">
        <v>78.069999999999993</v>
      </c>
      <c r="FF36" s="905">
        <v>71.17</v>
      </c>
      <c r="FG36" s="905">
        <v>68.23</v>
      </c>
      <c r="FH36" s="905">
        <v>69.2</v>
      </c>
      <c r="FI36" s="905">
        <v>71.16</v>
      </c>
      <c r="FJ36" s="905">
        <v>82.9</v>
      </c>
      <c r="FK36" s="905">
        <v>88.88</v>
      </c>
      <c r="FL36" s="905">
        <v>80.14</v>
      </c>
      <c r="FM36" s="905">
        <v>89.43</v>
      </c>
      <c r="FN36" s="905">
        <v>102.78</v>
      </c>
      <c r="FO36" s="905">
        <v>102.25</v>
      </c>
      <c r="FP36" s="905">
        <v>100.32</v>
      </c>
      <c r="FQ36" s="905">
        <v>81.34</v>
      </c>
      <c r="FR36" s="905">
        <v>90.67</v>
      </c>
      <c r="FS36" s="905">
        <v>91.86</v>
      </c>
      <c r="FT36" s="905">
        <v>95.99</v>
      </c>
      <c r="FU36" s="905">
        <v>94.95</v>
      </c>
      <c r="FV36" s="906">
        <f t="shared" si="27"/>
        <v>76.634888888888895</v>
      </c>
      <c r="FW36" s="903"/>
    </row>
    <row r="37" spans="1:179" ht="26.25" customHeight="1">
      <c r="A37" s="1397"/>
      <c r="B37" s="876" t="s">
        <v>399</v>
      </c>
      <c r="C37" s="877" t="s">
        <v>407</v>
      </c>
      <c r="D37" s="877">
        <v>0.14000000000000001</v>
      </c>
      <c r="E37" s="1398"/>
      <c r="F37" s="896" t="s">
        <v>132</v>
      </c>
      <c r="G37" s="897">
        <f t="shared" ref="G37:BR37" si="32">$D$37*G16</f>
        <v>15722.371211241116</v>
      </c>
      <c r="H37" s="897">
        <f t="shared" si="32"/>
        <v>15722.371211241116</v>
      </c>
      <c r="I37" s="897">
        <f t="shared" si="32"/>
        <v>15722.371211241116</v>
      </c>
      <c r="J37" s="897">
        <f t="shared" si="32"/>
        <v>15722.371211241116</v>
      </c>
      <c r="K37" s="897">
        <f t="shared" si="32"/>
        <v>15722.371211241116</v>
      </c>
      <c r="L37" s="897">
        <f t="shared" si="32"/>
        <v>15722.371211241116</v>
      </c>
      <c r="M37" s="897">
        <f t="shared" si="32"/>
        <v>15722.371211241116</v>
      </c>
      <c r="N37" s="897">
        <f t="shared" si="32"/>
        <v>15722.371211241116</v>
      </c>
      <c r="O37" s="897">
        <f t="shared" si="32"/>
        <v>15722.371211241116</v>
      </c>
      <c r="P37" s="897">
        <f t="shared" si="32"/>
        <v>15722.371211241116</v>
      </c>
      <c r="Q37" s="897">
        <f t="shared" si="32"/>
        <v>15722.371211241116</v>
      </c>
      <c r="R37" s="897">
        <f t="shared" si="32"/>
        <v>15722.371211241116</v>
      </c>
      <c r="S37" s="897">
        <f t="shared" si="32"/>
        <v>15722.371211241116</v>
      </c>
      <c r="T37" s="897">
        <f t="shared" si="32"/>
        <v>15722.371211241116</v>
      </c>
      <c r="U37" s="897">
        <f t="shared" si="32"/>
        <v>15722.371211241116</v>
      </c>
      <c r="V37" s="897">
        <f t="shared" si="32"/>
        <v>15722.371211241116</v>
      </c>
      <c r="W37" s="897">
        <f t="shared" si="32"/>
        <v>15722.371211241116</v>
      </c>
      <c r="X37" s="897">
        <f t="shared" si="32"/>
        <v>15722.371211241116</v>
      </c>
      <c r="Y37" s="897">
        <f t="shared" si="32"/>
        <v>15722.371211241116</v>
      </c>
      <c r="Z37" s="897">
        <f t="shared" si="32"/>
        <v>15722.371211241116</v>
      </c>
      <c r="AA37" s="897">
        <f t="shared" si="32"/>
        <v>15722.371211241116</v>
      </c>
      <c r="AB37" s="897">
        <f t="shared" si="32"/>
        <v>15722.371211241116</v>
      </c>
      <c r="AC37" s="897">
        <f t="shared" si="32"/>
        <v>15722.371211241116</v>
      </c>
      <c r="AD37" s="897">
        <f t="shared" si="32"/>
        <v>15722.371211241116</v>
      </c>
      <c r="AE37" s="897">
        <f t="shared" si="32"/>
        <v>15722.371211241116</v>
      </c>
      <c r="AF37" s="897">
        <f t="shared" si="32"/>
        <v>15722.371211241116</v>
      </c>
      <c r="AG37" s="897">
        <f t="shared" si="32"/>
        <v>15722.371211241116</v>
      </c>
      <c r="AH37" s="897">
        <f t="shared" si="32"/>
        <v>15722.371211241116</v>
      </c>
      <c r="AI37" s="897">
        <f t="shared" si="32"/>
        <v>15722.371211241116</v>
      </c>
      <c r="AJ37" s="897">
        <f t="shared" si="32"/>
        <v>15722.371211241116</v>
      </c>
      <c r="AK37" s="897">
        <f t="shared" si="32"/>
        <v>15722.371211241116</v>
      </c>
      <c r="AL37" s="897">
        <f t="shared" si="32"/>
        <v>15722.371211241116</v>
      </c>
      <c r="AM37" s="897">
        <f t="shared" si="32"/>
        <v>15722.371211241116</v>
      </c>
      <c r="AN37" s="897">
        <f t="shared" si="32"/>
        <v>15722.371211241116</v>
      </c>
      <c r="AO37" s="897">
        <f t="shared" si="32"/>
        <v>15722.371211241116</v>
      </c>
      <c r="AP37" s="897">
        <f t="shared" si="32"/>
        <v>15722.371211241116</v>
      </c>
      <c r="AQ37" s="897">
        <f t="shared" si="32"/>
        <v>15722.371211241116</v>
      </c>
      <c r="AR37" s="897">
        <f t="shared" si="32"/>
        <v>15722.371211241116</v>
      </c>
      <c r="AS37" s="897">
        <f t="shared" si="32"/>
        <v>15722.371211241116</v>
      </c>
      <c r="AT37" s="897">
        <f t="shared" si="32"/>
        <v>15722.371211241116</v>
      </c>
      <c r="AU37" s="898">
        <f t="shared" si="32"/>
        <v>15722.371211241116</v>
      </c>
      <c r="AV37" s="898">
        <f t="shared" si="32"/>
        <v>15722.371211241116</v>
      </c>
      <c r="AW37" s="898">
        <f t="shared" si="32"/>
        <v>15722.371211241116</v>
      </c>
      <c r="AX37" s="898">
        <f t="shared" si="32"/>
        <v>15722.371211241116</v>
      </c>
      <c r="AY37" s="898">
        <f t="shared" si="32"/>
        <v>15722.371211241116</v>
      </c>
      <c r="AZ37" s="898">
        <f t="shared" si="32"/>
        <v>15722.371211241116</v>
      </c>
      <c r="BA37" s="898">
        <f t="shared" si="32"/>
        <v>15722.371211241116</v>
      </c>
      <c r="BB37" s="898">
        <f t="shared" si="32"/>
        <v>15722.371211241116</v>
      </c>
      <c r="BC37" s="898">
        <f t="shared" si="32"/>
        <v>15722.371211241116</v>
      </c>
      <c r="BD37" s="898">
        <f t="shared" si="32"/>
        <v>15722.371211241116</v>
      </c>
      <c r="BE37" s="898">
        <f t="shared" si="32"/>
        <v>15722.371211241116</v>
      </c>
      <c r="BF37" s="898">
        <f t="shared" si="32"/>
        <v>15722.371211241116</v>
      </c>
      <c r="BG37" s="898">
        <f t="shared" si="32"/>
        <v>15722.371211241116</v>
      </c>
      <c r="BH37" s="898">
        <f t="shared" si="32"/>
        <v>15722.371211241116</v>
      </c>
      <c r="BI37" s="898">
        <f t="shared" si="32"/>
        <v>15722.371211241116</v>
      </c>
      <c r="BJ37" s="898">
        <f t="shared" si="32"/>
        <v>15722.371211241116</v>
      </c>
      <c r="BK37" s="898">
        <f t="shared" si="32"/>
        <v>15722.371211241116</v>
      </c>
      <c r="BL37" s="898">
        <f t="shared" si="32"/>
        <v>15722.371211241116</v>
      </c>
      <c r="BM37" s="898">
        <f t="shared" si="32"/>
        <v>15722.371211241116</v>
      </c>
      <c r="BN37" s="898">
        <f t="shared" si="32"/>
        <v>15722.371211241116</v>
      </c>
      <c r="BO37" s="898">
        <f t="shared" si="32"/>
        <v>15722.371211241116</v>
      </c>
      <c r="BP37" s="898">
        <f t="shared" si="32"/>
        <v>15722.371211241116</v>
      </c>
      <c r="BQ37" s="898">
        <f t="shared" si="32"/>
        <v>15722.371211241116</v>
      </c>
      <c r="BR37" s="898">
        <f t="shared" si="32"/>
        <v>15722.371211241116</v>
      </c>
      <c r="BS37" s="898">
        <f t="shared" ref="BS37:CL37" si="33">$D$37*BS16</f>
        <v>15722.371211241116</v>
      </c>
      <c r="BT37" s="898">
        <f t="shared" si="33"/>
        <v>15722.371211241116</v>
      </c>
      <c r="BU37" s="898">
        <f t="shared" si="33"/>
        <v>15722.371211241116</v>
      </c>
      <c r="BV37" s="898">
        <f t="shared" si="33"/>
        <v>15722.371211241116</v>
      </c>
      <c r="BW37" s="898">
        <f t="shared" si="33"/>
        <v>15722.371211241116</v>
      </c>
      <c r="BX37" s="898">
        <f t="shared" si="33"/>
        <v>15722.371211241116</v>
      </c>
      <c r="BY37" s="898">
        <f t="shared" si="33"/>
        <v>15722.371211241116</v>
      </c>
      <c r="BZ37" s="898">
        <f t="shared" si="33"/>
        <v>15722.371211241116</v>
      </c>
      <c r="CA37" s="898">
        <f t="shared" si="33"/>
        <v>15722.371211241116</v>
      </c>
      <c r="CB37" s="898">
        <f t="shared" si="33"/>
        <v>15722.371211241116</v>
      </c>
      <c r="CC37" s="898">
        <f t="shared" si="33"/>
        <v>15722.371211241116</v>
      </c>
      <c r="CD37" s="898">
        <f t="shared" si="33"/>
        <v>15722.371211241116</v>
      </c>
      <c r="CE37" s="898">
        <f t="shared" si="33"/>
        <v>15722.371211241116</v>
      </c>
      <c r="CF37" s="898">
        <f t="shared" si="33"/>
        <v>15722.371211241116</v>
      </c>
      <c r="CG37" s="898">
        <f t="shared" si="33"/>
        <v>15722.371211241116</v>
      </c>
      <c r="CH37" s="898">
        <f t="shared" si="33"/>
        <v>15722.371211241116</v>
      </c>
      <c r="CI37" s="898">
        <f t="shared" si="33"/>
        <v>15722.371211241116</v>
      </c>
      <c r="CJ37" s="898">
        <f t="shared" si="33"/>
        <v>15722.371211241116</v>
      </c>
      <c r="CK37" s="898">
        <f t="shared" si="33"/>
        <v>15722.371211241116</v>
      </c>
      <c r="CL37" s="896">
        <f t="shared" si="33"/>
        <v>15722.371211241116</v>
      </c>
      <c r="CM37" s="875">
        <f t="shared" si="23"/>
        <v>15722.371211241094</v>
      </c>
      <c r="CN37" s="904" t="s">
        <v>208</v>
      </c>
      <c r="CO37" s="905">
        <v>3.25</v>
      </c>
      <c r="CP37" s="905">
        <v>3.25</v>
      </c>
      <c r="CQ37" s="905">
        <v>3.25</v>
      </c>
      <c r="CR37" s="905">
        <v>3.25</v>
      </c>
      <c r="CS37" s="905">
        <v>3.25</v>
      </c>
      <c r="CT37" s="905">
        <v>3.5</v>
      </c>
      <c r="CU37" s="905">
        <v>3.5</v>
      </c>
      <c r="CV37" s="905">
        <v>3.5</v>
      </c>
      <c r="CW37" s="905">
        <v>3.5</v>
      </c>
      <c r="CX37" s="905">
        <v>3.5</v>
      </c>
      <c r="CY37" s="905">
        <v>3.5</v>
      </c>
      <c r="CZ37" s="905">
        <v>3.5</v>
      </c>
      <c r="DA37" s="905">
        <v>3.5</v>
      </c>
      <c r="DB37" s="905">
        <v>3.5</v>
      </c>
      <c r="DC37" s="905">
        <v>3.5</v>
      </c>
      <c r="DD37" s="905">
        <v>3.5</v>
      </c>
      <c r="DE37" s="905">
        <v>3.5574974358974401</v>
      </c>
      <c r="DF37" s="905">
        <v>3.5365333333333302</v>
      </c>
      <c r="DG37" s="905">
        <v>3.5155692307692301</v>
      </c>
      <c r="DH37" s="905">
        <v>3.49460512820513</v>
      </c>
      <c r="DI37" s="905">
        <v>3.4736410256410299</v>
      </c>
      <c r="DJ37" s="905">
        <v>3.4526769230769201</v>
      </c>
      <c r="DK37" s="905">
        <v>3.43171282051282</v>
      </c>
      <c r="DL37" s="905">
        <v>3.4107487179487199</v>
      </c>
      <c r="DM37" s="905">
        <v>3.3897846153846101</v>
      </c>
      <c r="DN37" s="905">
        <v>3.36882051282051</v>
      </c>
      <c r="DO37" s="905">
        <v>3.3478564102564099</v>
      </c>
      <c r="DP37" s="905">
        <v>3.3268923076923098</v>
      </c>
      <c r="DQ37" s="905">
        <v>3.3059282051282</v>
      </c>
      <c r="DR37" s="905">
        <v>3.2849641025640999</v>
      </c>
      <c r="DS37" s="905">
        <v>3.2639999999999998</v>
      </c>
      <c r="DT37" s="905">
        <v>3.2430358974359002</v>
      </c>
      <c r="DU37" s="905">
        <v>3.2220717948717899</v>
      </c>
      <c r="DV37" s="905">
        <v>3.2011076923076902</v>
      </c>
      <c r="DW37" s="905">
        <v>3.1801435897435901</v>
      </c>
      <c r="DX37" s="905">
        <v>3.15917948717949</v>
      </c>
      <c r="DY37" s="905">
        <v>3.1382153846153802</v>
      </c>
      <c r="DZ37" s="905">
        <v>3.1172512820512801</v>
      </c>
      <c r="EA37" s="905">
        <v>3.09628717948718</v>
      </c>
      <c r="EB37" s="905">
        <v>3.0753230769230799</v>
      </c>
      <c r="EC37" s="905">
        <v>2.19</v>
      </c>
      <c r="ED37" s="905">
        <v>3.16</v>
      </c>
      <c r="EE37" s="905">
        <v>3.15</v>
      </c>
      <c r="EF37" s="905">
        <v>2.71</v>
      </c>
      <c r="EG37" s="905">
        <v>2.67</v>
      </c>
      <c r="EH37" s="905">
        <v>2.98</v>
      </c>
      <c r="EI37" s="905">
        <v>3.6</v>
      </c>
      <c r="EJ37" s="905">
        <v>3.3</v>
      </c>
      <c r="EK37" s="905">
        <v>3.19</v>
      </c>
      <c r="EL37" s="905">
        <v>3.54</v>
      </c>
      <c r="EM37" s="905">
        <v>3.04</v>
      </c>
      <c r="EN37" s="905">
        <v>2.95</v>
      </c>
      <c r="EO37" s="905">
        <v>2.5499999999999998</v>
      </c>
      <c r="EP37" s="905">
        <v>3.17</v>
      </c>
      <c r="EQ37" s="905">
        <v>2.7</v>
      </c>
      <c r="ER37" s="905">
        <v>2.14</v>
      </c>
      <c r="ES37" s="905">
        <v>2.11</v>
      </c>
      <c r="ET37" s="905">
        <v>2.31</v>
      </c>
      <c r="EU37" s="905">
        <v>2.5499999999999998</v>
      </c>
      <c r="EV37" s="905">
        <v>2.8</v>
      </c>
      <c r="EW37" s="905">
        <v>2.42</v>
      </c>
      <c r="EX37" s="905">
        <v>2.8</v>
      </c>
      <c r="EY37" s="905">
        <v>2.73</v>
      </c>
      <c r="EZ37" s="905">
        <v>2.99</v>
      </c>
      <c r="FA37" s="905">
        <v>2.38</v>
      </c>
      <c r="FB37" s="905">
        <v>2.4700000000000002</v>
      </c>
      <c r="FC37" s="905">
        <v>1.66</v>
      </c>
      <c r="FD37" s="905">
        <v>2.34</v>
      </c>
      <c r="FE37" s="905">
        <v>2.73</v>
      </c>
      <c r="FF37" s="905">
        <v>1.44</v>
      </c>
      <c r="FG37" s="905">
        <v>1.22</v>
      </c>
      <c r="FH37" s="905">
        <v>1.58</v>
      </c>
      <c r="FI37" s="905">
        <v>2.04</v>
      </c>
      <c r="FJ37" s="905">
        <v>2.15</v>
      </c>
      <c r="FK37" s="905">
        <v>2.37</v>
      </c>
      <c r="FL37" s="905">
        <v>2.61</v>
      </c>
      <c r="FM37" s="905">
        <v>2.96</v>
      </c>
      <c r="FN37" s="905">
        <v>3.52</v>
      </c>
      <c r="FO37" s="905">
        <v>3.35</v>
      </c>
      <c r="FP37" s="905">
        <v>2.69</v>
      </c>
      <c r="FQ37" s="905">
        <v>2.57</v>
      </c>
      <c r="FR37" s="905">
        <v>2.83</v>
      </c>
      <c r="FS37" s="905">
        <v>3.48</v>
      </c>
      <c r="FT37" s="905">
        <v>3.56</v>
      </c>
      <c r="FU37" s="905">
        <v>3.74</v>
      </c>
      <c r="FV37" s="906">
        <f t="shared" si="27"/>
        <v>2.6986666666666661</v>
      </c>
      <c r="FW37" s="903"/>
    </row>
    <row r="38" spans="1:179">
      <c r="A38" s="1397"/>
      <c r="B38" s="876" t="s">
        <v>399</v>
      </c>
      <c r="C38" s="877" t="s">
        <v>361</v>
      </c>
      <c r="D38" s="877">
        <v>15.58</v>
      </c>
      <c r="E38" s="1398"/>
      <c r="F38" s="896" t="s">
        <v>131</v>
      </c>
      <c r="G38" s="897">
        <f t="shared" ref="G38:BR38" si="34">$D$38*G16</f>
        <v>1749675.3105081185</v>
      </c>
      <c r="H38" s="897">
        <f t="shared" si="34"/>
        <v>1749675.3105081185</v>
      </c>
      <c r="I38" s="897">
        <f t="shared" si="34"/>
        <v>1749675.3105081185</v>
      </c>
      <c r="J38" s="897">
        <f t="shared" si="34"/>
        <v>1749675.3105081185</v>
      </c>
      <c r="K38" s="897">
        <f t="shared" si="34"/>
        <v>1749675.3105081185</v>
      </c>
      <c r="L38" s="897">
        <f t="shared" si="34"/>
        <v>1749675.3105081185</v>
      </c>
      <c r="M38" s="897">
        <f t="shared" si="34"/>
        <v>1749675.3105081185</v>
      </c>
      <c r="N38" s="897">
        <f t="shared" si="34"/>
        <v>1749675.3105081185</v>
      </c>
      <c r="O38" s="897">
        <f t="shared" si="34"/>
        <v>1749675.3105081185</v>
      </c>
      <c r="P38" s="897">
        <f t="shared" si="34"/>
        <v>1749675.3105081185</v>
      </c>
      <c r="Q38" s="897">
        <f t="shared" si="34"/>
        <v>1749675.3105081185</v>
      </c>
      <c r="R38" s="897">
        <f t="shared" si="34"/>
        <v>1749675.3105081185</v>
      </c>
      <c r="S38" s="897">
        <f t="shared" si="34"/>
        <v>1749675.3105081185</v>
      </c>
      <c r="T38" s="897">
        <f t="shared" si="34"/>
        <v>1749675.3105081185</v>
      </c>
      <c r="U38" s="897">
        <f t="shared" si="34"/>
        <v>1749675.3105081185</v>
      </c>
      <c r="V38" s="897">
        <f t="shared" si="34"/>
        <v>1749675.3105081185</v>
      </c>
      <c r="W38" s="897">
        <f t="shared" si="34"/>
        <v>1749675.3105081185</v>
      </c>
      <c r="X38" s="897">
        <f t="shared" si="34"/>
        <v>1749675.3105081185</v>
      </c>
      <c r="Y38" s="897">
        <f t="shared" si="34"/>
        <v>1749675.3105081185</v>
      </c>
      <c r="Z38" s="897">
        <f t="shared" si="34"/>
        <v>1749675.3105081185</v>
      </c>
      <c r="AA38" s="897">
        <f t="shared" si="34"/>
        <v>1749675.3105081185</v>
      </c>
      <c r="AB38" s="897">
        <f t="shared" si="34"/>
        <v>1749675.3105081185</v>
      </c>
      <c r="AC38" s="897">
        <f t="shared" si="34"/>
        <v>1749675.3105081185</v>
      </c>
      <c r="AD38" s="897">
        <f t="shared" si="34"/>
        <v>1749675.3105081185</v>
      </c>
      <c r="AE38" s="897">
        <f t="shared" si="34"/>
        <v>1749675.3105081185</v>
      </c>
      <c r="AF38" s="897">
        <f t="shared" si="34"/>
        <v>1749675.3105081185</v>
      </c>
      <c r="AG38" s="897">
        <f t="shared" si="34"/>
        <v>1749675.3105081185</v>
      </c>
      <c r="AH38" s="897">
        <f t="shared" si="34"/>
        <v>1749675.3105081185</v>
      </c>
      <c r="AI38" s="897">
        <f t="shared" si="34"/>
        <v>1749675.3105081185</v>
      </c>
      <c r="AJ38" s="897">
        <f t="shared" si="34"/>
        <v>1749675.3105081185</v>
      </c>
      <c r="AK38" s="897">
        <f t="shared" si="34"/>
        <v>1749675.3105081185</v>
      </c>
      <c r="AL38" s="897">
        <f t="shared" si="34"/>
        <v>1749675.3105081185</v>
      </c>
      <c r="AM38" s="897">
        <f t="shared" si="34"/>
        <v>1749675.3105081185</v>
      </c>
      <c r="AN38" s="897">
        <f t="shared" si="34"/>
        <v>1749675.3105081185</v>
      </c>
      <c r="AO38" s="897">
        <f t="shared" si="34"/>
        <v>1749675.3105081185</v>
      </c>
      <c r="AP38" s="897">
        <f t="shared" si="34"/>
        <v>1749675.3105081185</v>
      </c>
      <c r="AQ38" s="897">
        <f t="shared" si="34"/>
        <v>1749675.3105081185</v>
      </c>
      <c r="AR38" s="897">
        <f t="shared" si="34"/>
        <v>1749675.3105081185</v>
      </c>
      <c r="AS38" s="897">
        <f t="shared" si="34"/>
        <v>1749675.3105081185</v>
      </c>
      <c r="AT38" s="897">
        <f t="shared" si="34"/>
        <v>1749675.3105081185</v>
      </c>
      <c r="AU38" s="898">
        <f t="shared" si="34"/>
        <v>1749675.3105081185</v>
      </c>
      <c r="AV38" s="898">
        <f t="shared" si="34"/>
        <v>1749675.3105081185</v>
      </c>
      <c r="AW38" s="898">
        <f t="shared" si="34"/>
        <v>1749675.3105081185</v>
      </c>
      <c r="AX38" s="898">
        <f t="shared" si="34"/>
        <v>1749675.3105081185</v>
      </c>
      <c r="AY38" s="898">
        <f t="shared" si="34"/>
        <v>1749675.3105081185</v>
      </c>
      <c r="AZ38" s="898">
        <f t="shared" si="34"/>
        <v>1749675.3105081185</v>
      </c>
      <c r="BA38" s="898">
        <f t="shared" si="34"/>
        <v>1749675.3105081185</v>
      </c>
      <c r="BB38" s="898">
        <f t="shared" si="34"/>
        <v>1749675.3105081185</v>
      </c>
      <c r="BC38" s="898">
        <f t="shared" si="34"/>
        <v>1749675.3105081185</v>
      </c>
      <c r="BD38" s="898">
        <f t="shared" si="34"/>
        <v>1749675.3105081185</v>
      </c>
      <c r="BE38" s="898">
        <f t="shared" si="34"/>
        <v>1749675.3105081185</v>
      </c>
      <c r="BF38" s="898">
        <f t="shared" si="34"/>
        <v>1749675.3105081185</v>
      </c>
      <c r="BG38" s="898">
        <f t="shared" si="34"/>
        <v>1749675.3105081185</v>
      </c>
      <c r="BH38" s="898">
        <f t="shared" si="34"/>
        <v>1749675.3105081185</v>
      </c>
      <c r="BI38" s="898">
        <f t="shared" si="34"/>
        <v>1749675.3105081185</v>
      </c>
      <c r="BJ38" s="898">
        <f t="shared" si="34"/>
        <v>1749675.3105081185</v>
      </c>
      <c r="BK38" s="898">
        <f t="shared" si="34"/>
        <v>1749675.3105081185</v>
      </c>
      <c r="BL38" s="898">
        <f t="shared" si="34"/>
        <v>1749675.3105081185</v>
      </c>
      <c r="BM38" s="898">
        <f t="shared" si="34"/>
        <v>1749675.3105081185</v>
      </c>
      <c r="BN38" s="898">
        <f t="shared" si="34"/>
        <v>1749675.3105081185</v>
      </c>
      <c r="BO38" s="898">
        <f t="shared" si="34"/>
        <v>1749675.3105081185</v>
      </c>
      <c r="BP38" s="898">
        <f t="shared" si="34"/>
        <v>1749675.3105081185</v>
      </c>
      <c r="BQ38" s="898">
        <f t="shared" si="34"/>
        <v>1749675.3105081185</v>
      </c>
      <c r="BR38" s="898">
        <f t="shared" si="34"/>
        <v>1749675.3105081185</v>
      </c>
      <c r="BS38" s="898">
        <f t="shared" ref="BS38:CL38" si="35">$D$38*BS16</f>
        <v>1749675.3105081185</v>
      </c>
      <c r="BT38" s="898">
        <f t="shared" si="35"/>
        <v>1749675.3105081185</v>
      </c>
      <c r="BU38" s="898">
        <f t="shared" si="35"/>
        <v>1749675.3105081185</v>
      </c>
      <c r="BV38" s="898">
        <f t="shared" si="35"/>
        <v>1749675.3105081185</v>
      </c>
      <c r="BW38" s="898">
        <f t="shared" si="35"/>
        <v>1749675.3105081185</v>
      </c>
      <c r="BX38" s="898">
        <f t="shared" si="35"/>
        <v>1749675.3105081185</v>
      </c>
      <c r="BY38" s="898">
        <f t="shared" si="35"/>
        <v>1749675.3105081185</v>
      </c>
      <c r="BZ38" s="898">
        <f t="shared" si="35"/>
        <v>1749675.3105081185</v>
      </c>
      <c r="CA38" s="898">
        <f t="shared" si="35"/>
        <v>1749675.3105081185</v>
      </c>
      <c r="CB38" s="898">
        <f t="shared" si="35"/>
        <v>1749675.3105081185</v>
      </c>
      <c r="CC38" s="898">
        <f t="shared" si="35"/>
        <v>1749675.3105081185</v>
      </c>
      <c r="CD38" s="898">
        <f t="shared" si="35"/>
        <v>1749675.3105081185</v>
      </c>
      <c r="CE38" s="898">
        <f t="shared" si="35"/>
        <v>1749675.3105081185</v>
      </c>
      <c r="CF38" s="898">
        <f t="shared" si="35"/>
        <v>1749675.3105081185</v>
      </c>
      <c r="CG38" s="898">
        <f t="shared" si="35"/>
        <v>1749675.3105081185</v>
      </c>
      <c r="CH38" s="898">
        <f t="shared" si="35"/>
        <v>1749675.3105081185</v>
      </c>
      <c r="CI38" s="898">
        <f t="shared" si="35"/>
        <v>1749675.3105081185</v>
      </c>
      <c r="CJ38" s="898">
        <f t="shared" si="35"/>
        <v>1749675.3105081185</v>
      </c>
      <c r="CK38" s="898">
        <f t="shared" si="35"/>
        <v>1749675.3105081185</v>
      </c>
      <c r="CL38" s="896">
        <f t="shared" si="35"/>
        <v>1749675.3105081185</v>
      </c>
      <c r="CM38" s="875">
        <f t="shared" si="23"/>
        <v>1749675.3105081185</v>
      </c>
      <c r="CN38" s="907" t="s">
        <v>249</v>
      </c>
      <c r="CO38" s="908">
        <v>3</v>
      </c>
      <c r="CP38" s="908">
        <v>3</v>
      </c>
      <c r="CQ38" s="908">
        <v>3</v>
      </c>
      <c r="CR38" s="908">
        <v>3</v>
      </c>
      <c r="CS38" s="908">
        <v>3</v>
      </c>
      <c r="CT38" s="908">
        <v>3</v>
      </c>
      <c r="CU38" s="908">
        <v>3</v>
      </c>
      <c r="CV38" s="908">
        <v>3</v>
      </c>
      <c r="CW38" s="908">
        <v>3</v>
      </c>
      <c r="CX38" s="908">
        <v>3</v>
      </c>
      <c r="CY38" s="908">
        <v>3</v>
      </c>
      <c r="CZ38" s="908">
        <v>3</v>
      </c>
      <c r="DA38" s="908">
        <v>3</v>
      </c>
      <c r="DB38" s="908">
        <v>3</v>
      </c>
      <c r="DC38" s="908">
        <v>3</v>
      </c>
      <c r="DD38" s="908">
        <v>3</v>
      </c>
      <c r="DE38" s="908">
        <v>3</v>
      </c>
      <c r="DF38" s="908">
        <v>3</v>
      </c>
      <c r="DG38" s="908">
        <v>3</v>
      </c>
      <c r="DH38" s="908">
        <v>3</v>
      </c>
      <c r="DI38" s="908">
        <v>3</v>
      </c>
      <c r="DJ38" s="908">
        <v>3</v>
      </c>
      <c r="DK38" s="908">
        <v>3</v>
      </c>
      <c r="DL38" s="908">
        <v>3</v>
      </c>
      <c r="DM38" s="908">
        <v>3</v>
      </c>
      <c r="DN38" s="908">
        <v>3</v>
      </c>
      <c r="DO38" s="908">
        <v>3</v>
      </c>
      <c r="DP38" s="908">
        <v>3</v>
      </c>
      <c r="DQ38" s="908">
        <v>3</v>
      </c>
      <c r="DR38" s="908">
        <v>3</v>
      </c>
      <c r="DS38" s="908">
        <v>3</v>
      </c>
      <c r="DT38" s="908">
        <v>3</v>
      </c>
      <c r="DU38" s="908">
        <v>3</v>
      </c>
      <c r="DV38" s="908">
        <v>3</v>
      </c>
      <c r="DW38" s="908">
        <v>3</v>
      </c>
      <c r="DX38" s="908">
        <v>3</v>
      </c>
      <c r="DY38" s="908">
        <v>3</v>
      </c>
      <c r="DZ38" s="908">
        <v>3</v>
      </c>
      <c r="EA38" s="908">
        <v>3</v>
      </c>
      <c r="EB38" s="908">
        <v>3</v>
      </c>
      <c r="EC38" s="908">
        <v>3</v>
      </c>
      <c r="ED38" s="908">
        <v>3</v>
      </c>
      <c r="EE38" s="908">
        <v>3</v>
      </c>
      <c r="EF38" s="908">
        <v>3</v>
      </c>
      <c r="EG38" s="908">
        <v>3</v>
      </c>
      <c r="EH38" s="908">
        <v>3</v>
      </c>
      <c r="EI38" s="908">
        <v>3</v>
      </c>
      <c r="EJ38" s="908">
        <v>3</v>
      </c>
      <c r="EK38" s="908">
        <v>3</v>
      </c>
      <c r="EL38" s="908">
        <v>3</v>
      </c>
      <c r="EM38" s="908">
        <v>3</v>
      </c>
      <c r="EN38" s="908">
        <v>3</v>
      </c>
      <c r="EO38" s="908">
        <v>3</v>
      </c>
      <c r="EP38" s="908">
        <v>3</v>
      </c>
      <c r="EQ38" s="908">
        <v>3</v>
      </c>
      <c r="ER38" s="908">
        <v>3</v>
      </c>
      <c r="ES38" s="908">
        <v>3</v>
      </c>
      <c r="ET38" s="908">
        <v>3</v>
      </c>
      <c r="EU38" s="908">
        <v>3</v>
      </c>
      <c r="EV38" s="908">
        <v>3</v>
      </c>
      <c r="EW38" s="908">
        <v>3</v>
      </c>
      <c r="EX38" s="908">
        <v>3</v>
      </c>
      <c r="EY38" s="908">
        <v>3</v>
      </c>
      <c r="EZ38" s="908">
        <v>3</v>
      </c>
      <c r="FA38" s="908">
        <v>3</v>
      </c>
      <c r="FB38" s="908">
        <v>3</v>
      </c>
      <c r="FC38" s="908">
        <v>3</v>
      </c>
      <c r="FD38" s="908">
        <v>3</v>
      </c>
      <c r="FE38" s="908">
        <v>3</v>
      </c>
      <c r="FF38" s="908">
        <v>3</v>
      </c>
      <c r="FG38" s="908">
        <v>3</v>
      </c>
      <c r="FH38" s="908">
        <v>3</v>
      </c>
      <c r="FI38" s="908">
        <v>3</v>
      </c>
      <c r="FJ38" s="908">
        <v>3</v>
      </c>
      <c r="FK38" s="908">
        <v>3</v>
      </c>
      <c r="FL38" s="908">
        <v>3</v>
      </c>
      <c r="FM38" s="908">
        <v>3</v>
      </c>
      <c r="FN38" s="908">
        <v>3</v>
      </c>
      <c r="FO38" s="908">
        <v>3</v>
      </c>
      <c r="FP38" s="908">
        <v>3</v>
      </c>
      <c r="FQ38" s="908">
        <v>3</v>
      </c>
      <c r="FR38" s="908">
        <v>3</v>
      </c>
      <c r="FS38" s="908">
        <v>3</v>
      </c>
      <c r="FT38" s="908">
        <v>3</v>
      </c>
      <c r="FU38" s="908">
        <v>3</v>
      </c>
      <c r="FV38" s="906">
        <f t="shared" si="27"/>
        <v>3</v>
      </c>
      <c r="FW38" s="903"/>
    </row>
    <row r="39" spans="1:179">
      <c r="A39" s="1397"/>
      <c r="B39" s="876" t="s">
        <v>399</v>
      </c>
      <c r="C39" s="877" t="s">
        <v>361</v>
      </c>
      <c r="D39" s="877">
        <v>16.829999999999998</v>
      </c>
      <c r="E39" s="1398"/>
      <c r="F39" s="896" t="s">
        <v>408</v>
      </c>
      <c r="G39" s="897">
        <f>$D$39*G16</f>
        <v>1890053.6248941997</v>
      </c>
      <c r="H39" s="897">
        <f t="shared" ref="H39:BS39" si="36">$D$39*H16</f>
        <v>1890053.6248941997</v>
      </c>
      <c r="I39" s="897">
        <f t="shared" si="36"/>
        <v>1890053.6248941997</v>
      </c>
      <c r="J39" s="897">
        <f t="shared" si="36"/>
        <v>1890053.6248941997</v>
      </c>
      <c r="K39" s="897">
        <f t="shared" si="36"/>
        <v>1890053.6248941997</v>
      </c>
      <c r="L39" s="897">
        <f t="shared" si="36"/>
        <v>1890053.6248941997</v>
      </c>
      <c r="M39" s="897">
        <f t="shared" si="36"/>
        <v>1890053.6248941997</v>
      </c>
      <c r="N39" s="897">
        <f t="shared" si="36"/>
        <v>1890053.6248941997</v>
      </c>
      <c r="O39" s="897">
        <f t="shared" si="36"/>
        <v>1890053.6248941997</v>
      </c>
      <c r="P39" s="897">
        <f t="shared" si="36"/>
        <v>1890053.6248941997</v>
      </c>
      <c r="Q39" s="897">
        <f t="shared" si="36"/>
        <v>1890053.6248941997</v>
      </c>
      <c r="R39" s="897">
        <f t="shared" si="36"/>
        <v>1890053.6248941997</v>
      </c>
      <c r="S39" s="897">
        <f t="shared" si="36"/>
        <v>1890053.6248941997</v>
      </c>
      <c r="T39" s="897">
        <f t="shared" si="36"/>
        <v>1890053.6248941997</v>
      </c>
      <c r="U39" s="897">
        <f t="shared" si="36"/>
        <v>1890053.6248941997</v>
      </c>
      <c r="V39" s="897">
        <f t="shared" si="36"/>
        <v>1890053.6248941997</v>
      </c>
      <c r="W39" s="897">
        <f t="shared" si="36"/>
        <v>1890053.6248941997</v>
      </c>
      <c r="X39" s="897">
        <f t="shared" si="36"/>
        <v>1890053.6248941997</v>
      </c>
      <c r="Y39" s="897">
        <f t="shared" si="36"/>
        <v>1890053.6248941997</v>
      </c>
      <c r="Z39" s="897">
        <f t="shared" si="36"/>
        <v>1890053.6248941997</v>
      </c>
      <c r="AA39" s="897">
        <f t="shared" si="36"/>
        <v>1890053.6248941997</v>
      </c>
      <c r="AB39" s="897">
        <f t="shared" si="36"/>
        <v>1890053.6248941997</v>
      </c>
      <c r="AC39" s="897">
        <f t="shared" si="36"/>
        <v>1890053.6248941997</v>
      </c>
      <c r="AD39" s="897">
        <f t="shared" si="36"/>
        <v>1890053.6248941997</v>
      </c>
      <c r="AE39" s="897">
        <f t="shared" si="36"/>
        <v>1890053.6248941997</v>
      </c>
      <c r="AF39" s="897">
        <f t="shared" si="36"/>
        <v>1890053.6248941997</v>
      </c>
      <c r="AG39" s="897">
        <f t="shared" si="36"/>
        <v>1890053.6248941997</v>
      </c>
      <c r="AH39" s="897">
        <f t="shared" si="36"/>
        <v>1890053.6248941997</v>
      </c>
      <c r="AI39" s="897">
        <f t="shared" si="36"/>
        <v>1890053.6248941997</v>
      </c>
      <c r="AJ39" s="897">
        <f t="shared" si="36"/>
        <v>1890053.6248941997</v>
      </c>
      <c r="AK39" s="897">
        <f t="shared" si="36"/>
        <v>1890053.6248941997</v>
      </c>
      <c r="AL39" s="897">
        <f t="shared" si="36"/>
        <v>1890053.6248941997</v>
      </c>
      <c r="AM39" s="897">
        <f t="shared" si="36"/>
        <v>1890053.6248941997</v>
      </c>
      <c r="AN39" s="897">
        <f t="shared" si="36"/>
        <v>1890053.6248941997</v>
      </c>
      <c r="AO39" s="897">
        <f t="shared" si="36"/>
        <v>1890053.6248941997</v>
      </c>
      <c r="AP39" s="897">
        <f t="shared" si="36"/>
        <v>1890053.6248941997</v>
      </c>
      <c r="AQ39" s="897">
        <f t="shared" si="36"/>
        <v>1890053.6248941997</v>
      </c>
      <c r="AR39" s="897">
        <f t="shared" si="36"/>
        <v>1890053.6248941997</v>
      </c>
      <c r="AS39" s="897">
        <f t="shared" si="36"/>
        <v>1890053.6248941997</v>
      </c>
      <c r="AT39" s="897">
        <f t="shared" si="36"/>
        <v>1890053.6248941997</v>
      </c>
      <c r="AU39" s="897">
        <f t="shared" si="36"/>
        <v>1890053.6248941997</v>
      </c>
      <c r="AV39" s="897">
        <f t="shared" si="36"/>
        <v>1890053.6248941997</v>
      </c>
      <c r="AW39" s="897">
        <f t="shared" si="36"/>
        <v>1890053.6248941997</v>
      </c>
      <c r="AX39" s="897">
        <f t="shared" si="36"/>
        <v>1890053.6248941997</v>
      </c>
      <c r="AY39" s="897">
        <f t="shared" si="36"/>
        <v>1890053.6248941997</v>
      </c>
      <c r="AZ39" s="897">
        <f t="shared" si="36"/>
        <v>1890053.6248941997</v>
      </c>
      <c r="BA39" s="897">
        <f t="shared" si="36"/>
        <v>1890053.6248941997</v>
      </c>
      <c r="BB39" s="897">
        <f t="shared" si="36"/>
        <v>1890053.6248941997</v>
      </c>
      <c r="BC39" s="897">
        <f t="shared" si="36"/>
        <v>1890053.6248941997</v>
      </c>
      <c r="BD39" s="897">
        <f t="shared" si="36"/>
        <v>1890053.6248941997</v>
      </c>
      <c r="BE39" s="897">
        <f t="shared" si="36"/>
        <v>1890053.6248941997</v>
      </c>
      <c r="BF39" s="897">
        <f t="shared" si="36"/>
        <v>1890053.6248941997</v>
      </c>
      <c r="BG39" s="897">
        <f t="shared" si="36"/>
        <v>1890053.6248941997</v>
      </c>
      <c r="BH39" s="897">
        <f t="shared" si="36"/>
        <v>1890053.6248941997</v>
      </c>
      <c r="BI39" s="897">
        <f t="shared" si="36"/>
        <v>1890053.6248941997</v>
      </c>
      <c r="BJ39" s="897">
        <f t="shared" si="36"/>
        <v>1890053.6248941997</v>
      </c>
      <c r="BK39" s="897">
        <f t="shared" si="36"/>
        <v>1890053.6248941997</v>
      </c>
      <c r="BL39" s="897">
        <f t="shared" si="36"/>
        <v>1890053.6248941997</v>
      </c>
      <c r="BM39" s="897">
        <f t="shared" si="36"/>
        <v>1890053.6248941997</v>
      </c>
      <c r="BN39" s="897">
        <f t="shared" si="36"/>
        <v>1890053.6248941997</v>
      </c>
      <c r="BO39" s="897">
        <f t="shared" si="36"/>
        <v>1890053.6248941997</v>
      </c>
      <c r="BP39" s="897">
        <f t="shared" si="36"/>
        <v>1890053.6248941997</v>
      </c>
      <c r="BQ39" s="897">
        <f t="shared" si="36"/>
        <v>1890053.6248941997</v>
      </c>
      <c r="BR39" s="897">
        <f t="shared" si="36"/>
        <v>1890053.6248941997</v>
      </c>
      <c r="BS39" s="897">
        <f t="shared" si="36"/>
        <v>1890053.6248941997</v>
      </c>
      <c r="BT39" s="897">
        <f t="shared" ref="BT39:CM39" si="37">$D$39*BT16</f>
        <v>1890053.6248941997</v>
      </c>
      <c r="BU39" s="897">
        <f t="shared" si="37"/>
        <v>1890053.6248941997</v>
      </c>
      <c r="BV39" s="897">
        <f t="shared" si="37"/>
        <v>1890053.6248941997</v>
      </c>
      <c r="BW39" s="897">
        <f t="shared" si="37"/>
        <v>1890053.6248941997</v>
      </c>
      <c r="BX39" s="897">
        <f t="shared" si="37"/>
        <v>1890053.6248941997</v>
      </c>
      <c r="BY39" s="897">
        <f t="shared" si="37"/>
        <v>1890053.6248941997</v>
      </c>
      <c r="BZ39" s="897">
        <f t="shared" si="37"/>
        <v>1890053.6248941997</v>
      </c>
      <c r="CA39" s="897">
        <f t="shared" si="37"/>
        <v>1890053.6248941997</v>
      </c>
      <c r="CB39" s="897">
        <f t="shared" si="37"/>
        <v>1890053.6248941997</v>
      </c>
      <c r="CC39" s="897">
        <f t="shared" si="37"/>
        <v>1890053.6248941997</v>
      </c>
      <c r="CD39" s="897">
        <f t="shared" si="37"/>
        <v>1890053.6248941997</v>
      </c>
      <c r="CE39" s="897">
        <f t="shared" si="37"/>
        <v>1890053.6248941997</v>
      </c>
      <c r="CF39" s="897">
        <f t="shared" si="37"/>
        <v>1890053.6248941997</v>
      </c>
      <c r="CG39" s="897">
        <f t="shared" si="37"/>
        <v>1890053.6248941997</v>
      </c>
      <c r="CH39" s="897">
        <f t="shared" si="37"/>
        <v>1890053.6248941997</v>
      </c>
      <c r="CI39" s="897">
        <f t="shared" si="37"/>
        <v>1890053.6248941997</v>
      </c>
      <c r="CJ39" s="897">
        <f t="shared" si="37"/>
        <v>1890053.6248941997</v>
      </c>
      <c r="CK39" s="897">
        <f t="shared" si="37"/>
        <v>1890053.6248941997</v>
      </c>
      <c r="CL39" s="897">
        <f t="shared" si="37"/>
        <v>1890053.6248941997</v>
      </c>
      <c r="CM39" s="897">
        <f t="shared" si="37"/>
        <v>1890053.6248941997</v>
      </c>
      <c r="CN39" s="907" t="s">
        <v>250</v>
      </c>
      <c r="CO39" s="908">
        <v>2.4500000000000002</v>
      </c>
      <c r="CP39" s="908">
        <v>2.4500000000000002</v>
      </c>
      <c r="CQ39" s="908">
        <v>2.4500000000000002</v>
      </c>
      <c r="CR39" s="908">
        <v>2.4500000000000002</v>
      </c>
      <c r="CS39" s="908">
        <v>2.4500000000000002</v>
      </c>
      <c r="CT39" s="908">
        <v>2.4500000000000002</v>
      </c>
      <c r="CU39" s="908">
        <v>2.4500000000000002</v>
      </c>
      <c r="CV39" s="908">
        <v>2.4500000000000002</v>
      </c>
      <c r="CW39" s="908">
        <v>2.4500000000000002</v>
      </c>
      <c r="CX39" s="908">
        <v>2.4500000000000002</v>
      </c>
      <c r="CY39" s="908">
        <v>2.4500000000000002</v>
      </c>
      <c r="CZ39" s="908">
        <v>2.4500000000000002</v>
      </c>
      <c r="DA39" s="908">
        <v>2.4500000000000002</v>
      </c>
      <c r="DB39" s="908">
        <v>2.4500000000000002</v>
      </c>
      <c r="DC39" s="908">
        <v>2.4500000000000002</v>
      </c>
      <c r="DD39" s="908">
        <v>2.4500000000000002</v>
      </c>
      <c r="DE39" s="908">
        <v>2.4500000000000002</v>
      </c>
      <c r="DF39" s="908">
        <v>2.4500000000000002</v>
      </c>
      <c r="DG39" s="908">
        <v>2.4500000000000002</v>
      </c>
      <c r="DH39" s="908">
        <v>2.4500000000000002</v>
      </c>
      <c r="DI39" s="908">
        <v>2.4500000000000002</v>
      </c>
      <c r="DJ39" s="908">
        <v>2.4500000000000002</v>
      </c>
      <c r="DK39" s="908">
        <v>2.4500000000000002</v>
      </c>
      <c r="DL39" s="908">
        <v>2.4500000000000002</v>
      </c>
      <c r="DM39" s="908">
        <v>2.4500000000000002</v>
      </c>
      <c r="DN39" s="908">
        <v>2.4500000000000002</v>
      </c>
      <c r="DO39" s="908">
        <v>2.4500000000000002</v>
      </c>
      <c r="DP39" s="908">
        <v>2.4500000000000002</v>
      </c>
      <c r="DQ39" s="908">
        <v>2.4500000000000002</v>
      </c>
      <c r="DR39" s="908">
        <v>2.4500000000000002</v>
      </c>
      <c r="DS39" s="908">
        <v>2.4500000000000002</v>
      </c>
      <c r="DT39" s="908">
        <v>2.4500000000000002</v>
      </c>
      <c r="DU39" s="908">
        <v>2.4500000000000002</v>
      </c>
      <c r="DV39" s="908">
        <v>2.4500000000000002</v>
      </c>
      <c r="DW39" s="908">
        <v>2.4500000000000002</v>
      </c>
      <c r="DX39" s="908">
        <v>2.4500000000000002</v>
      </c>
      <c r="DY39" s="908">
        <v>2.4500000000000002</v>
      </c>
      <c r="DZ39" s="908">
        <v>2.4500000000000002</v>
      </c>
      <c r="EA39" s="908">
        <v>2.4500000000000002</v>
      </c>
      <c r="EB39" s="908">
        <v>2.4500000000000002</v>
      </c>
      <c r="EC39" s="908">
        <v>2.4500000000000002</v>
      </c>
      <c r="ED39" s="908">
        <v>2.4500000000000002</v>
      </c>
      <c r="EE39" s="908">
        <v>2.4500000000000002</v>
      </c>
      <c r="EF39" s="908">
        <v>2.4500000000000002</v>
      </c>
      <c r="EG39" s="908">
        <v>2.4500000000000002</v>
      </c>
      <c r="EH39" s="908">
        <v>2.4500000000000002</v>
      </c>
      <c r="EI39" s="908">
        <v>2.4500000000000002</v>
      </c>
      <c r="EJ39" s="908">
        <v>2.4500000000000002</v>
      </c>
      <c r="EK39" s="908">
        <v>2.4500000000000002</v>
      </c>
      <c r="EL39" s="908">
        <v>2.4500000000000002</v>
      </c>
      <c r="EM39" s="908">
        <v>2.4500000000000002</v>
      </c>
      <c r="EN39" s="908">
        <v>2.4500000000000002</v>
      </c>
      <c r="EO39" s="908">
        <v>2.4500000000000002</v>
      </c>
      <c r="EP39" s="908">
        <v>2.4500000000000002</v>
      </c>
      <c r="EQ39" s="908">
        <v>2.4500000000000002</v>
      </c>
      <c r="ER39" s="908">
        <v>2.4500000000000002</v>
      </c>
      <c r="ES39" s="908">
        <v>2.4500000000000002</v>
      </c>
      <c r="ET39" s="908">
        <v>2.4500000000000002</v>
      </c>
      <c r="EU39" s="908">
        <v>2.4500000000000002</v>
      </c>
      <c r="EV39" s="908">
        <v>2.4500000000000002</v>
      </c>
      <c r="EW39" s="908">
        <v>2.4500000000000002</v>
      </c>
      <c r="EX39" s="908">
        <v>2.4500000000000002</v>
      </c>
      <c r="EY39" s="908">
        <v>2.4500000000000002</v>
      </c>
      <c r="EZ39" s="908">
        <v>2.4500000000000002</v>
      </c>
      <c r="FA39" s="908">
        <v>2.4500000000000002</v>
      </c>
      <c r="FB39" s="908">
        <v>2.4500000000000002</v>
      </c>
      <c r="FC39" s="908">
        <v>2.4500000000000002</v>
      </c>
      <c r="FD39" s="908">
        <v>2.4500000000000002</v>
      </c>
      <c r="FE39" s="908">
        <v>2.4500000000000002</v>
      </c>
      <c r="FF39" s="908">
        <v>2.4500000000000002</v>
      </c>
      <c r="FG39" s="908">
        <v>2.4500000000000002</v>
      </c>
      <c r="FH39" s="908">
        <v>2.4500000000000002</v>
      </c>
      <c r="FI39" s="908">
        <v>2.4500000000000002</v>
      </c>
      <c r="FJ39" s="908">
        <v>2.4500000000000002</v>
      </c>
      <c r="FK39" s="908">
        <v>2.4500000000000002</v>
      </c>
      <c r="FL39" s="908">
        <v>2.4500000000000002</v>
      </c>
      <c r="FM39" s="908">
        <v>2.4500000000000002</v>
      </c>
      <c r="FN39" s="908">
        <v>2.4500000000000002</v>
      </c>
      <c r="FO39" s="908">
        <v>2.4500000000000002</v>
      </c>
      <c r="FP39" s="908">
        <v>2.4500000000000002</v>
      </c>
      <c r="FQ39" s="908">
        <v>2.4500000000000002</v>
      </c>
      <c r="FR39" s="908">
        <v>2.4500000000000002</v>
      </c>
      <c r="FS39" s="908">
        <v>2.4500000000000002</v>
      </c>
      <c r="FT39" s="908">
        <v>2.4500000000000002</v>
      </c>
      <c r="FU39" s="908">
        <v>2.4500000000000002</v>
      </c>
      <c r="FV39" s="906">
        <f t="shared" si="27"/>
        <v>2.450000000000002</v>
      </c>
      <c r="FW39" s="903"/>
    </row>
    <row r="40" spans="1:179">
      <c r="A40" s="1397"/>
      <c r="B40" s="876" t="s">
        <v>399</v>
      </c>
      <c r="C40" s="877" t="s">
        <v>167</v>
      </c>
      <c r="D40" s="877">
        <v>2.8000000000000001E-2</v>
      </c>
      <c r="E40" s="1398"/>
      <c r="F40" s="909" t="s">
        <v>442</v>
      </c>
      <c r="G40" s="897">
        <f t="shared" ref="G40:BR40" si="38">$D$40*G16</f>
        <v>3144.4742422482232</v>
      </c>
      <c r="H40" s="897">
        <f t="shared" si="38"/>
        <v>3144.4742422482232</v>
      </c>
      <c r="I40" s="897">
        <f t="shared" si="38"/>
        <v>3144.4742422482232</v>
      </c>
      <c r="J40" s="897">
        <f t="shared" si="38"/>
        <v>3144.4742422482232</v>
      </c>
      <c r="K40" s="897">
        <f t="shared" si="38"/>
        <v>3144.4742422482232</v>
      </c>
      <c r="L40" s="897">
        <f t="shared" si="38"/>
        <v>3144.4742422482232</v>
      </c>
      <c r="M40" s="897">
        <f t="shared" si="38"/>
        <v>3144.4742422482232</v>
      </c>
      <c r="N40" s="897">
        <f t="shared" si="38"/>
        <v>3144.4742422482232</v>
      </c>
      <c r="O40" s="897">
        <f t="shared" si="38"/>
        <v>3144.4742422482232</v>
      </c>
      <c r="P40" s="897">
        <f t="shared" si="38"/>
        <v>3144.4742422482232</v>
      </c>
      <c r="Q40" s="897">
        <f t="shared" si="38"/>
        <v>3144.4742422482232</v>
      </c>
      <c r="R40" s="897">
        <f t="shared" si="38"/>
        <v>3144.4742422482232</v>
      </c>
      <c r="S40" s="897">
        <f t="shared" si="38"/>
        <v>3144.4742422482232</v>
      </c>
      <c r="T40" s="897">
        <f t="shared" si="38"/>
        <v>3144.4742422482232</v>
      </c>
      <c r="U40" s="897">
        <f t="shared" si="38"/>
        <v>3144.4742422482232</v>
      </c>
      <c r="V40" s="897">
        <f t="shared" si="38"/>
        <v>3144.4742422482232</v>
      </c>
      <c r="W40" s="897">
        <f t="shared" si="38"/>
        <v>3144.4742422482232</v>
      </c>
      <c r="X40" s="897">
        <f t="shared" si="38"/>
        <v>3144.4742422482232</v>
      </c>
      <c r="Y40" s="897">
        <f t="shared" si="38"/>
        <v>3144.4742422482232</v>
      </c>
      <c r="Z40" s="897">
        <f t="shared" si="38"/>
        <v>3144.4742422482232</v>
      </c>
      <c r="AA40" s="897">
        <f t="shared" si="38"/>
        <v>3144.4742422482232</v>
      </c>
      <c r="AB40" s="897">
        <f t="shared" si="38"/>
        <v>3144.4742422482232</v>
      </c>
      <c r="AC40" s="897">
        <f t="shared" si="38"/>
        <v>3144.4742422482232</v>
      </c>
      <c r="AD40" s="897">
        <f t="shared" si="38"/>
        <v>3144.4742422482232</v>
      </c>
      <c r="AE40" s="897">
        <f t="shared" si="38"/>
        <v>3144.4742422482232</v>
      </c>
      <c r="AF40" s="897">
        <f t="shared" si="38"/>
        <v>3144.4742422482232</v>
      </c>
      <c r="AG40" s="897">
        <f t="shared" si="38"/>
        <v>3144.4742422482232</v>
      </c>
      <c r="AH40" s="897">
        <f t="shared" si="38"/>
        <v>3144.4742422482232</v>
      </c>
      <c r="AI40" s="897">
        <f t="shared" si="38"/>
        <v>3144.4742422482232</v>
      </c>
      <c r="AJ40" s="897">
        <f t="shared" si="38"/>
        <v>3144.4742422482232</v>
      </c>
      <c r="AK40" s="897">
        <f t="shared" si="38"/>
        <v>3144.4742422482232</v>
      </c>
      <c r="AL40" s="897">
        <f t="shared" si="38"/>
        <v>3144.4742422482232</v>
      </c>
      <c r="AM40" s="897">
        <f t="shared" si="38"/>
        <v>3144.4742422482232</v>
      </c>
      <c r="AN40" s="897">
        <f t="shared" si="38"/>
        <v>3144.4742422482232</v>
      </c>
      <c r="AO40" s="897">
        <f t="shared" si="38"/>
        <v>3144.4742422482232</v>
      </c>
      <c r="AP40" s="897">
        <f t="shared" si="38"/>
        <v>3144.4742422482232</v>
      </c>
      <c r="AQ40" s="897">
        <f t="shared" si="38"/>
        <v>3144.4742422482232</v>
      </c>
      <c r="AR40" s="897">
        <f t="shared" si="38"/>
        <v>3144.4742422482232</v>
      </c>
      <c r="AS40" s="897">
        <f t="shared" si="38"/>
        <v>3144.4742422482232</v>
      </c>
      <c r="AT40" s="897">
        <f t="shared" si="38"/>
        <v>3144.4742422482232</v>
      </c>
      <c r="AU40" s="898">
        <f t="shared" si="38"/>
        <v>3144.4742422482232</v>
      </c>
      <c r="AV40" s="898">
        <f t="shared" si="38"/>
        <v>3144.4742422482232</v>
      </c>
      <c r="AW40" s="898">
        <f t="shared" si="38"/>
        <v>3144.4742422482232</v>
      </c>
      <c r="AX40" s="898">
        <f t="shared" si="38"/>
        <v>3144.4742422482232</v>
      </c>
      <c r="AY40" s="898">
        <f t="shared" si="38"/>
        <v>3144.4742422482232</v>
      </c>
      <c r="AZ40" s="898">
        <f t="shared" si="38"/>
        <v>3144.4742422482232</v>
      </c>
      <c r="BA40" s="898">
        <f t="shared" si="38"/>
        <v>3144.4742422482232</v>
      </c>
      <c r="BB40" s="898">
        <f t="shared" si="38"/>
        <v>3144.4742422482232</v>
      </c>
      <c r="BC40" s="898">
        <f t="shared" si="38"/>
        <v>3144.4742422482232</v>
      </c>
      <c r="BD40" s="898">
        <f t="shared" si="38"/>
        <v>3144.4742422482232</v>
      </c>
      <c r="BE40" s="898">
        <f t="shared" si="38"/>
        <v>3144.4742422482232</v>
      </c>
      <c r="BF40" s="898">
        <f t="shared" si="38"/>
        <v>3144.4742422482232</v>
      </c>
      <c r="BG40" s="898">
        <f t="shared" si="38"/>
        <v>3144.4742422482232</v>
      </c>
      <c r="BH40" s="898">
        <f t="shared" si="38"/>
        <v>3144.4742422482232</v>
      </c>
      <c r="BI40" s="898">
        <f t="shared" si="38"/>
        <v>3144.4742422482232</v>
      </c>
      <c r="BJ40" s="898">
        <f t="shared" si="38"/>
        <v>3144.4742422482232</v>
      </c>
      <c r="BK40" s="898">
        <f t="shared" si="38"/>
        <v>3144.4742422482232</v>
      </c>
      <c r="BL40" s="898">
        <f t="shared" si="38"/>
        <v>3144.4742422482232</v>
      </c>
      <c r="BM40" s="898">
        <f t="shared" si="38"/>
        <v>3144.4742422482232</v>
      </c>
      <c r="BN40" s="898">
        <f t="shared" si="38"/>
        <v>3144.4742422482232</v>
      </c>
      <c r="BO40" s="898">
        <f t="shared" si="38"/>
        <v>3144.4742422482232</v>
      </c>
      <c r="BP40" s="898">
        <f t="shared" si="38"/>
        <v>3144.4742422482232</v>
      </c>
      <c r="BQ40" s="898">
        <f t="shared" si="38"/>
        <v>3144.4742422482232</v>
      </c>
      <c r="BR40" s="898">
        <f t="shared" si="38"/>
        <v>3144.4742422482232</v>
      </c>
      <c r="BS40" s="898">
        <f t="shared" ref="BS40:CL40" si="39">$D$40*BS16</f>
        <v>3144.4742422482232</v>
      </c>
      <c r="BT40" s="898">
        <f t="shared" si="39"/>
        <v>3144.4742422482232</v>
      </c>
      <c r="BU40" s="898">
        <f t="shared" si="39"/>
        <v>3144.4742422482232</v>
      </c>
      <c r="BV40" s="898">
        <f t="shared" si="39"/>
        <v>3144.4742422482232</v>
      </c>
      <c r="BW40" s="898">
        <f t="shared" si="39"/>
        <v>3144.4742422482232</v>
      </c>
      <c r="BX40" s="898">
        <f t="shared" si="39"/>
        <v>3144.4742422482232</v>
      </c>
      <c r="BY40" s="898">
        <f t="shared" si="39"/>
        <v>3144.4742422482232</v>
      </c>
      <c r="BZ40" s="898">
        <f t="shared" si="39"/>
        <v>3144.4742422482232</v>
      </c>
      <c r="CA40" s="898">
        <f t="shared" si="39"/>
        <v>3144.4742422482232</v>
      </c>
      <c r="CB40" s="898">
        <f t="shared" si="39"/>
        <v>3144.4742422482232</v>
      </c>
      <c r="CC40" s="898">
        <f t="shared" si="39"/>
        <v>3144.4742422482232</v>
      </c>
      <c r="CD40" s="898">
        <f t="shared" si="39"/>
        <v>3144.4742422482232</v>
      </c>
      <c r="CE40" s="898">
        <f t="shared" si="39"/>
        <v>3144.4742422482232</v>
      </c>
      <c r="CF40" s="898">
        <f t="shared" si="39"/>
        <v>3144.4742422482232</v>
      </c>
      <c r="CG40" s="898">
        <f t="shared" si="39"/>
        <v>3144.4742422482232</v>
      </c>
      <c r="CH40" s="898">
        <f t="shared" si="39"/>
        <v>3144.4742422482232</v>
      </c>
      <c r="CI40" s="898">
        <f t="shared" si="39"/>
        <v>3144.4742422482232</v>
      </c>
      <c r="CJ40" s="898">
        <f t="shared" si="39"/>
        <v>3144.4742422482232</v>
      </c>
      <c r="CK40" s="898">
        <f t="shared" si="39"/>
        <v>3144.4742422482232</v>
      </c>
      <c r="CL40" s="896">
        <f t="shared" si="39"/>
        <v>3144.4742422482232</v>
      </c>
      <c r="CM40" s="875">
        <f t="shared" si="23"/>
        <v>3144.4742422482232</v>
      </c>
      <c r="CN40" s="907" t="s">
        <v>251</v>
      </c>
      <c r="CO40" s="908">
        <v>752</v>
      </c>
      <c r="CP40" s="908">
        <v>752</v>
      </c>
      <c r="CQ40" s="908">
        <v>752</v>
      </c>
      <c r="CR40" s="908">
        <v>752</v>
      </c>
      <c r="CS40" s="908">
        <v>752</v>
      </c>
      <c r="CT40" s="908">
        <v>752</v>
      </c>
      <c r="CU40" s="908">
        <v>752</v>
      </c>
      <c r="CV40" s="908">
        <v>752</v>
      </c>
      <c r="CW40" s="908">
        <v>752</v>
      </c>
      <c r="CX40" s="908">
        <v>752</v>
      </c>
      <c r="CY40" s="908">
        <v>752</v>
      </c>
      <c r="CZ40" s="908">
        <v>752</v>
      </c>
      <c r="DA40" s="908">
        <v>752</v>
      </c>
      <c r="DB40" s="908">
        <v>752</v>
      </c>
      <c r="DC40" s="908">
        <v>752</v>
      </c>
      <c r="DD40" s="908">
        <v>752</v>
      </c>
      <c r="DE40" s="908">
        <v>752</v>
      </c>
      <c r="DF40" s="908">
        <v>752</v>
      </c>
      <c r="DG40" s="908">
        <v>752</v>
      </c>
      <c r="DH40" s="908">
        <v>752</v>
      </c>
      <c r="DI40" s="908">
        <v>752</v>
      </c>
      <c r="DJ40" s="908">
        <v>752</v>
      </c>
      <c r="DK40" s="908">
        <v>752</v>
      </c>
      <c r="DL40" s="908">
        <v>752</v>
      </c>
      <c r="DM40" s="908">
        <v>752</v>
      </c>
      <c r="DN40" s="908">
        <v>752</v>
      </c>
      <c r="DO40" s="908">
        <v>752</v>
      </c>
      <c r="DP40" s="908">
        <v>752</v>
      </c>
      <c r="DQ40" s="908">
        <v>752</v>
      </c>
      <c r="DR40" s="908">
        <v>752</v>
      </c>
      <c r="DS40" s="908">
        <v>752</v>
      </c>
      <c r="DT40" s="908">
        <v>752</v>
      </c>
      <c r="DU40" s="908">
        <v>752</v>
      </c>
      <c r="DV40" s="908">
        <v>752</v>
      </c>
      <c r="DW40" s="908">
        <v>752</v>
      </c>
      <c r="DX40" s="908">
        <v>752</v>
      </c>
      <c r="DY40" s="908">
        <v>752</v>
      </c>
      <c r="DZ40" s="908">
        <v>752</v>
      </c>
      <c r="EA40" s="908">
        <v>752</v>
      </c>
      <c r="EB40" s="908">
        <v>752</v>
      </c>
      <c r="EC40" s="908">
        <v>752</v>
      </c>
      <c r="ED40" s="908">
        <v>752</v>
      </c>
      <c r="EE40" s="908">
        <v>752</v>
      </c>
      <c r="EF40" s="908">
        <v>752</v>
      </c>
      <c r="EG40" s="908">
        <v>752</v>
      </c>
      <c r="EH40" s="908">
        <v>752</v>
      </c>
      <c r="EI40" s="908">
        <v>752</v>
      </c>
      <c r="EJ40" s="908">
        <v>752</v>
      </c>
      <c r="EK40" s="908">
        <v>752</v>
      </c>
      <c r="EL40" s="908">
        <v>752</v>
      </c>
      <c r="EM40" s="908">
        <v>752</v>
      </c>
      <c r="EN40" s="908">
        <v>752</v>
      </c>
      <c r="EO40" s="908">
        <v>752</v>
      </c>
      <c r="EP40" s="908">
        <v>752</v>
      </c>
      <c r="EQ40" s="908">
        <v>752</v>
      </c>
      <c r="ER40" s="908">
        <v>752</v>
      </c>
      <c r="ES40" s="908">
        <v>752</v>
      </c>
      <c r="ET40" s="908">
        <v>752</v>
      </c>
      <c r="EU40" s="908">
        <v>752</v>
      </c>
      <c r="EV40" s="908">
        <v>752</v>
      </c>
      <c r="EW40" s="908">
        <v>752</v>
      </c>
      <c r="EX40" s="908">
        <v>752</v>
      </c>
      <c r="EY40" s="908">
        <v>752</v>
      </c>
      <c r="EZ40" s="908">
        <v>752</v>
      </c>
      <c r="FA40" s="908">
        <v>752</v>
      </c>
      <c r="FB40" s="908">
        <v>752</v>
      </c>
      <c r="FC40" s="908">
        <v>752</v>
      </c>
      <c r="FD40" s="908">
        <v>752</v>
      </c>
      <c r="FE40" s="908">
        <v>752</v>
      </c>
      <c r="FF40" s="908">
        <v>752</v>
      </c>
      <c r="FG40" s="908">
        <v>752</v>
      </c>
      <c r="FH40" s="908">
        <v>752</v>
      </c>
      <c r="FI40" s="908">
        <v>752</v>
      </c>
      <c r="FJ40" s="908">
        <v>752</v>
      </c>
      <c r="FK40" s="908">
        <v>752</v>
      </c>
      <c r="FL40" s="908">
        <v>752</v>
      </c>
      <c r="FM40" s="908">
        <v>752</v>
      </c>
      <c r="FN40" s="908">
        <v>752</v>
      </c>
      <c r="FO40" s="908">
        <v>752</v>
      </c>
      <c r="FP40" s="908">
        <v>752</v>
      </c>
      <c r="FQ40" s="908">
        <v>752</v>
      </c>
      <c r="FR40" s="908">
        <v>752</v>
      </c>
      <c r="FS40" s="908">
        <v>752</v>
      </c>
      <c r="FT40" s="908">
        <v>752</v>
      </c>
      <c r="FU40" s="908">
        <v>752</v>
      </c>
      <c r="FV40" s="906">
        <f t="shared" si="27"/>
        <v>752</v>
      </c>
      <c r="FW40" s="903"/>
    </row>
    <row r="41" spans="1:179">
      <c r="A41" s="910"/>
      <c r="B41" s="911" t="s">
        <v>399</v>
      </c>
      <c r="C41" s="912" t="s">
        <v>352</v>
      </c>
      <c r="D41" s="912"/>
      <c r="E41" s="913"/>
      <c r="F41" s="914" t="s">
        <v>409</v>
      </c>
      <c r="G41" s="915">
        <f t="shared" ref="G41:BR41" si="40">G34*CP35+G36*CP36+G37*CP34+G38*CP37+G35*CP38+CP39*G39+G40*CP40</f>
        <v>585611689.03351581</v>
      </c>
      <c r="H41" s="915">
        <f t="shared" si="40"/>
        <v>585611689.03351581</v>
      </c>
      <c r="I41" s="915">
        <f t="shared" si="40"/>
        <v>585611689.03351581</v>
      </c>
      <c r="J41" s="915">
        <f t="shared" si="40"/>
        <v>585613575.71806109</v>
      </c>
      <c r="K41" s="915">
        <f t="shared" si="40"/>
        <v>586050994.54568803</v>
      </c>
      <c r="L41" s="915">
        <f t="shared" si="40"/>
        <v>586051623.44053662</v>
      </c>
      <c r="M41" s="915">
        <f t="shared" si="40"/>
        <v>586051623.44053662</v>
      </c>
      <c r="N41" s="915">
        <f t="shared" si="40"/>
        <v>587280193.90738761</v>
      </c>
      <c r="O41" s="915">
        <f t="shared" si="40"/>
        <v>586052252.33538496</v>
      </c>
      <c r="P41" s="915">
        <f t="shared" si="40"/>
        <v>587282552.26306927</v>
      </c>
      <c r="Q41" s="915">
        <f t="shared" si="40"/>
        <v>588510493.83507371</v>
      </c>
      <c r="R41" s="915">
        <f t="shared" si="40"/>
        <v>589738435.40707815</v>
      </c>
      <c r="S41" s="915">
        <f t="shared" si="40"/>
        <v>590967005.87392914</v>
      </c>
      <c r="T41" s="915">
        <f t="shared" si="40"/>
        <v>592197065.64722681</v>
      </c>
      <c r="U41" s="915">
        <f t="shared" si="40"/>
        <v>593425235.41105592</v>
      </c>
      <c r="V41" s="915">
        <f t="shared" si="40"/>
        <v>594754007.0188905</v>
      </c>
      <c r="W41" s="915">
        <f t="shared" si="40"/>
        <v>595945496.41005599</v>
      </c>
      <c r="X41" s="915">
        <f t="shared" si="40"/>
        <v>597136985.80121994</v>
      </c>
      <c r="Y41" s="915">
        <f t="shared" si="40"/>
        <v>598328475.19238567</v>
      </c>
      <c r="Z41" s="915">
        <f t="shared" si="40"/>
        <v>599519964.58355141</v>
      </c>
      <c r="AA41" s="915">
        <f t="shared" si="40"/>
        <v>600711453.97471523</v>
      </c>
      <c r="AB41" s="915">
        <f t="shared" si="40"/>
        <v>601902943.36588085</v>
      </c>
      <c r="AC41" s="915">
        <f t="shared" si="40"/>
        <v>603094432.75704658</v>
      </c>
      <c r="AD41" s="915">
        <f t="shared" si="40"/>
        <v>604285922.14821041</v>
      </c>
      <c r="AE41" s="915">
        <f t="shared" si="40"/>
        <v>605479072.17649591</v>
      </c>
      <c r="AF41" s="915">
        <f t="shared" si="40"/>
        <v>606668900.93053997</v>
      </c>
      <c r="AG41" s="915">
        <f t="shared" si="40"/>
        <v>607860808.45661569</v>
      </c>
      <c r="AH41" s="915">
        <f t="shared" si="40"/>
        <v>609051879.71287143</v>
      </c>
      <c r="AI41" s="915">
        <f t="shared" si="40"/>
        <v>610243369.10403526</v>
      </c>
      <c r="AJ41" s="915">
        <f t="shared" si="40"/>
        <v>611434858.49520099</v>
      </c>
      <c r="AK41" s="915">
        <f t="shared" si="40"/>
        <v>612626347.88636672</v>
      </c>
      <c r="AL41" s="915">
        <f t="shared" si="40"/>
        <v>613817837.27753055</v>
      </c>
      <c r="AM41" s="915">
        <f t="shared" si="40"/>
        <v>615009326.66869628</v>
      </c>
      <c r="AN41" s="915">
        <f t="shared" si="40"/>
        <v>616200816.05986011</v>
      </c>
      <c r="AO41" s="915">
        <f t="shared" si="40"/>
        <v>617392305.45102584</v>
      </c>
      <c r="AP41" s="915">
        <f t="shared" si="40"/>
        <v>618583794.84219146</v>
      </c>
      <c r="AQ41" s="915">
        <f t="shared" si="40"/>
        <v>619775284.2333554</v>
      </c>
      <c r="AR41" s="915">
        <f t="shared" si="40"/>
        <v>620966773.62452114</v>
      </c>
      <c r="AS41" s="915">
        <f t="shared" si="40"/>
        <v>622158263.01568687</v>
      </c>
      <c r="AT41" s="915">
        <f t="shared" si="40"/>
        <v>487360378.26627946</v>
      </c>
      <c r="AU41" s="916">
        <f t="shared" si="40"/>
        <v>593685215.7866534</v>
      </c>
      <c r="AV41" s="916">
        <f t="shared" si="40"/>
        <v>596840820.69807708</v>
      </c>
      <c r="AW41" s="916">
        <f t="shared" si="40"/>
        <v>576610920.14729059</v>
      </c>
      <c r="AX41" s="916">
        <f t="shared" si="40"/>
        <v>626241831.53895581</v>
      </c>
      <c r="AY41" s="916">
        <f t="shared" si="40"/>
        <v>678632486.52945149</v>
      </c>
      <c r="AZ41" s="916">
        <f t="shared" si="40"/>
        <v>693680039.59946072</v>
      </c>
      <c r="BA41" s="916">
        <f t="shared" si="40"/>
        <v>703263646.33744085</v>
      </c>
      <c r="BB41" s="916">
        <f t="shared" si="40"/>
        <v>692570186.59853494</v>
      </c>
      <c r="BC41" s="916">
        <f t="shared" si="40"/>
        <v>741818216.76020813</v>
      </c>
      <c r="BD41" s="916">
        <f t="shared" si="40"/>
        <v>702259858.56839979</v>
      </c>
      <c r="BE41" s="916">
        <f t="shared" si="40"/>
        <v>661293444.65653121</v>
      </c>
      <c r="BF41" s="916">
        <f t="shared" si="40"/>
        <v>654362245.21137512</v>
      </c>
      <c r="BG41" s="916">
        <f t="shared" si="40"/>
        <v>705730728.97777045</v>
      </c>
      <c r="BH41" s="916">
        <f t="shared" si="40"/>
        <v>634887423.21680629</v>
      </c>
      <c r="BI41" s="916">
        <f t="shared" si="40"/>
        <v>566827051.11023867</v>
      </c>
      <c r="BJ41" s="916">
        <f t="shared" si="40"/>
        <v>554924595.74348223</v>
      </c>
      <c r="BK41" s="916">
        <f t="shared" si="40"/>
        <v>586546888.65800011</v>
      </c>
      <c r="BL41" s="916">
        <f t="shared" si="40"/>
        <v>633693619.36047447</v>
      </c>
      <c r="BM41" s="916">
        <f t="shared" si="40"/>
        <v>585294938.69897926</v>
      </c>
      <c r="BN41" s="916">
        <f t="shared" si="40"/>
        <v>568525524.9466604</v>
      </c>
      <c r="BO41" s="916">
        <f t="shared" si="40"/>
        <v>668982953.21524155</v>
      </c>
      <c r="BP41" s="916">
        <f t="shared" si="40"/>
        <v>657961784.37119937</v>
      </c>
      <c r="BQ41" s="916">
        <f t="shared" si="40"/>
        <v>718459110.43637347</v>
      </c>
      <c r="BR41" s="916">
        <f t="shared" si="40"/>
        <v>622547457.66530299</v>
      </c>
      <c r="BS41" s="916">
        <f t="shared" ref="BS41:CL41" si="41">BS34*FB35+BS36*FB36+BS37*FB34+BS38*FB37+BS35*FB38+FB39*BS39+BS40*FB40</f>
        <v>598832079.99610031</v>
      </c>
      <c r="BT41" s="916">
        <f t="shared" si="41"/>
        <v>444710144.65783364</v>
      </c>
      <c r="BU41" s="916">
        <f t="shared" si="41"/>
        <v>534369122.70084506</v>
      </c>
      <c r="BV41" s="916">
        <f t="shared" si="41"/>
        <v>512434460.79502743</v>
      </c>
      <c r="BW41" s="916">
        <f t="shared" si="41"/>
        <v>387945444.28138995</v>
      </c>
      <c r="BX41" s="916">
        <f t="shared" si="41"/>
        <v>373138227.37729454</v>
      </c>
      <c r="BY41" s="916">
        <f t="shared" si="41"/>
        <v>425903785.41244692</v>
      </c>
      <c r="BZ41" s="916">
        <f t="shared" si="41"/>
        <v>489750863.73656237</v>
      </c>
      <c r="CA41" s="916">
        <f t="shared" si="41"/>
        <v>511381207.91732126</v>
      </c>
      <c r="CB41" s="916">
        <f t="shared" si="41"/>
        <v>557570187.9169327</v>
      </c>
      <c r="CC41" s="916">
        <f t="shared" si="41"/>
        <v>598003174.12531328</v>
      </c>
      <c r="CD41" s="916">
        <f t="shared" si="41"/>
        <v>678696627.20882654</v>
      </c>
      <c r="CE41" s="916">
        <f t="shared" si="41"/>
        <v>788122163.39789069</v>
      </c>
      <c r="CF41" s="916">
        <f t="shared" si="41"/>
        <v>705680977.8397404</v>
      </c>
      <c r="CG41" s="916">
        <f t="shared" si="41"/>
        <v>600546829.18198907</v>
      </c>
      <c r="CH41" s="916">
        <f t="shared" si="41"/>
        <v>595086123.98263562</v>
      </c>
      <c r="CI41" s="916">
        <f t="shared" si="41"/>
        <v>643695091.35908139</v>
      </c>
      <c r="CJ41" s="916">
        <f t="shared" si="41"/>
        <v>718157824.88290548</v>
      </c>
      <c r="CK41" s="916">
        <f t="shared" si="41"/>
        <v>819008076.59619951</v>
      </c>
      <c r="CL41" s="917">
        <f t="shared" si="41"/>
        <v>879469757.7997849</v>
      </c>
      <c r="CM41" s="918">
        <f t="shared" si="23"/>
        <v>609458440.19497418</v>
      </c>
      <c r="CN41" s="919" t="s">
        <v>209</v>
      </c>
      <c r="CO41" s="920">
        <f t="shared" ref="CO41:EB41" si="42">0.75*CO36</f>
        <v>27.734853846153825</v>
      </c>
      <c r="CP41" s="920">
        <f t="shared" si="42"/>
        <v>27.734853846153825</v>
      </c>
      <c r="CQ41" s="920">
        <f t="shared" si="42"/>
        <v>27.734853846153825</v>
      </c>
      <c r="CR41" s="920">
        <f t="shared" si="42"/>
        <v>27.734853846153825</v>
      </c>
      <c r="CS41" s="920">
        <f t="shared" si="42"/>
        <v>27.734853846153825</v>
      </c>
      <c r="CT41" s="920">
        <f t="shared" si="42"/>
        <v>27.734853846153825</v>
      </c>
      <c r="CU41" s="920">
        <f t="shared" si="42"/>
        <v>27.734853846153825</v>
      </c>
      <c r="CV41" s="920">
        <f t="shared" si="42"/>
        <v>27.734853846153825</v>
      </c>
      <c r="CW41" s="920">
        <f t="shared" si="42"/>
        <v>28.317217948717946</v>
      </c>
      <c r="CX41" s="920">
        <f t="shared" si="42"/>
        <v>27.734853846153825</v>
      </c>
      <c r="CY41" s="920">
        <f t="shared" si="42"/>
        <v>28.317217948717946</v>
      </c>
      <c r="CZ41" s="920">
        <f t="shared" si="42"/>
        <v>28.899582051282074</v>
      </c>
      <c r="DA41" s="920">
        <f t="shared" si="42"/>
        <v>29.481946153846124</v>
      </c>
      <c r="DB41" s="920">
        <f t="shared" si="42"/>
        <v>30.064310256410252</v>
      </c>
      <c r="DC41" s="920">
        <f t="shared" si="42"/>
        <v>30.646674358974373</v>
      </c>
      <c r="DD41" s="920">
        <f t="shared" si="42"/>
        <v>31.229038461538501</v>
      </c>
      <c r="DE41" s="920">
        <f t="shared" si="42"/>
        <v>31.811402564102551</v>
      </c>
      <c r="DF41" s="920">
        <f t="shared" si="42"/>
        <v>32.393766666666671</v>
      </c>
      <c r="DG41" s="920">
        <f t="shared" si="42"/>
        <v>32.976130769230799</v>
      </c>
      <c r="DH41" s="920">
        <f t="shared" si="42"/>
        <v>33.558494871794849</v>
      </c>
      <c r="DI41" s="920">
        <f t="shared" si="42"/>
        <v>34.140858974358977</v>
      </c>
      <c r="DJ41" s="920">
        <f t="shared" si="42"/>
        <v>34.723223076923098</v>
      </c>
      <c r="DK41" s="920">
        <f t="shared" si="42"/>
        <v>35.305587179487148</v>
      </c>
      <c r="DL41" s="920">
        <f t="shared" si="42"/>
        <v>35.887951282051276</v>
      </c>
      <c r="DM41" s="920">
        <f t="shared" si="42"/>
        <v>36.470315384615397</v>
      </c>
      <c r="DN41" s="920">
        <f t="shared" si="42"/>
        <v>37.052679487179525</v>
      </c>
      <c r="DO41" s="920">
        <f t="shared" si="42"/>
        <v>37.635043589743574</v>
      </c>
      <c r="DP41" s="920">
        <f t="shared" si="42"/>
        <v>38.217407692307702</v>
      </c>
      <c r="DQ41" s="920">
        <f t="shared" si="42"/>
        <v>38.799771794871823</v>
      </c>
      <c r="DR41" s="920">
        <f t="shared" si="42"/>
        <v>39.382135897435873</v>
      </c>
      <c r="DS41" s="920">
        <f t="shared" si="42"/>
        <v>39.964500000000001</v>
      </c>
      <c r="DT41" s="920">
        <f t="shared" si="42"/>
        <v>40.546864102564122</v>
      </c>
      <c r="DU41" s="920">
        <f t="shared" si="42"/>
        <v>41.129228205128179</v>
      </c>
      <c r="DV41" s="920">
        <f t="shared" si="42"/>
        <v>41.7115923076923</v>
      </c>
      <c r="DW41" s="920">
        <f t="shared" si="42"/>
        <v>42.293956410256428</v>
      </c>
      <c r="DX41" s="920">
        <f t="shared" si="42"/>
        <v>42.876320512820548</v>
      </c>
      <c r="DY41" s="920">
        <f t="shared" si="42"/>
        <v>43.458684615384598</v>
      </c>
      <c r="DZ41" s="920">
        <f t="shared" si="42"/>
        <v>44.041048717948726</v>
      </c>
      <c r="EA41" s="920">
        <f t="shared" si="42"/>
        <v>44.623412820512847</v>
      </c>
      <c r="EB41" s="920">
        <f t="shared" si="42"/>
        <v>45.205776923076904</v>
      </c>
      <c r="EC41" s="920">
        <f>0.75*EC36</f>
        <v>42.075000000000003</v>
      </c>
      <c r="ED41" s="920">
        <f t="shared" ref="ED41:FU41" si="43">0.75*ED36</f>
        <v>43.2</v>
      </c>
      <c r="EE41" s="920">
        <f t="shared" si="43"/>
        <v>41.775000000000006</v>
      </c>
      <c r="EF41" s="920">
        <f t="shared" si="43"/>
        <v>44.962500000000006</v>
      </c>
      <c r="EG41" s="920">
        <f t="shared" si="43"/>
        <v>51.427499999999995</v>
      </c>
      <c r="EH41" s="920">
        <f t="shared" si="43"/>
        <v>59.775000000000006</v>
      </c>
      <c r="EI41" s="920">
        <f t="shared" si="43"/>
        <v>63.757500000000007</v>
      </c>
      <c r="EJ41" s="920">
        <f t="shared" si="43"/>
        <v>55.064999999999998</v>
      </c>
      <c r="EK41" s="920">
        <f t="shared" si="43"/>
        <v>51.1875</v>
      </c>
      <c r="EL41" s="920">
        <f t="shared" si="43"/>
        <v>39.9375</v>
      </c>
      <c r="EM41" s="920">
        <f t="shared" si="43"/>
        <v>49.094999999999999</v>
      </c>
      <c r="EN41" s="920">
        <f t="shared" si="43"/>
        <v>45.697499999999998</v>
      </c>
      <c r="EO41" s="920">
        <f t="shared" si="43"/>
        <v>44.775000000000006</v>
      </c>
      <c r="EP41" s="920">
        <f t="shared" si="43"/>
        <v>44.204999999999998</v>
      </c>
      <c r="EQ41" s="920">
        <f t="shared" si="43"/>
        <v>43.462500000000006</v>
      </c>
      <c r="ER41" s="920">
        <f t="shared" si="43"/>
        <v>58.86</v>
      </c>
      <c r="ES41" s="920">
        <f t="shared" si="43"/>
        <v>61.882500000000007</v>
      </c>
      <c r="ET41" s="920">
        <f t="shared" si="43"/>
        <v>62.699999999999996</v>
      </c>
      <c r="EU41" s="920">
        <f t="shared" si="43"/>
        <v>76.612500000000011</v>
      </c>
      <c r="EV41" s="920">
        <f t="shared" si="43"/>
        <v>55.935000000000002</v>
      </c>
      <c r="EW41" s="920">
        <f t="shared" si="43"/>
        <v>58.837500000000006</v>
      </c>
      <c r="EX41" s="920">
        <f t="shared" si="43"/>
        <v>57.652500000000003</v>
      </c>
      <c r="EY41" s="920">
        <f t="shared" si="43"/>
        <v>61.792500000000004</v>
      </c>
      <c r="EZ41" s="920">
        <f t="shared" si="43"/>
        <v>58.41</v>
      </c>
      <c r="FA41" s="920">
        <f t="shared" si="43"/>
        <v>56.542500000000004</v>
      </c>
      <c r="FB41" s="920">
        <f t="shared" si="43"/>
        <v>50.137499999999996</v>
      </c>
      <c r="FC41" s="920">
        <f t="shared" si="43"/>
        <v>48.435000000000002</v>
      </c>
      <c r="FD41" s="920">
        <f t="shared" si="43"/>
        <v>63.727499999999999</v>
      </c>
      <c r="FE41" s="920">
        <f t="shared" si="43"/>
        <v>58.552499999999995</v>
      </c>
      <c r="FF41" s="920">
        <f t="shared" si="43"/>
        <v>53.377499999999998</v>
      </c>
      <c r="FG41" s="920">
        <f t="shared" si="43"/>
        <v>51.172499999999999</v>
      </c>
      <c r="FH41" s="920">
        <f t="shared" si="43"/>
        <v>51.900000000000006</v>
      </c>
      <c r="FI41" s="920">
        <f t="shared" si="43"/>
        <v>53.37</v>
      </c>
      <c r="FJ41" s="920">
        <f t="shared" si="43"/>
        <v>62.175000000000004</v>
      </c>
      <c r="FK41" s="920">
        <f t="shared" si="43"/>
        <v>66.66</v>
      </c>
      <c r="FL41" s="920">
        <f t="shared" si="43"/>
        <v>60.105000000000004</v>
      </c>
      <c r="FM41" s="920">
        <f t="shared" si="43"/>
        <v>67.072500000000005</v>
      </c>
      <c r="FN41" s="920">
        <f t="shared" si="43"/>
        <v>77.085000000000008</v>
      </c>
      <c r="FO41" s="920">
        <f t="shared" si="43"/>
        <v>76.6875</v>
      </c>
      <c r="FP41" s="920">
        <f t="shared" si="43"/>
        <v>75.239999999999995</v>
      </c>
      <c r="FQ41" s="920">
        <f t="shared" si="43"/>
        <v>61.005000000000003</v>
      </c>
      <c r="FR41" s="920">
        <f t="shared" si="43"/>
        <v>68.002499999999998</v>
      </c>
      <c r="FS41" s="920">
        <f t="shared" si="43"/>
        <v>68.894999999999996</v>
      </c>
      <c r="FT41" s="920">
        <f t="shared" si="43"/>
        <v>71.992499999999993</v>
      </c>
      <c r="FU41" s="920">
        <f t="shared" si="43"/>
        <v>71.212500000000006</v>
      </c>
      <c r="FV41" s="921">
        <f t="shared" si="27"/>
        <v>57.476166666666664</v>
      </c>
      <c r="FW41" s="903"/>
    </row>
    <row r="42" spans="1:179">
      <c r="A42" s="1399" t="s">
        <v>410</v>
      </c>
      <c r="B42" s="313" t="s">
        <v>399</v>
      </c>
      <c r="C42" s="583" t="s">
        <v>352</v>
      </c>
      <c r="D42" s="583"/>
      <c r="E42" s="922">
        <v>58.016529232000003</v>
      </c>
      <c r="F42" s="923" t="s">
        <v>432</v>
      </c>
      <c r="G42" s="924">
        <f t="shared" ref="G42:AS42" si="44">$E$42*G16</f>
        <v>6515410.0640951814</v>
      </c>
      <c r="H42" s="924">
        <f t="shared" si="44"/>
        <v>6515410.0640951814</v>
      </c>
      <c r="I42" s="924">
        <f t="shared" si="44"/>
        <v>6515410.0640951814</v>
      </c>
      <c r="J42" s="924">
        <f t="shared" si="44"/>
        <v>6515410.0640951814</v>
      </c>
      <c r="K42" s="924">
        <f t="shared" si="44"/>
        <v>6515410.0640951814</v>
      </c>
      <c r="L42" s="924">
        <f t="shared" si="44"/>
        <v>6515410.0640951814</v>
      </c>
      <c r="M42" s="924">
        <f t="shared" si="44"/>
        <v>6515410.0640951814</v>
      </c>
      <c r="N42" s="924">
        <f t="shared" si="44"/>
        <v>6515410.0640951814</v>
      </c>
      <c r="O42" s="924">
        <f t="shared" si="44"/>
        <v>6515410.0640951814</v>
      </c>
      <c r="P42" s="924">
        <f t="shared" si="44"/>
        <v>6515410.0640951814</v>
      </c>
      <c r="Q42" s="924">
        <f t="shared" si="44"/>
        <v>6515410.0640951814</v>
      </c>
      <c r="R42" s="924">
        <f t="shared" si="44"/>
        <v>6515410.0640951814</v>
      </c>
      <c r="S42" s="924">
        <f t="shared" si="44"/>
        <v>6515410.0640951814</v>
      </c>
      <c r="T42" s="924">
        <f t="shared" si="44"/>
        <v>6515410.0640951814</v>
      </c>
      <c r="U42" s="924">
        <f t="shared" si="44"/>
        <v>6515410.0640951814</v>
      </c>
      <c r="V42" s="924">
        <f t="shared" si="44"/>
        <v>6515410.0640951814</v>
      </c>
      <c r="W42" s="924">
        <f t="shared" si="44"/>
        <v>6515410.0640951814</v>
      </c>
      <c r="X42" s="924">
        <f t="shared" si="44"/>
        <v>6515410.0640951814</v>
      </c>
      <c r="Y42" s="924">
        <f t="shared" si="44"/>
        <v>6515410.0640951814</v>
      </c>
      <c r="Z42" s="924">
        <f t="shared" si="44"/>
        <v>6515410.0640951814</v>
      </c>
      <c r="AA42" s="924">
        <f t="shared" si="44"/>
        <v>6515410.0640951814</v>
      </c>
      <c r="AB42" s="924">
        <f t="shared" si="44"/>
        <v>6515410.0640951814</v>
      </c>
      <c r="AC42" s="924">
        <f t="shared" si="44"/>
        <v>6515410.0640951814</v>
      </c>
      <c r="AD42" s="924">
        <f t="shared" si="44"/>
        <v>6515410.0640951814</v>
      </c>
      <c r="AE42" s="924">
        <f t="shared" si="44"/>
        <v>6515410.0640951814</v>
      </c>
      <c r="AF42" s="924">
        <f t="shared" si="44"/>
        <v>6515410.0640951814</v>
      </c>
      <c r="AG42" s="924">
        <f t="shared" si="44"/>
        <v>6515410.0640951814</v>
      </c>
      <c r="AH42" s="924">
        <f t="shared" si="44"/>
        <v>6515410.0640951814</v>
      </c>
      <c r="AI42" s="924">
        <f t="shared" si="44"/>
        <v>6515410.0640951814</v>
      </c>
      <c r="AJ42" s="924">
        <f t="shared" si="44"/>
        <v>6515410.0640951814</v>
      </c>
      <c r="AK42" s="924">
        <f t="shared" si="44"/>
        <v>6515410.0640951814</v>
      </c>
      <c r="AL42" s="924">
        <f t="shared" si="44"/>
        <v>6515410.0640951814</v>
      </c>
      <c r="AM42" s="924">
        <f t="shared" si="44"/>
        <v>6515410.0640951814</v>
      </c>
      <c r="AN42" s="924">
        <f t="shared" si="44"/>
        <v>6515410.0640951814</v>
      </c>
      <c r="AO42" s="924">
        <f t="shared" si="44"/>
        <v>6515410.0640951814</v>
      </c>
      <c r="AP42" s="924">
        <f t="shared" si="44"/>
        <v>6515410.0640951814</v>
      </c>
      <c r="AQ42" s="924">
        <f t="shared" si="44"/>
        <v>6515410.0640951814</v>
      </c>
      <c r="AR42" s="924">
        <f t="shared" si="44"/>
        <v>6515410.0640951814</v>
      </c>
      <c r="AS42" s="924">
        <f t="shared" si="44"/>
        <v>6515410.0640951814</v>
      </c>
      <c r="AT42" s="924">
        <f>$E$42*AT16</f>
        <v>6515410.0640951814</v>
      </c>
      <c r="AU42" s="925">
        <f t="shared" ref="AU42:CL42" si="45">$E$42*AU16</f>
        <v>6515410.0640951814</v>
      </c>
      <c r="AV42" s="925">
        <f t="shared" si="45"/>
        <v>6515410.0640951814</v>
      </c>
      <c r="AW42" s="925">
        <f t="shared" si="45"/>
        <v>6515410.0640951814</v>
      </c>
      <c r="AX42" s="925">
        <f t="shared" si="45"/>
        <v>6515410.0640951814</v>
      </c>
      <c r="AY42" s="925">
        <f t="shared" si="45"/>
        <v>6515410.0640951814</v>
      </c>
      <c r="AZ42" s="925">
        <f t="shared" si="45"/>
        <v>6515410.0640951814</v>
      </c>
      <c r="BA42" s="925">
        <f t="shared" si="45"/>
        <v>6515410.0640951814</v>
      </c>
      <c r="BB42" s="925">
        <f t="shared" si="45"/>
        <v>6515410.0640951814</v>
      </c>
      <c r="BC42" s="925">
        <f t="shared" si="45"/>
        <v>6515410.0640951814</v>
      </c>
      <c r="BD42" s="925">
        <f t="shared" si="45"/>
        <v>6515410.0640951814</v>
      </c>
      <c r="BE42" s="925">
        <f t="shared" si="45"/>
        <v>6515410.0640951814</v>
      </c>
      <c r="BF42" s="925">
        <f t="shared" si="45"/>
        <v>6515410.0640951814</v>
      </c>
      <c r="BG42" s="925">
        <f t="shared" si="45"/>
        <v>6515410.0640951814</v>
      </c>
      <c r="BH42" s="925">
        <f t="shared" si="45"/>
        <v>6515410.0640951814</v>
      </c>
      <c r="BI42" s="925">
        <f t="shared" si="45"/>
        <v>6515410.0640951814</v>
      </c>
      <c r="BJ42" s="925">
        <f t="shared" si="45"/>
        <v>6515410.0640951814</v>
      </c>
      <c r="BK42" s="925">
        <f t="shared" si="45"/>
        <v>6515410.0640951814</v>
      </c>
      <c r="BL42" s="925">
        <f t="shared" si="45"/>
        <v>6515410.0640951814</v>
      </c>
      <c r="BM42" s="925">
        <f t="shared" si="45"/>
        <v>6515410.0640951814</v>
      </c>
      <c r="BN42" s="925">
        <f t="shared" si="45"/>
        <v>6515410.0640951814</v>
      </c>
      <c r="BO42" s="925">
        <f t="shared" si="45"/>
        <v>6515410.0640951814</v>
      </c>
      <c r="BP42" s="925">
        <f t="shared" si="45"/>
        <v>6515410.0640951814</v>
      </c>
      <c r="BQ42" s="925">
        <f t="shared" si="45"/>
        <v>6515410.0640951814</v>
      </c>
      <c r="BR42" s="925">
        <f t="shared" si="45"/>
        <v>6515410.0640951814</v>
      </c>
      <c r="BS42" s="925">
        <f t="shared" si="45"/>
        <v>6515410.0640951814</v>
      </c>
      <c r="BT42" s="925">
        <f t="shared" si="45"/>
        <v>6515410.0640951814</v>
      </c>
      <c r="BU42" s="925">
        <f t="shared" si="45"/>
        <v>6515410.0640951814</v>
      </c>
      <c r="BV42" s="925">
        <f t="shared" si="45"/>
        <v>6515410.0640951814</v>
      </c>
      <c r="BW42" s="925">
        <f t="shared" si="45"/>
        <v>6515410.0640951814</v>
      </c>
      <c r="BX42" s="925">
        <f t="shared" si="45"/>
        <v>6515410.0640951814</v>
      </c>
      <c r="BY42" s="925">
        <f t="shared" si="45"/>
        <v>6515410.0640951814</v>
      </c>
      <c r="BZ42" s="925">
        <f t="shared" si="45"/>
        <v>6515410.0640951814</v>
      </c>
      <c r="CA42" s="925">
        <f t="shared" si="45"/>
        <v>6515410.0640951814</v>
      </c>
      <c r="CB42" s="925">
        <f t="shared" si="45"/>
        <v>6515410.0640951814</v>
      </c>
      <c r="CC42" s="925">
        <f t="shared" si="45"/>
        <v>6515410.0640951814</v>
      </c>
      <c r="CD42" s="925">
        <f t="shared" si="45"/>
        <v>6515410.0640951814</v>
      </c>
      <c r="CE42" s="925">
        <f t="shared" si="45"/>
        <v>6515410.0640951814</v>
      </c>
      <c r="CF42" s="925">
        <f t="shared" si="45"/>
        <v>6515410.0640951814</v>
      </c>
      <c r="CG42" s="925">
        <f t="shared" si="45"/>
        <v>6515410.0640951814</v>
      </c>
      <c r="CH42" s="925">
        <f t="shared" si="45"/>
        <v>6515410.0640951814</v>
      </c>
      <c r="CI42" s="925">
        <f t="shared" si="45"/>
        <v>6515410.0640951814</v>
      </c>
      <c r="CJ42" s="925">
        <f t="shared" si="45"/>
        <v>6515410.0640951814</v>
      </c>
      <c r="CK42" s="925">
        <f t="shared" si="45"/>
        <v>6515410.0640951814</v>
      </c>
      <c r="CL42" s="925">
        <f t="shared" si="45"/>
        <v>6515410.0640951814</v>
      </c>
      <c r="CM42" s="356">
        <f t="shared" si="23"/>
        <v>6515410.0640951861</v>
      </c>
      <c r="CN42" s="347"/>
      <c r="CO42" s="347"/>
      <c r="CP42" s="347"/>
      <c r="CQ42" s="347"/>
      <c r="CR42" s="347"/>
      <c r="CS42" s="347"/>
      <c r="CT42" s="347"/>
      <c r="CU42" s="347"/>
      <c r="CV42" s="347"/>
      <c r="CW42" s="347"/>
      <c r="CX42" s="347"/>
      <c r="CY42" s="347"/>
      <c r="CZ42" s="347"/>
      <c r="DA42" s="347"/>
      <c r="DB42" s="347"/>
      <c r="DC42" s="347"/>
      <c r="DD42" s="347"/>
      <c r="DE42" s="347"/>
      <c r="DF42" s="347"/>
      <c r="DG42" s="347"/>
      <c r="DH42" s="347"/>
      <c r="DI42" s="347"/>
      <c r="DJ42" s="347"/>
      <c r="DK42" s="347"/>
      <c r="DL42" s="347"/>
      <c r="DM42" s="347"/>
      <c r="DN42" s="347"/>
      <c r="DO42" s="347"/>
      <c r="DP42" s="347"/>
      <c r="DQ42" s="347"/>
      <c r="DR42" s="347"/>
      <c r="DS42" s="347"/>
      <c r="DT42" s="347"/>
      <c r="DU42" s="347"/>
      <c r="DV42" s="347"/>
      <c r="DW42" s="347"/>
      <c r="DX42" s="347"/>
      <c r="DY42" s="347"/>
      <c r="DZ42" s="347"/>
      <c r="EA42" s="347"/>
      <c r="EB42" s="347"/>
      <c r="EC42" s="347"/>
      <c r="ED42" s="347"/>
      <c r="EE42" s="347"/>
      <c r="EF42" s="347"/>
      <c r="EG42" s="347"/>
      <c r="EH42" s="347"/>
      <c r="EI42" s="347"/>
      <c r="EJ42" s="347"/>
      <c r="EK42" s="347"/>
      <c r="EL42" s="347"/>
      <c r="EM42" s="347"/>
      <c r="EN42" s="347"/>
      <c r="EO42" s="347"/>
      <c r="EP42" s="347"/>
      <c r="EQ42" s="347"/>
      <c r="ER42" s="347"/>
      <c r="ES42" s="347"/>
      <c r="ET42" s="347"/>
      <c r="EU42" s="347"/>
      <c r="EV42" s="347"/>
      <c r="EW42" s="347"/>
      <c r="EX42" s="347"/>
      <c r="EY42" s="347"/>
      <c r="EZ42" s="347"/>
      <c r="FA42" s="347"/>
      <c r="FB42" s="347"/>
      <c r="FC42" s="347"/>
      <c r="FD42" s="347"/>
      <c r="FE42" s="347"/>
      <c r="FF42" s="347"/>
      <c r="FG42" s="347"/>
      <c r="FH42" s="347"/>
      <c r="FI42" s="347"/>
      <c r="FJ42" s="347"/>
      <c r="FK42" s="347"/>
      <c r="FL42" s="347"/>
      <c r="FM42" s="347"/>
      <c r="FN42" s="347"/>
      <c r="FO42" s="347"/>
      <c r="FP42" s="347"/>
      <c r="FQ42" s="347"/>
      <c r="FR42" s="347"/>
      <c r="FS42" s="347"/>
      <c r="FT42" s="347"/>
      <c r="FU42" s="347"/>
      <c r="FV42" s="347"/>
      <c r="FW42" s="926"/>
    </row>
    <row r="43" spans="1:179">
      <c r="A43" s="1394"/>
      <c r="B43" s="859" t="s">
        <v>399</v>
      </c>
      <c r="C43" s="860" t="s">
        <v>352</v>
      </c>
      <c r="D43" s="581"/>
      <c r="E43" s="856">
        <v>113.95</v>
      </c>
      <c r="F43" s="886" t="s">
        <v>433</v>
      </c>
      <c r="G43" s="927">
        <f t="shared" ref="G43:AS43" si="46">$E$43*G16</f>
        <v>12796887.13943518</v>
      </c>
      <c r="H43" s="927">
        <f t="shared" si="46"/>
        <v>12796887.13943518</v>
      </c>
      <c r="I43" s="927">
        <f t="shared" si="46"/>
        <v>12796887.13943518</v>
      </c>
      <c r="J43" s="927">
        <f t="shared" si="46"/>
        <v>12796887.13943518</v>
      </c>
      <c r="K43" s="927">
        <f t="shared" si="46"/>
        <v>12796887.13943518</v>
      </c>
      <c r="L43" s="927">
        <f t="shared" si="46"/>
        <v>12796887.13943518</v>
      </c>
      <c r="M43" s="927">
        <f t="shared" si="46"/>
        <v>12796887.13943518</v>
      </c>
      <c r="N43" s="927">
        <f t="shared" si="46"/>
        <v>12796887.13943518</v>
      </c>
      <c r="O43" s="927">
        <f t="shared" si="46"/>
        <v>12796887.13943518</v>
      </c>
      <c r="P43" s="927">
        <f t="shared" si="46"/>
        <v>12796887.13943518</v>
      </c>
      <c r="Q43" s="927">
        <f t="shared" si="46"/>
        <v>12796887.13943518</v>
      </c>
      <c r="R43" s="927">
        <f t="shared" si="46"/>
        <v>12796887.13943518</v>
      </c>
      <c r="S43" s="927">
        <f t="shared" si="46"/>
        <v>12796887.13943518</v>
      </c>
      <c r="T43" s="927">
        <f t="shared" si="46"/>
        <v>12796887.13943518</v>
      </c>
      <c r="U43" s="927">
        <f t="shared" si="46"/>
        <v>12796887.13943518</v>
      </c>
      <c r="V43" s="927">
        <f t="shared" si="46"/>
        <v>12796887.13943518</v>
      </c>
      <c r="W43" s="927">
        <f t="shared" si="46"/>
        <v>12796887.13943518</v>
      </c>
      <c r="X43" s="927">
        <f t="shared" si="46"/>
        <v>12796887.13943518</v>
      </c>
      <c r="Y43" s="927">
        <f t="shared" si="46"/>
        <v>12796887.13943518</v>
      </c>
      <c r="Z43" s="927">
        <f t="shared" si="46"/>
        <v>12796887.13943518</v>
      </c>
      <c r="AA43" s="927">
        <f t="shared" si="46"/>
        <v>12796887.13943518</v>
      </c>
      <c r="AB43" s="927">
        <f t="shared" si="46"/>
        <v>12796887.13943518</v>
      </c>
      <c r="AC43" s="927">
        <f t="shared" si="46"/>
        <v>12796887.13943518</v>
      </c>
      <c r="AD43" s="927">
        <f t="shared" si="46"/>
        <v>12796887.13943518</v>
      </c>
      <c r="AE43" s="927">
        <f t="shared" si="46"/>
        <v>12796887.13943518</v>
      </c>
      <c r="AF43" s="927">
        <f t="shared" si="46"/>
        <v>12796887.13943518</v>
      </c>
      <c r="AG43" s="927">
        <f t="shared" si="46"/>
        <v>12796887.13943518</v>
      </c>
      <c r="AH43" s="927">
        <f t="shared" si="46"/>
        <v>12796887.13943518</v>
      </c>
      <c r="AI43" s="927">
        <f t="shared" si="46"/>
        <v>12796887.13943518</v>
      </c>
      <c r="AJ43" s="927">
        <f t="shared" si="46"/>
        <v>12796887.13943518</v>
      </c>
      <c r="AK43" s="927">
        <f t="shared" si="46"/>
        <v>12796887.13943518</v>
      </c>
      <c r="AL43" s="927">
        <f t="shared" si="46"/>
        <v>12796887.13943518</v>
      </c>
      <c r="AM43" s="927">
        <f t="shared" si="46"/>
        <v>12796887.13943518</v>
      </c>
      <c r="AN43" s="927">
        <f t="shared" si="46"/>
        <v>12796887.13943518</v>
      </c>
      <c r="AO43" s="927">
        <f t="shared" si="46"/>
        <v>12796887.13943518</v>
      </c>
      <c r="AP43" s="927">
        <f t="shared" si="46"/>
        <v>12796887.13943518</v>
      </c>
      <c r="AQ43" s="927">
        <f t="shared" si="46"/>
        <v>12796887.13943518</v>
      </c>
      <c r="AR43" s="927">
        <f t="shared" si="46"/>
        <v>12796887.13943518</v>
      </c>
      <c r="AS43" s="927">
        <f t="shared" si="46"/>
        <v>12796887.13943518</v>
      </c>
      <c r="AT43" s="927">
        <f>$E$43*AT16</f>
        <v>12796887.13943518</v>
      </c>
      <c r="AU43" s="928">
        <f t="shared" ref="AU43:CL43" si="47">$E$43*AU16</f>
        <v>12796887.13943518</v>
      </c>
      <c r="AV43" s="928">
        <f t="shared" si="47"/>
        <v>12796887.13943518</v>
      </c>
      <c r="AW43" s="928">
        <f t="shared" si="47"/>
        <v>12796887.13943518</v>
      </c>
      <c r="AX43" s="928">
        <f t="shared" si="47"/>
        <v>12796887.13943518</v>
      </c>
      <c r="AY43" s="928">
        <f t="shared" si="47"/>
        <v>12796887.13943518</v>
      </c>
      <c r="AZ43" s="928">
        <f t="shared" si="47"/>
        <v>12796887.13943518</v>
      </c>
      <c r="BA43" s="928">
        <f t="shared" si="47"/>
        <v>12796887.13943518</v>
      </c>
      <c r="BB43" s="928">
        <f t="shared" si="47"/>
        <v>12796887.13943518</v>
      </c>
      <c r="BC43" s="928">
        <f t="shared" si="47"/>
        <v>12796887.13943518</v>
      </c>
      <c r="BD43" s="928">
        <f t="shared" si="47"/>
        <v>12796887.13943518</v>
      </c>
      <c r="BE43" s="928">
        <f t="shared" si="47"/>
        <v>12796887.13943518</v>
      </c>
      <c r="BF43" s="928">
        <f t="shared" si="47"/>
        <v>12796887.13943518</v>
      </c>
      <c r="BG43" s="928">
        <f t="shared" si="47"/>
        <v>12796887.13943518</v>
      </c>
      <c r="BH43" s="928">
        <f t="shared" si="47"/>
        <v>12796887.13943518</v>
      </c>
      <c r="BI43" s="928">
        <f t="shared" si="47"/>
        <v>12796887.13943518</v>
      </c>
      <c r="BJ43" s="928">
        <f t="shared" si="47"/>
        <v>12796887.13943518</v>
      </c>
      <c r="BK43" s="928">
        <f t="shared" si="47"/>
        <v>12796887.13943518</v>
      </c>
      <c r="BL43" s="928">
        <f t="shared" si="47"/>
        <v>12796887.13943518</v>
      </c>
      <c r="BM43" s="928">
        <f t="shared" si="47"/>
        <v>12796887.13943518</v>
      </c>
      <c r="BN43" s="928">
        <f t="shared" si="47"/>
        <v>12796887.13943518</v>
      </c>
      <c r="BO43" s="928">
        <f t="shared" si="47"/>
        <v>12796887.13943518</v>
      </c>
      <c r="BP43" s="928">
        <f t="shared" si="47"/>
        <v>12796887.13943518</v>
      </c>
      <c r="BQ43" s="928">
        <f t="shared" si="47"/>
        <v>12796887.13943518</v>
      </c>
      <c r="BR43" s="928">
        <f t="shared" si="47"/>
        <v>12796887.13943518</v>
      </c>
      <c r="BS43" s="928">
        <f t="shared" si="47"/>
        <v>12796887.13943518</v>
      </c>
      <c r="BT43" s="928">
        <f t="shared" si="47"/>
        <v>12796887.13943518</v>
      </c>
      <c r="BU43" s="928">
        <f t="shared" si="47"/>
        <v>12796887.13943518</v>
      </c>
      <c r="BV43" s="928">
        <f t="shared" si="47"/>
        <v>12796887.13943518</v>
      </c>
      <c r="BW43" s="928">
        <f t="shared" si="47"/>
        <v>12796887.13943518</v>
      </c>
      <c r="BX43" s="928">
        <f t="shared" si="47"/>
        <v>12796887.13943518</v>
      </c>
      <c r="BY43" s="928">
        <f t="shared" si="47"/>
        <v>12796887.13943518</v>
      </c>
      <c r="BZ43" s="928">
        <f t="shared" si="47"/>
        <v>12796887.13943518</v>
      </c>
      <c r="CA43" s="928">
        <f t="shared" si="47"/>
        <v>12796887.13943518</v>
      </c>
      <c r="CB43" s="928">
        <f t="shared" si="47"/>
        <v>12796887.13943518</v>
      </c>
      <c r="CC43" s="928">
        <f t="shared" si="47"/>
        <v>12796887.13943518</v>
      </c>
      <c r="CD43" s="928">
        <f t="shared" si="47"/>
        <v>12796887.13943518</v>
      </c>
      <c r="CE43" s="928">
        <f t="shared" si="47"/>
        <v>12796887.13943518</v>
      </c>
      <c r="CF43" s="928">
        <f t="shared" si="47"/>
        <v>12796887.13943518</v>
      </c>
      <c r="CG43" s="928">
        <f t="shared" si="47"/>
        <v>12796887.13943518</v>
      </c>
      <c r="CH43" s="928">
        <f t="shared" si="47"/>
        <v>12796887.13943518</v>
      </c>
      <c r="CI43" s="928">
        <f t="shared" si="47"/>
        <v>12796887.13943518</v>
      </c>
      <c r="CJ43" s="928">
        <f t="shared" si="47"/>
        <v>12796887.13943518</v>
      </c>
      <c r="CK43" s="928">
        <f t="shared" si="47"/>
        <v>12796887.13943518</v>
      </c>
      <c r="CL43" s="928">
        <f t="shared" si="47"/>
        <v>12796887.13943518</v>
      </c>
      <c r="CM43" s="356">
        <f t="shared" si="23"/>
        <v>12796887.139435176</v>
      </c>
      <c r="CN43" s="347"/>
      <c r="CO43" s="347"/>
      <c r="CP43" s="347"/>
      <c r="CQ43" s="347"/>
      <c r="CR43" s="347"/>
      <c r="CS43" s="347"/>
      <c r="CT43" s="347"/>
      <c r="CU43" s="347"/>
      <c r="CV43" s="347"/>
      <c r="CW43" s="347"/>
      <c r="CX43" s="347"/>
      <c r="CY43" s="347"/>
      <c r="CZ43" s="347"/>
      <c r="DA43" s="347"/>
      <c r="DB43" s="347"/>
      <c r="DC43" s="347"/>
      <c r="DD43" s="347"/>
      <c r="DE43" s="347"/>
      <c r="DF43" s="347"/>
      <c r="DG43" s="347"/>
      <c r="DH43" s="347"/>
      <c r="DI43" s="347"/>
      <c r="DJ43" s="347"/>
      <c r="DK43" s="347"/>
      <c r="DL43" s="347"/>
      <c r="DM43" s="347"/>
      <c r="DN43" s="347"/>
      <c r="DO43" s="347"/>
      <c r="DP43" s="347"/>
      <c r="DQ43" s="347"/>
      <c r="DR43" s="347"/>
      <c r="DS43" s="347"/>
      <c r="DT43" s="347"/>
      <c r="DU43" s="347"/>
      <c r="DV43" s="347"/>
      <c r="DW43" s="347"/>
      <c r="DX43" s="347"/>
      <c r="DY43" s="347"/>
      <c r="DZ43" s="347"/>
      <c r="EA43" s="347"/>
      <c r="EB43" s="347"/>
      <c r="EC43" s="347"/>
      <c r="ED43" s="347"/>
      <c r="EE43" s="347"/>
      <c r="EF43" s="347"/>
      <c r="EG43" s="347"/>
      <c r="EH43" s="347"/>
      <c r="EI43" s="347"/>
      <c r="EJ43" s="347"/>
      <c r="EK43" s="347"/>
      <c r="EL43" s="347"/>
      <c r="EM43" s="347"/>
      <c r="EN43" s="347"/>
      <c r="EO43" s="347"/>
      <c r="EP43" s="347"/>
      <c r="EQ43" s="347"/>
      <c r="ER43" s="347"/>
      <c r="ES43" s="347"/>
      <c r="ET43" s="347"/>
      <c r="EU43" s="347"/>
      <c r="EV43" s="347"/>
      <c r="EW43" s="347"/>
      <c r="EX43" s="347"/>
      <c r="EY43" s="347"/>
      <c r="EZ43" s="347"/>
      <c r="FA43" s="347"/>
      <c r="FB43" s="347"/>
      <c r="FC43" s="347"/>
      <c r="FD43" s="347"/>
      <c r="FE43" s="347"/>
      <c r="FF43" s="347"/>
      <c r="FG43" s="347"/>
      <c r="FH43" s="347"/>
      <c r="FI43" s="347"/>
      <c r="FJ43" s="347"/>
      <c r="FK43" s="347"/>
      <c r="FL43" s="347"/>
      <c r="FM43" s="347"/>
      <c r="FN43" s="347"/>
      <c r="FO43" s="347"/>
      <c r="FP43" s="347"/>
      <c r="FQ43" s="347"/>
      <c r="FR43" s="347"/>
      <c r="FS43" s="347"/>
      <c r="FT43" s="347"/>
      <c r="FU43" s="347"/>
      <c r="FV43" s="347"/>
    </row>
    <row r="44" spans="1:179" ht="17.25" customHeight="1">
      <c r="A44" s="929" t="s">
        <v>35</v>
      </c>
      <c r="B44" s="930" t="s">
        <v>399</v>
      </c>
      <c r="C44" s="929" t="s">
        <v>352</v>
      </c>
      <c r="D44" s="929"/>
      <c r="E44" s="931">
        <v>7924</v>
      </c>
      <c r="F44" s="932" t="s">
        <v>411</v>
      </c>
      <c r="G44" s="933">
        <f>$E$44*G16</f>
        <v>889886210.55624712</v>
      </c>
      <c r="H44" s="933">
        <f t="shared" ref="H44:BS44" si="48">$E$44*H16</f>
        <v>889886210.55624712</v>
      </c>
      <c r="I44" s="933">
        <f t="shared" si="48"/>
        <v>889886210.55624712</v>
      </c>
      <c r="J44" s="933">
        <f t="shared" si="48"/>
        <v>889886210.55624712</v>
      </c>
      <c r="K44" s="933">
        <f t="shared" si="48"/>
        <v>889886210.55624712</v>
      </c>
      <c r="L44" s="933">
        <f t="shared" si="48"/>
        <v>889886210.55624712</v>
      </c>
      <c r="M44" s="933">
        <f t="shared" si="48"/>
        <v>889886210.55624712</v>
      </c>
      <c r="N44" s="933">
        <f t="shared" si="48"/>
        <v>889886210.55624712</v>
      </c>
      <c r="O44" s="933">
        <f t="shared" si="48"/>
        <v>889886210.55624712</v>
      </c>
      <c r="P44" s="933">
        <f t="shared" si="48"/>
        <v>889886210.55624712</v>
      </c>
      <c r="Q44" s="933">
        <f t="shared" si="48"/>
        <v>889886210.55624712</v>
      </c>
      <c r="R44" s="933">
        <f t="shared" si="48"/>
        <v>889886210.55624712</v>
      </c>
      <c r="S44" s="933">
        <f t="shared" si="48"/>
        <v>889886210.55624712</v>
      </c>
      <c r="T44" s="933">
        <f t="shared" si="48"/>
        <v>889886210.55624712</v>
      </c>
      <c r="U44" s="933">
        <f t="shared" si="48"/>
        <v>889886210.55624712</v>
      </c>
      <c r="V44" s="933">
        <f t="shared" si="48"/>
        <v>889886210.55624712</v>
      </c>
      <c r="W44" s="933">
        <f t="shared" si="48"/>
        <v>889886210.55624712</v>
      </c>
      <c r="X44" s="933">
        <f t="shared" si="48"/>
        <v>889886210.55624712</v>
      </c>
      <c r="Y44" s="933">
        <f t="shared" si="48"/>
        <v>889886210.55624712</v>
      </c>
      <c r="Z44" s="933">
        <f t="shared" si="48"/>
        <v>889886210.55624712</v>
      </c>
      <c r="AA44" s="933">
        <f t="shared" si="48"/>
        <v>889886210.55624712</v>
      </c>
      <c r="AB44" s="933">
        <f t="shared" si="48"/>
        <v>889886210.55624712</v>
      </c>
      <c r="AC44" s="933">
        <f t="shared" si="48"/>
        <v>889886210.55624712</v>
      </c>
      <c r="AD44" s="933">
        <f t="shared" si="48"/>
        <v>889886210.55624712</v>
      </c>
      <c r="AE44" s="933">
        <f t="shared" si="48"/>
        <v>889886210.55624712</v>
      </c>
      <c r="AF44" s="933">
        <f t="shared" si="48"/>
        <v>889886210.55624712</v>
      </c>
      <c r="AG44" s="933">
        <f t="shared" si="48"/>
        <v>889886210.55624712</v>
      </c>
      <c r="AH44" s="933">
        <f t="shared" si="48"/>
        <v>889886210.55624712</v>
      </c>
      <c r="AI44" s="933">
        <f t="shared" si="48"/>
        <v>889886210.55624712</v>
      </c>
      <c r="AJ44" s="933">
        <f t="shared" si="48"/>
        <v>889886210.55624712</v>
      </c>
      <c r="AK44" s="933">
        <f t="shared" si="48"/>
        <v>889886210.55624712</v>
      </c>
      <c r="AL44" s="933">
        <f t="shared" si="48"/>
        <v>889886210.55624712</v>
      </c>
      <c r="AM44" s="933">
        <f t="shared" si="48"/>
        <v>889886210.55624712</v>
      </c>
      <c r="AN44" s="933">
        <f t="shared" si="48"/>
        <v>889886210.55624712</v>
      </c>
      <c r="AO44" s="933">
        <f t="shared" si="48"/>
        <v>889886210.55624712</v>
      </c>
      <c r="AP44" s="933">
        <f t="shared" si="48"/>
        <v>889886210.55624712</v>
      </c>
      <c r="AQ44" s="933">
        <f t="shared" si="48"/>
        <v>889886210.55624712</v>
      </c>
      <c r="AR44" s="933">
        <f t="shared" si="48"/>
        <v>889886210.55624712</v>
      </c>
      <c r="AS44" s="933">
        <f t="shared" si="48"/>
        <v>889886210.55624712</v>
      </c>
      <c r="AT44" s="933">
        <f t="shared" si="48"/>
        <v>889886210.55624712</v>
      </c>
      <c r="AU44" s="933">
        <f t="shared" si="48"/>
        <v>889886210.55624712</v>
      </c>
      <c r="AV44" s="933">
        <f t="shared" si="48"/>
        <v>889886210.55624712</v>
      </c>
      <c r="AW44" s="933">
        <f t="shared" si="48"/>
        <v>889886210.55624712</v>
      </c>
      <c r="AX44" s="933">
        <f t="shared" si="48"/>
        <v>889886210.55624712</v>
      </c>
      <c r="AY44" s="933">
        <f t="shared" si="48"/>
        <v>889886210.55624712</v>
      </c>
      <c r="AZ44" s="933">
        <f t="shared" si="48"/>
        <v>889886210.55624712</v>
      </c>
      <c r="BA44" s="933">
        <f t="shared" si="48"/>
        <v>889886210.55624712</v>
      </c>
      <c r="BB44" s="933">
        <f t="shared" si="48"/>
        <v>889886210.55624712</v>
      </c>
      <c r="BC44" s="933">
        <f t="shared" si="48"/>
        <v>889886210.55624712</v>
      </c>
      <c r="BD44" s="933">
        <f t="shared" si="48"/>
        <v>889886210.55624712</v>
      </c>
      <c r="BE44" s="933">
        <f t="shared" si="48"/>
        <v>889886210.55624712</v>
      </c>
      <c r="BF44" s="933">
        <f t="shared" si="48"/>
        <v>889886210.55624712</v>
      </c>
      <c r="BG44" s="933">
        <f t="shared" si="48"/>
        <v>889886210.55624712</v>
      </c>
      <c r="BH44" s="933">
        <f t="shared" si="48"/>
        <v>889886210.55624712</v>
      </c>
      <c r="BI44" s="933">
        <f t="shared" si="48"/>
        <v>889886210.55624712</v>
      </c>
      <c r="BJ44" s="933">
        <f t="shared" si="48"/>
        <v>889886210.55624712</v>
      </c>
      <c r="BK44" s="933">
        <f t="shared" si="48"/>
        <v>889886210.55624712</v>
      </c>
      <c r="BL44" s="933">
        <f t="shared" si="48"/>
        <v>889886210.55624712</v>
      </c>
      <c r="BM44" s="933">
        <f t="shared" si="48"/>
        <v>889886210.55624712</v>
      </c>
      <c r="BN44" s="933">
        <f t="shared" si="48"/>
        <v>889886210.55624712</v>
      </c>
      <c r="BO44" s="933">
        <f t="shared" si="48"/>
        <v>889886210.55624712</v>
      </c>
      <c r="BP44" s="933">
        <f t="shared" si="48"/>
        <v>889886210.55624712</v>
      </c>
      <c r="BQ44" s="933">
        <f t="shared" si="48"/>
        <v>889886210.55624712</v>
      </c>
      <c r="BR44" s="933">
        <f t="shared" si="48"/>
        <v>889886210.55624712</v>
      </c>
      <c r="BS44" s="933">
        <f t="shared" si="48"/>
        <v>889886210.55624712</v>
      </c>
      <c r="BT44" s="933">
        <f t="shared" ref="BT44:CM44" si="49">$E$44*BT16</f>
        <v>889886210.55624712</v>
      </c>
      <c r="BU44" s="933">
        <f t="shared" si="49"/>
        <v>889886210.55624712</v>
      </c>
      <c r="BV44" s="933">
        <f t="shared" si="49"/>
        <v>889886210.55624712</v>
      </c>
      <c r="BW44" s="933">
        <f t="shared" si="49"/>
        <v>889886210.55624712</v>
      </c>
      <c r="BX44" s="933">
        <f t="shared" si="49"/>
        <v>889886210.55624712</v>
      </c>
      <c r="BY44" s="933">
        <f t="shared" si="49"/>
        <v>889886210.55624712</v>
      </c>
      <c r="BZ44" s="933">
        <f t="shared" si="49"/>
        <v>889886210.55624712</v>
      </c>
      <c r="CA44" s="933">
        <f t="shared" si="49"/>
        <v>889886210.55624712</v>
      </c>
      <c r="CB44" s="933">
        <f t="shared" si="49"/>
        <v>889886210.55624712</v>
      </c>
      <c r="CC44" s="933">
        <f t="shared" si="49"/>
        <v>889886210.55624712</v>
      </c>
      <c r="CD44" s="933">
        <f t="shared" si="49"/>
        <v>889886210.55624712</v>
      </c>
      <c r="CE44" s="933">
        <f t="shared" si="49"/>
        <v>889886210.55624712</v>
      </c>
      <c r="CF44" s="933">
        <f t="shared" si="49"/>
        <v>889886210.55624712</v>
      </c>
      <c r="CG44" s="933">
        <f t="shared" si="49"/>
        <v>889886210.55624712</v>
      </c>
      <c r="CH44" s="933">
        <f t="shared" si="49"/>
        <v>889886210.55624712</v>
      </c>
      <c r="CI44" s="933">
        <f t="shared" si="49"/>
        <v>889886210.55624712</v>
      </c>
      <c r="CJ44" s="933">
        <f t="shared" si="49"/>
        <v>889886210.55624712</v>
      </c>
      <c r="CK44" s="933">
        <f t="shared" si="49"/>
        <v>889886210.55624712</v>
      </c>
      <c r="CL44" s="933">
        <f t="shared" si="49"/>
        <v>889886210.55624712</v>
      </c>
      <c r="CM44" s="933">
        <f t="shared" si="49"/>
        <v>889886210.55624712</v>
      </c>
      <c r="CN44" s="347"/>
      <c r="CO44" s="347"/>
      <c r="CP44" s="347"/>
      <c r="CQ44" s="347"/>
      <c r="CR44" s="347"/>
      <c r="CS44" s="347"/>
      <c r="CT44" s="347"/>
      <c r="CU44" s="347"/>
      <c r="CV44" s="347"/>
      <c r="CW44" s="347"/>
      <c r="CX44" s="347"/>
      <c r="CY44" s="347"/>
      <c r="CZ44" s="347"/>
      <c r="DA44" s="347"/>
      <c r="DB44" s="347"/>
      <c r="DC44" s="347"/>
      <c r="DD44" s="347"/>
      <c r="DE44" s="347"/>
      <c r="DF44" s="347"/>
      <c r="DG44" s="347"/>
      <c r="DH44" s="347"/>
      <c r="DI44" s="347"/>
      <c r="DJ44" s="347"/>
      <c r="DK44" s="347"/>
      <c r="DL44" s="347"/>
      <c r="DM44" s="347"/>
      <c r="DN44" s="347"/>
      <c r="DO44" s="347"/>
      <c r="DP44" s="347"/>
      <c r="DQ44" s="347"/>
      <c r="DR44" s="347"/>
      <c r="DS44" s="347"/>
      <c r="DT44" s="347"/>
      <c r="DU44" s="347"/>
      <c r="DV44" s="347"/>
      <c r="DW44" s="347"/>
      <c r="DX44" s="347"/>
      <c r="DY44" s="347"/>
      <c r="DZ44" s="347"/>
      <c r="EA44" s="347"/>
      <c r="EB44" s="347"/>
      <c r="EC44" s="347"/>
      <c r="ED44" s="347"/>
      <c r="EE44" s="347"/>
      <c r="EF44" s="347"/>
      <c r="EG44" s="347"/>
      <c r="EH44" s="347"/>
      <c r="EI44" s="347"/>
      <c r="EJ44" s="347"/>
      <c r="EK44" s="347"/>
      <c r="EL44" s="347"/>
      <c r="EM44" s="347"/>
      <c r="EN44" s="347"/>
      <c r="EO44" s="347"/>
      <c r="EP44" s="347"/>
      <c r="EQ44" s="347"/>
      <c r="ER44" s="347"/>
      <c r="ES44" s="347"/>
      <c r="ET44" s="347"/>
      <c r="EU44" s="347"/>
      <c r="EV44" s="347"/>
      <c r="EW44" s="347"/>
      <c r="EX44" s="347"/>
      <c r="EY44" s="347"/>
      <c r="EZ44" s="347"/>
      <c r="FA44" s="347"/>
      <c r="FB44" s="347"/>
      <c r="FC44" s="347"/>
      <c r="FD44" s="347"/>
      <c r="FE44" s="347"/>
      <c r="FF44" s="347"/>
      <c r="FG44" s="347"/>
      <c r="FH44" s="347"/>
      <c r="FI44" s="347"/>
      <c r="FJ44" s="347"/>
      <c r="FK44" s="347"/>
      <c r="FL44" s="347"/>
      <c r="FM44" s="347"/>
      <c r="FN44" s="347"/>
      <c r="FO44" s="347"/>
      <c r="FP44" s="347"/>
      <c r="FQ44" s="347"/>
      <c r="FR44" s="347"/>
      <c r="FS44" s="347"/>
      <c r="FT44" s="347"/>
      <c r="FU44" s="347"/>
      <c r="FV44" s="347"/>
    </row>
    <row r="45" spans="1:179" s="75" customFormat="1" ht="20.25" customHeight="1">
      <c r="A45" s="934" t="s">
        <v>269</v>
      </c>
      <c r="B45" s="68" t="s">
        <v>399</v>
      </c>
      <c r="C45" s="934" t="s">
        <v>352</v>
      </c>
      <c r="D45" s="934"/>
      <c r="E45" s="72">
        <v>3131</v>
      </c>
      <c r="F45" s="862" t="s">
        <v>432</v>
      </c>
      <c r="G45" s="933">
        <f>$E$45*G16</f>
        <v>351619601.87425667</v>
      </c>
      <c r="H45" s="933">
        <f t="shared" ref="H45:BS45" si="50">$E$45*H16</f>
        <v>351619601.87425667</v>
      </c>
      <c r="I45" s="933">
        <f t="shared" si="50"/>
        <v>351619601.87425667</v>
      </c>
      <c r="J45" s="933">
        <f t="shared" si="50"/>
        <v>351619601.87425667</v>
      </c>
      <c r="K45" s="933">
        <f t="shared" si="50"/>
        <v>351619601.87425667</v>
      </c>
      <c r="L45" s="933">
        <f t="shared" si="50"/>
        <v>351619601.87425667</v>
      </c>
      <c r="M45" s="933">
        <f t="shared" si="50"/>
        <v>351619601.87425667</v>
      </c>
      <c r="N45" s="933">
        <f t="shared" si="50"/>
        <v>351619601.87425667</v>
      </c>
      <c r="O45" s="933">
        <f t="shared" si="50"/>
        <v>351619601.87425667</v>
      </c>
      <c r="P45" s="933">
        <f t="shared" si="50"/>
        <v>351619601.87425667</v>
      </c>
      <c r="Q45" s="933">
        <f t="shared" si="50"/>
        <v>351619601.87425667</v>
      </c>
      <c r="R45" s="933">
        <f t="shared" si="50"/>
        <v>351619601.87425667</v>
      </c>
      <c r="S45" s="933">
        <f t="shared" si="50"/>
        <v>351619601.87425667</v>
      </c>
      <c r="T45" s="933">
        <f t="shared" si="50"/>
        <v>351619601.87425667</v>
      </c>
      <c r="U45" s="933">
        <f t="shared" si="50"/>
        <v>351619601.87425667</v>
      </c>
      <c r="V45" s="933">
        <f t="shared" si="50"/>
        <v>351619601.87425667</v>
      </c>
      <c r="W45" s="933">
        <f t="shared" si="50"/>
        <v>351619601.87425667</v>
      </c>
      <c r="X45" s="933">
        <f t="shared" si="50"/>
        <v>351619601.87425667</v>
      </c>
      <c r="Y45" s="933">
        <f t="shared" si="50"/>
        <v>351619601.87425667</v>
      </c>
      <c r="Z45" s="933">
        <f t="shared" si="50"/>
        <v>351619601.87425667</v>
      </c>
      <c r="AA45" s="933">
        <f t="shared" si="50"/>
        <v>351619601.87425667</v>
      </c>
      <c r="AB45" s="933">
        <f t="shared" si="50"/>
        <v>351619601.87425667</v>
      </c>
      <c r="AC45" s="933">
        <f t="shared" si="50"/>
        <v>351619601.87425667</v>
      </c>
      <c r="AD45" s="933">
        <f t="shared" si="50"/>
        <v>351619601.87425667</v>
      </c>
      <c r="AE45" s="933">
        <f t="shared" si="50"/>
        <v>351619601.87425667</v>
      </c>
      <c r="AF45" s="933">
        <f t="shared" si="50"/>
        <v>351619601.87425667</v>
      </c>
      <c r="AG45" s="933">
        <f t="shared" si="50"/>
        <v>351619601.87425667</v>
      </c>
      <c r="AH45" s="933">
        <f t="shared" si="50"/>
        <v>351619601.87425667</v>
      </c>
      <c r="AI45" s="933">
        <f t="shared" si="50"/>
        <v>351619601.87425667</v>
      </c>
      <c r="AJ45" s="933">
        <f t="shared" si="50"/>
        <v>351619601.87425667</v>
      </c>
      <c r="AK45" s="933">
        <f t="shared" si="50"/>
        <v>351619601.87425667</v>
      </c>
      <c r="AL45" s="933">
        <f t="shared" si="50"/>
        <v>351619601.87425667</v>
      </c>
      <c r="AM45" s="933">
        <f t="shared" si="50"/>
        <v>351619601.87425667</v>
      </c>
      <c r="AN45" s="933">
        <f t="shared" si="50"/>
        <v>351619601.87425667</v>
      </c>
      <c r="AO45" s="933">
        <f t="shared" si="50"/>
        <v>351619601.87425667</v>
      </c>
      <c r="AP45" s="933">
        <f t="shared" si="50"/>
        <v>351619601.87425667</v>
      </c>
      <c r="AQ45" s="933">
        <f t="shared" si="50"/>
        <v>351619601.87425667</v>
      </c>
      <c r="AR45" s="933">
        <f t="shared" si="50"/>
        <v>351619601.87425667</v>
      </c>
      <c r="AS45" s="933">
        <f t="shared" si="50"/>
        <v>351619601.87425667</v>
      </c>
      <c r="AT45" s="933">
        <f t="shared" si="50"/>
        <v>351619601.87425667</v>
      </c>
      <c r="AU45" s="933">
        <f t="shared" si="50"/>
        <v>351619601.87425667</v>
      </c>
      <c r="AV45" s="933">
        <f t="shared" si="50"/>
        <v>351619601.87425667</v>
      </c>
      <c r="AW45" s="933">
        <f t="shared" si="50"/>
        <v>351619601.87425667</v>
      </c>
      <c r="AX45" s="933">
        <f t="shared" si="50"/>
        <v>351619601.87425667</v>
      </c>
      <c r="AY45" s="933">
        <f t="shared" si="50"/>
        <v>351619601.87425667</v>
      </c>
      <c r="AZ45" s="933">
        <f t="shared" si="50"/>
        <v>351619601.87425667</v>
      </c>
      <c r="BA45" s="933">
        <f t="shared" si="50"/>
        <v>351619601.87425667</v>
      </c>
      <c r="BB45" s="933">
        <f t="shared" si="50"/>
        <v>351619601.87425667</v>
      </c>
      <c r="BC45" s="933">
        <f t="shared" si="50"/>
        <v>351619601.87425667</v>
      </c>
      <c r="BD45" s="933">
        <f t="shared" si="50"/>
        <v>351619601.87425667</v>
      </c>
      <c r="BE45" s="933">
        <f t="shared" si="50"/>
        <v>351619601.87425667</v>
      </c>
      <c r="BF45" s="933">
        <f t="shared" si="50"/>
        <v>351619601.87425667</v>
      </c>
      <c r="BG45" s="933">
        <f t="shared" si="50"/>
        <v>351619601.87425667</v>
      </c>
      <c r="BH45" s="933">
        <f t="shared" si="50"/>
        <v>351619601.87425667</v>
      </c>
      <c r="BI45" s="933">
        <f t="shared" si="50"/>
        <v>351619601.87425667</v>
      </c>
      <c r="BJ45" s="933">
        <f t="shared" si="50"/>
        <v>351619601.87425667</v>
      </c>
      <c r="BK45" s="933">
        <f t="shared" si="50"/>
        <v>351619601.87425667</v>
      </c>
      <c r="BL45" s="933">
        <f t="shared" si="50"/>
        <v>351619601.87425667</v>
      </c>
      <c r="BM45" s="933">
        <f t="shared" si="50"/>
        <v>351619601.87425667</v>
      </c>
      <c r="BN45" s="933">
        <f t="shared" si="50"/>
        <v>351619601.87425667</v>
      </c>
      <c r="BO45" s="933">
        <f t="shared" si="50"/>
        <v>351619601.87425667</v>
      </c>
      <c r="BP45" s="933">
        <f t="shared" si="50"/>
        <v>351619601.87425667</v>
      </c>
      <c r="BQ45" s="933">
        <f t="shared" si="50"/>
        <v>351619601.87425667</v>
      </c>
      <c r="BR45" s="933">
        <f t="shared" si="50"/>
        <v>351619601.87425667</v>
      </c>
      <c r="BS45" s="933">
        <f t="shared" si="50"/>
        <v>351619601.87425667</v>
      </c>
      <c r="BT45" s="933">
        <f t="shared" ref="BT45:CM45" si="51">$E$45*BT16</f>
        <v>351619601.87425667</v>
      </c>
      <c r="BU45" s="933">
        <f t="shared" si="51"/>
        <v>351619601.87425667</v>
      </c>
      <c r="BV45" s="933">
        <f t="shared" si="51"/>
        <v>351619601.87425667</v>
      </c>
      <c r="BW45" s="933">
        <f t="shared" si="51"/>
        <v>351619601.87425667</v>
      </c>
      <c r="BX45" s="933">
        <f t="shared" si="51"/>
        <v>351619601.87425667</v>
      </c>
      <c r="BY45" s="933">
        <f t="shared" si="51"/>
        <v>351619601.87425667</v>
      </c>
      <c r="BZ45" s="933">
        <f t="shared" si="51"/>
        <v>351619601.87425667</v>
      </c>
      <c r="CA45" s="933">
        <f t="shared" si="51"/>
        <v>351619601.87425667</v>
      </c>
      <c r="CB45" s="933">
        <f t="shared" si="51"/>
        <v>351619601.87425667</v>
      </c>
      <c r="CC45" s="933">
        <f t="shared" si="51"/>
        <v>351619601.87425667</v>
      </c>
      <c r="CD45" s="933">
        <f t="shared" si="51"/>
        <v>351619601.87425667</v>
      </c>
      <c r="CE45" s="933">
        <f t="shared" si="51"/>
        <v>351619601.87425667</v>
      </c>
      <c r="CF45" s="933">
        <f t="shared" si="51"/>
        <v>351619601.87425667</v>
      </c>
      <c r="CG45" s="933">
        <f t="shared" si="51"/>
        <v>351619601.87425667</v>
      </c>
      <c r="CH45" s="933">
        <f t="shared" si="51"/>
        <v>351619601.87425667</v>
      </c>
      <c r="CI45" s="933">
        <f t="shared" si="51"/>
        <v>351619601.87425667</v>
      </c>
      <c r="CJ45" s="933">
        <f t="shared" si="51"/>
        <v>351619601.87425667</v>
      </c>
      <c r="CK45" s="933">
        <f t="shared" si="51"/>
        <v>351619601.87425667</v>
      </c>
      <c r="CL45" s="933">
        <f t="shared" si="51"/>
        <v>351619601.87425667</v>
      </c>
      <c r="CM45" s="933">
        <f t="shared" si="51"/>
        <v>351619601.87425667</v>
      </c>
      <c r="CN45" s="721"/>
      <c r="CO45" s="721"/>
      <c r="CP45" s="721"/>
      <c r="CQ45" s="721"/>
      <c r="CR45" s="721"/>
      <c r="CS45" s="721"/>
      <c r="CT45" s="721"/>
      <c r="CU45" s="721"/>
      <c r="CV45" s="721"/>
      <c r="CW45" s="721"/>
      <c r="CX45" s="721"/>
      <c r="CY45" s="721"/>
      <c r="CZ45" s="721"/>
      <c r="DA45" s="721"/>
      <c r="DB45" s="721"/>
      <c r="DC45" s="721"/>
      <c r="DD45" s="721"/>
      <c r="DE45" s="721"/>
      <c r="DF45" s="721"/>
      <c r="DG45" s="721"/>
      <c r="DH45" s="721"/>
      <c r="DI45" s="721"/>
      <c r="DJ45" s="721"/>
      <c r="DK45" s="721"/>
      <c r="DL45" s="721"/>
      <c r="DM45" s="721"/>
      <c r="DN45" s="721"/>
      <c r="DO45" s="721"/>
      <c r="DP45" s="721"/>
      <c r="DQ45" s="721"/>
      <c r="DR45" s="721"/>
      <c r="DS45" s="721"/>
      <c r="DT45" s="721"/>
      <c r="DU45" s="721"/>
      <c r="DV45" s="721"/>
      <c r="DW45" s="721"/>
      <c r="DX45" s="721"/>
      <c r="DY45" s="721"/>
      <c r="DZ45" s="721"/>
      <c r="EA45" s="721"/>
      <c r="EB45" s="721"/>
      <c r="EC45" s="721"/>
      <c r="ED45" s="721"/>
      <c r="EE45" s="721"/>
      <c r="EF45" s="721"/>
      <c r="EG45" s="721"/>
      <c r="EH45" s="721"/>
      <c r="EI45" s="721"/>
      <c r="EJ45" s="721"/>
      <c r="EK45" s="721"/>
      <c r="EL45" s="721"/>
      <c r="EM45" s="721"/>
      <c r="EN45" s="721"/>
      <c r="EO45" s="721"/>
      <c r="EP45" s="721"/>
      <c r="EQ45" s="721"/>
      <c r="ER45" s="721"/>
      <c r="ES45" s="721"/>
      <c r="ET45" s="721"/>
      <c r="EU45" s="721"/>
      <c r="EV45" s="721"/>
      <c r="EW45" s="721"/>
      <c r="EX45" s="721"/>
      <c r="EY45" s="721"/>
      <c r="EZ45" s="721"/>
      <c r="FA45" s="721"/>
      <c r="FB45" s="721"/>
      <c r="FC45" s="721"/>
      <c r="FD45" s="721"/>
      <c r="FE45" s="721"/>
      <c r="FF45" s="721"/>
      <c r="FG45" s="721"/>
      <c r="FH45" s="721"/>
      <c r="FI45" s="721"/>
      <c r="FJ45" s="721"/>
      <c r="FK45" s="721"/>
      <c r="FL45" s="721"/>
      <c r="FM45" s="721"/>
      <c r="FN45" s="721"/>
      <c r="FO45" s="721"/>
      <c r="FP45" s="721"/>
      <c r="FQ45" s="721"/>
      <c r="FR45" s="721"/>
      <c r="FS45" s="721"/>
      <c r="FT45" s="721"/>
      <c r="FU45" s="721"/>
      <c r="FV45" s="721"/>
    </row>
    <row r="46" spans="1:179" s="75" customFormat="1">
      <c r="A46" s="935" t="s">
        <v>412</v>
      </c>
      <c r="B46" s="936" t="s">
        <v>403</v>
      </c>
      <c r="C46" s="935" t="s">
        <v>352</v>
      </c>
      <c r="D46" s="935"/>
      <c r="E46" s="937"/>
      <c r="F46" s="938" t="s">
        <v>168</v>
      </c>
      <c r="G46" s="939">
        <f t="shared" ref="G46:BR47" si="52">G12*G2</f>
        <v>1187861432.950177</v>
      </c>
      <c r="H46" s="939">
        <f t="shared" si="52"/>
        <v>1308379560.4225862</v>
      </c>
      <c r="I46" s="939">
        <f t="shared" si="52"/>
        <v>1328242155.7992132</v>
      </c>
      <c r="J46" s="939">
        <f t="shared" si="52"/>
        <v>1307642634.1734686</v>
      </c>
      <c r="K46" s="939">
        <f t="shared" si="52"/>
        <v>1303072411.1633511</v>
      </c>
      <c r="L46" s="939">
        <f t="shared" si="52"/>
        <v>1309056759.742584</v>
      </c>
      <c r="M46" s="939">
        <f t="shared" si="52"/>
        <v>1308593090.3837047</v>
      </c>
      <c r="N46" s="939">
        <f t="shared" si="52"/>
        <v>1320770265.9944048</v>
      </c>
      <c r="O46" s="939">
        <f t="shared" si="52"/>
        <v>1268076339.1966794</v>
      </c>
      <c r="P46" s="939">
        <f t="shared" si="52"/>
        <v>1265414734.2478507</v>
      </c>
      <c r="Q46" s="939">
        <f t="shared" si="52"/>
        <v>1283774322.4332123</v>
      </c>
      <c r="R46" s="939">
        <f t="shared" si="52"/>
        <v>1293794398.6477833</v>
      </c>
      <c r="S46" s="939">
        <f t="shared" si="52"/>
        <v>1279548744.8114197</v>
      </c>
      <c r="T46" s="939">
        <f t="shared" si="52"/>
        <v>1285926372.2225499</v>
      </c>
      <c r="U46" s="939">
        <f t="shared" si="52"/>
        <v>1164536992.4845786</v>
      </c>
      <c r="V46" s="939">
        <f t="shared" si="52"/>
        <v>1176007984.3335819</v>
      </c>
      <c r="W46" s="939">
        <f t="shared" si="52"/>
        <v>1179267255.6137578</v>
      </c>
      <c r="X46" s="939">
        <f t="shared" si="52"/>
        <v>1159192157.5566237</v>
      </c>
      <c r="Y46" s="939">
        <f t="shared" si="52"/>
        <v>1045341527.0716823</v>
      </c>
      <c r="Z46" s="939">
        <f t="shared" si="52"/>
        <v>1049689995.4304533</v>
      </c>
      <c r="AA46" s="939">
        <f t="shared" si="52"/>
        <v>1051647371.7770966</v>
      </c>
      <c r="AB46" s="939">
        <f t="shared" si="52"/>
        <v>1061166205.5677003</v>
      </c>
      <c r="AC46" s="939">
        <f t="shared" si="52"/>
        <v>1058195242.275848</v>
      </c>
      <c r="AD46" s="939">
        <f t="shared" si="52"/>
        <v>1058931601.2648491</v>
      </c>
      <c r="AE46" s="939">
        <f t="shared" si="52"/>
        <v>974279237.75617158</v>
      </c>
      <c r="AF46" s="939">
        <f t="shared" si="52"/>
        <v>980893807.68054187</v>
      </c>
      <c r="AG46" s="939">
        <f t="shared" si="52"/>
        <v>984734575.77070057</v>
      </c>
      <c r="AH46" s="939">
        <f t="shared" si="52"/>
        <v>994551675.34613657</v>
      </c>
      <c r="AI46" s="939">
        <f t="shared" si="52"/>
        <v>980223221.43845165</v>
      </c>
      <c r="AJ46" s="939">
        <f t="shared" si="52"/>
        <v>962231982.71249545</v>
      </c>
      <c r="AK46" s="939">
        <f t="shared" si="52"/>
        <v>957823619.79554868</v>
      </c>
      <c r="AL46" s="939">
        <f t="shared" si="52"/>
        <v>957651029.66051292</v>
      </c>
      <c r="AM46" s="939">
        <f t="shared" si="52"/>
        <v>958945322.61603594</v>
      </c>
      <c r="AN46" s="939">
        <f t="shared" si="52"/>
        <v>955473055.41435957</v>
      </c>
      <c r="AO46" s="939">
        <f t="shared" si="52"/>
        <v>953095254.64346516</v>
      </c>
      <c r="AP46" s="939">
        <f t="shared" si="52"/>
        <v>955948784.22542202</v>
      </c>
      <c r="AQ46" s="939">
        <f t="shared" si="52"/>
        <v>1020055704.5324254</v>
      </c>
      <c r="AR46" s="939">
        <f t="shared" si="52"/>
        <v>1016645638.2968489</v>
      </c>
      <c r="AS46" s="939">
        <f t="shared" si="52"/>
        <v>1013531547.6916193</v>
      </c>
      <c r="AT46" s="939">
        <f t="shared" si="52"/>
        <v>1008312838.5937334</v>
      </c>
      <c r="AU46" s="866">
        <f t="shared" si="52"/>
        <v>1025444892.573555</v>
      </c>
      <c r="AV46" s="866">
        <f t="shared" si="52"/>
        <v>1016854788.239575</v>
      </c>
      <c r="AW46" s="866">
        <f t="shared" si="52"/>
        <v>1050138700.878641</v>
      </c>
      <c r="AX46" s="866">
        <f t="shared" si="52"/>
        <v>1064289938.6605417</v>
      </c>
      <c r="AY46" s="866">
        <f t="shared" si="52"/>
        <v>1068703710.0832888</v>
      </c>
      <c r="AZ46" s="866">
        <f t="shared" si="52"/>
        <v>1075582149.7584095</v>
      </c>
      <c r="BA46" s="866">
        <f t="shared" si="52"/>
        <v>1084324910.2395227</v>
      </c>
      <c r="BB46" s="866">
        <f t="shared" si="52"/>
        <v>1105116428.8675082</v>
      </c>
      <c r="BC46" s="866">
        <f t="shared" si="52"/>
        <v>1163417317.5703995</v>
      </c>
      <c r="BD46" s="866">
        <f t="shared" si="52"/>
        <v>1147668979.0971184</v>
      </c>
      <c r="BE46" s="866">
        <f t="shared" si="52"/>
        <v>1161313601.2483337</v>
      </c>
      <c r="BF46" s="866">
        <f t="shared" si="52"/>
        <v>1151849328.6424956</v>
      </c>
      <c r="BG46" s="866">
        <f t="shared" si="52"/>
        <v>1144080775.8426394</v>
      </c>
      <c r="BH46" s="866">
        <f t="shared" si="52"/>
        <v>1126701222.3740265</v>
      </c>
      <c r="BI46" s="866">
        <f t="shared" si="52"/>
        <v>1178002392.536885</v>
      </c>
      <c r="BJ46" s="866">
        <f t="shared" si="52"/>
        <v>1180181664.7353368</v>
      </c>
      <c r="BK46" s="866">
        <f t="shared" si="52"/>
        <v>1175599101.9739928</v>
      </c>
      <c r="BL46" s="866">
        <f t="shared" si="52"/>
        <v>1168950006.3688624</v>
      </c>
      <c r="BM46" s="866">
        <f t="shared" si="52"/>
        <v>1188322112.9733596</v>
      </c>
      <c r="BN46" s="866">
        <f t="shared" si="52"/>
        <v>1187380298.3934329</v>
      </c>
      <c r="BO46" s="866">
        <f t="shared" si="52"/>
        <v>1114075206.693377</v>
      </c>
      <c r="BP46" s="866">
        <f t="shared" si="52"/>
        <v>1122533408.750282</v>
      </c>
      <c r="BQ46" s="866">
        <f t="shared" si="52"/>
        <v>1117781341.9281595</v>
      </c>
      <c r="BR46" s="866">
        <f t="shared" si="52"/>
        <v>1113317517.3532023</v>
      </c>
      <c r="BS46" s="866">
        <f t="shared" ref="BS46:CL47" si="53">BS12*BS2</f>
        <v>1114891397.6470139</v>
      </c>
      <c r="BT46" s="866">
        <f t="shared" si="53"/>
        <v>1140094864.2204461</v>
      </c>
      <c r="BU46" s="866">
        <f t="shared" si="53"/>
        <v>1000538665.6425139</v>
      </c>
      <c r="BV46" s="866">
        <f t="shared" si="53"/>
        <v>1000137672.471808</v>
      </c>
      <c r="BW46" s="866">
        <f t="shared" si="53"/>
        <v>998783400.21768522</v>
      </c>
      <c r="BX46" s="866">
        <f t="shared" si="53"/>
        <v>991188111.16185474</v>
      </c>
      <c r="BY46" s="866">
        <f t="shared" si="53"/>
        <v>991689757.01297438</v>
      </c>
      <c r="BZ46" s="866">
        <f t="shared" si="53"/>
        <v>996685661.29757094</v>
      </c>
      <c r="CA46" s="866">
        <f t="shared" si="53"/>
        <v>890498015.36130488</v>
      </c>
      <c r="CB46" s="866">
        <f t="shared" si="53"/>
        <v>904565371.88541102</v>
      </c>
      <c r="CC46" s="866">
        <f t="shared" si="53"/>
        <v>900220351.44529295</v>
      </c>
      <c r="CD46" s="866">
        <f t="shared" si="53"/>
        <v>891970903.72537231</v>
      </c>
      <c r="CE46" s="866">
        <f t="shared" si="53"/>
        <v>896102920.84474778</v>
      </c>
      <c r="CF46" s="866">
        <f t="shared" si="53"/>
        <v>895852982.82181728</v>
      </c>
      <c r="CG46" s="866">
        <f t="shared" si="53"/>
        <v>901467146.52434897</v>
      </c>
      <c r="CH46" s="866">
        <f t="shared" si="53"/>
        <v>897634467.1527499</v>
      </c>
      <c r="CI46" s="866">
        <f t="shared" si="53"/>
        <v>904132066.89927757</v>
      </c>
      <c r="CJ46" s="866">
        <f t="shared" si="53"/>
        <v>915184370.07125449</v>
      </c>
      <c r="CK46" s="866">
        <f t="shared" si="53"/>
        <v>917769278.73198211</v>
      </c>
      <c r="CL46" s="866">
        <f t="shared" si="53"/>
        <v>921779951.78904164</v>
      </c>
      <c r="CM46" s="356">
        <f t="shared" si="23"/>
        <v>1080135047.6719887</v>
      </c>
      <c r="CN46" s="721"/>
      <c r="CO46" s="721"/>
      <c r="CP46" s="721"/>
      <c r="CQ46" s="721"/>
      <c r="CR46" s="721"/>
      <c r="CS46" s="721"/>
      <c r="CT46" s="721"/>
      <c r="CU46" s="721"/>
      <c r="CV46" s="721"/>
      <c r="CW46" s="721"/>
      <c r="CX46" s="721"/>
      <c r="CY46" s="721"/>
      <c r="CZ46" s="721"/>
      <c r="DA46" s="721"/>
      <c r="DB46" s="721"/>
      <c r="DC46" s="721"/>
      <c r="DD46" s="721"/>
      <c r="DE46" s="721"/>
      <c r="DF46" s="721"/>
      <c r="DG46" s="721"/>
      <c r="DH46" s="721"/>
      <c r="DI46" s="721"/>
      <c r="DJ46" s="721"/>
      <c r="DK46" s="721"/>
      <c r="DL46" s="721"/>
      <c r="DM46" s="721"/>
      <c r="DN46" s="721"/>
      <c r="DO46" s="721"/>
      <c r="DP46" s="721"/>
      <c r="DQ46" s="721"/>
      <c r="DR46" s="721"/>
      <c r="DS46" s="721"/>
      <c r="DT46" s="721"/>
      <c r="DU46" s="721"/>
      <c r="DV46" s="721"/>
      <c r="DW46" s="721"/>
      <c r="DX46" s="721"/>
      <c r="DY46" s="721"/>
      <c r="DZ46" s="721"/>
      <c r="EA46" s="721"/>
      <c r="EB46" s="721"/>
      <c r="EC46" s="721"/>
      <c r="ED46" s="721"/>
      <c r="EE46" s="721"/>
      <c r="EF46" s="721"/>
      <c r="EG46" s="721"/>
      <c r="EH46" s="721"/>
      <c r="EI46" s="721"/>
      <c r="EJ46" s="721"/>
      <c r="EK46" s="721"/>
      <c r="EL46" s="721"/>
      <c r="EM46" s="721"/>
      <c r="EN46" s="721"/>
      <c r="EO46" s="721"/>
      <c r="EP46" s="721"/>
      <c r="EQ46" s="721"/>
      <c r="ER46" s="721"/>
      <c r="ES46" s="721"/>
      <c r="ET46" s="721"/>
      <c r="EU46" s="721"/>
      <c r="EV46" s="721"/>
      <c r="EW46" s="721"/>
      <c r="EX46" s="721"/>
      <c r="EY46" s="721"/>
      <c r="EZ46" s="721"/>
      <c r="FA46" s="721"/>
      <c r="FB46" s="721"/>
      <c r="FC46" s="721"/>
      <c r="FD46" s="721"/>
      <c r="FE46" s="721"/>
      <c r="FF46" s="721"/>
      <c r="FG46" s="721"/>
      <c r="FH46" s="721"/>
      <c r="FI46" s="721"/>
      <c r="FJ46" s="721"/>
      <c r="FK46" s="721"/>
      <c r="FL46" s="721"/>
      <c r="FM46" s="721"/>
      <c r="FN46" s="721"/>
      <c r="FO46" s="721"/>
      <c r="FP46" s="721"/>
      <c r="FQ46" s="721"/>
      <c r="FR46" s="721"/>
      <c r="FS46" s="721"/>
      <c r="FT46" s="721"/>
      <c r="FU46" s="721"/>
      <c r="FV46" s="721"/>
    </row>
    <row r="47" spans="1:179" s="75" customFormat="1">
      <c r="A47" s="935" t="s">
        <v>412</v>
      </c>
      <c r="B47" s="936" t="s">
        <v>403</v>
      </c>
      <c r="C47" s="935" t="s">
        <v>352</v>
      </c>
      <c r="D47" s="935"/>
      <c r="E47" s="937"/>
      <c r="F47" s="938" t="s">
        <v>0</v>
      </c>
      <c r="G47" s="939">
        <f t="shared" si="52"/>
        <v>2830484380.6303673</v>
      </c>
      <c r="H47" s="939">
        <f t="shared" si="52"/>
        <v>2361304845.9057336</v>
      </c>
      <c r="I47" s="939">
        <f t="shared" si="52"/>
        <v>2165216441.5104938</v>
      </c>
      <c r="J47" s="939">
        <f t="shared" si="52"/>
        <v>1656516314.1678526</v>
      </c>
      <c r="K47" s="939">
        <f t="shared" si="52"/>
        <v>1752039224.9516256</v>
      </c>
      <c r="L47" s="939">
        <f t="shared" si="52"/>
        <v>1960738702.5596147</v>
      </c>
      <c r="M47" s="939">
        <f t="shared" si="52"/>
        <v>1810859554.1258502</v>
      </c>
      <c r="N47" s="939">
        <f t="shared" si="52"/>
        <v>1860712986.2532167</v>
      </c>
      <c r="O47" s="939">
        <f t="shared" si="52"/>
        <v>1622108005.1332667</v>
      </c>
      <c r="P47" s="939">
        <f t="shared" si="52"/>
        <v>1577487452.8681254</v>
      </c>
      <c r="Q47" s="939">
        <f t="shared" si="52"/>
        <v>1490811649.0150082</v>
      </c>
      <c r="R47" s="939">
        <f t="shared" si="52"/>
        <v>1308512583.1320984</v>
      </c>
      <c r="S47" s="939">
        <f t="shared" si="52"/>
        <v>1469737404.2807529</v>
      </c>
      <c r="T47" s="939">
        <f t="shared" si="52"/>
        <v>1639846167.403599</v>
      </c>
      <c r="U47" s="939">
        <f t="shared" si="52"/>
        <v>1920474654.8712428</v>
      </c>
      <c r="V47" s="939">
        <f t="shared" si="52"/>
        <v>1459620348.177</v>
      </c>
      <c r="W47" s="939">
        <f t="shared" si="52"/>
        <v>1218919602.9705837</v>
      </c>
      <c r="X47" s="939">
        <f t="shared" si="52"/>
        <v>1211838326.1655002</v>
      </c>
      <c r="Y47" s="939">
        <f t="shared" si="52"/>
        <v>1334789344.675</v>
      </c>
      <c r="Z47" s="939">
        <f t="shared" si="52"/>
        <v>1364430441.3900833</v>
      </c>
      <c r="AA47" s="939">
        <f t="shared" si="52"/>
        <v>1390562232.7858334</v>
      </c>
      <c r="AB47" s="939">
        <f t="shared" si="52"/>
        <v>1239035442.3903337</v>
      </c>
      <c r="AC47" s="939">
        <f t="shared" si="52"/>
        <v>1196297116.8941669</v>
      </c>
      <c r="AD47" s="939">
        <f t="shared" si="52"/>
        <v>1234774143.0740001</v>
      </c>
      <c r="AE47" s="939">
        <f t="shared" si="52"/>
        <v>1422396645.3255</v>
      </c>
      <c r="AF47" s="939">
        <f t="shared" si="52"/>
        <v>1658209429.5514171</v>
      </c>
      <c r="AG47" s="939">
        <f t="shared" si="52"/>
        <v>1614405779.2261667</v>
      </c>
      <c r="AH47" s="939">
        <f t="shared" si="52"/>
        <v>1855607853.7639167</v>
      </c>
      <c r="AI47" s="939">
        <f t="shared" si="52"/>
        <v>2138106931.9702501</v>
      </c>
      <c r="AJ47" s="939">
        <f t="shared" si="52"/>
        <v>1977305548.9450834</v>
      </c>
      <c r="AK47" s="939">
        <f t="shared" si="52"/>
        <v>1735852809.7416668</v>
      </c>
      <c r="AL47" s="939">
        <f t="shared" si="52"/>
        <v>1554246259.4661667</v>
      </c>
      <c r="AM47" s="939">
        <f t="shared" si="52"/>
        <v>1554872921.1303334</v>
      </c>
      <c r="AN47" s="939">
        <f t="shared" si="52"/>
        <v>1391314226.7828336</v>
      </c>
      <c r="AO47" s="939">
        <f t="shared" si="52"/>
        <v>1684278554.78075</v>
      </c>
      <c r="AP47" s="939">
        <f t="shared" si="52"/>
        <v>1940144512.2600002</v>
      </c>
      <c r="AQ47" s="939">
        <f t="shared" si="52"/>
        <v>2342085303.6565003</v>
      </c>
      <c r="AR47" s="939">
        <f t="shared" si="52"/>
        <v>2335881353.1812501</v>
      </c>
      <c r="AS47" s="939">
        <f t="shared" si="52"/>
        <v>2371413069.5395002</v>
      </c>
      <c r="AT47" s="939">
        <f t="shared" si="52"/>
        <v>2354367872.2741671</v>
      </c>
      <c r="AU47" s="866">
        <f t="shared" si="52"/>
        <v>2123255050.5295002</v>
      </c>
      <c r="AV47" s="866">
        <f t="shared" si="52"/>
        <v>1957252375.69175</v>
      </c>
      <c r="AW47" s="866">
        <f t="shared" si="52"/>
        <v>1958756363.6857505</v>
      </c>
      <c r="AX47" s="866">
        <f t="shared" si="52"/>
        <v>2113980457.8998337</v>
      </c>
      <c r="AY47" s="866">
        <f t="shared" si="52"/>
        <v>2383758304.3235836</v>
      </c>
      <c r="AZ47" s="866">
        <f t="shared" si="52"/>
        <v>2387706272.8078337</v>
      </c>
      <c r="BA47" s="866">
        <f t="shared" si="52"/>
        <v>2538355736.8735003</v>
      </c>
      <c r="BB47" s="866">
        <f t="shared" si="52"/>
        <v>2711126357.6842504</v>
      </c>
      <c r="BC47" s="866">
        <f t="shared" si="52"/>
        <v>3013177279.8125839</v>
      </c>
      <c r="BD47" s="866">
        <f t="shared" si="52"/>
        <v>2411018086.7148333</v>
      </c>
      <c r="BE47" s="866">
        <f t="shared" si="52"/>
        <v>1974360239.1235006</v>
      </c>
      <c r="BF47" s="866">
        <f t="shared" si="52"/>
        <v>1906994110.2255836</v>
      </c>
      <c r="BG47" s="866">
        <f t="shared" si="52"/>
        <v>1961952338.1730001</v>
      </c>
      <c r="BH47" s="866">
        <f t="shared" si="52"/>
        <v>2131401652.1636667</v>
      </c>
      <c r="BI47" s="866">
        <f t="shared" si="52"/>
        <v>2238936793.7346668</v>
      </c>
      <c r="BJ47" s="866">
        <f t="shared" si="52"/>
        <v>2295273677.3432503</v>
      </c>
      <c r="BK47" s="866">
        <f t="shared" si="52"/>
        <v>1871211729.2016668</v>
      </c>
      <c r="BL47" s="866">
        <f t="shared" si="52"/>
        <v>1617225756.7149167</v>
      </c>
      <c r="BM47" s="866">
        <f t="shared" si="52"/>
        <v>1649185501.5874169</v>
      </c>
      <c r="BN47" s="866">
        <f t="shared" si="52"/>
        <v>1558194227.9504168</v>
      </c>
      <c r="BO47" s="866">
        <f t="shared" si="52"/>
        <v>1866010437.3890836</v>
      </c>
      <c r="BP47" s="866">
        <f t="shared" si="52"/>
        <v>1929240599.3035004</v>
      </c>
      <c r="BQ47" s="866">
        <f t="shared" si="52"/>
        <v>1963017663.0020833</v>
      </c>
      <c r="BR47" s="866">
        <f t="shared" si="52"/>
        <v>2523315856.9335003</v>
      </c>
      <c r="BS47" s="866">
        <f t="shared" si="53"/>
        <v>2274280511.593667</v>
      </c>
      <c r="BT47" s="866">
        <f t="shared" si="53"/>
        <v>2016158572.1234169</v>
      </c>
      <c r="BU47" s="866">
        <f t="shared" si="53"/>
        <v>1097723237.12075</v>
      </c>
      <c r="BV47" s="866">
        <f t="shared" si="53"/>
        <v>1613904449.8948333</v>
      </c>
      <c r="BW47" s="866">
        <f t="shared" si="53"/>
        <v>1661656068.7043335</v>
      </c>
      <c r="BX47" s="866">
        <f t="shared" si="53"/>
        <v>1689417180.4269168</v>
      </c>
      <c r="BY47" s="866">
        <f t="shared" si="53"/>
        <v>1701762415.2110002</v>
      </c>
      <c r="BZ47" s="866">
        <f t="shared" si="53"/>
        <v>1680330586.2965</v>
      </c>
      <c r="CA47" s="866">
        <f t="shared" si="53"/>
        <v>1731278179.59325</v>
      </c>
      <c r="CB47" s="866">
        <f t="shared" si="53"/>
        <v>1997421388.3648334</v>
      </c>
      <c r="CC47" s="866">
        <f t="shared" si="53"/>
        <v>2074312774.5580833</v>
      </c>
      <c r="CD47" s="866">
        <f t="shared" si="53"/>
        <v>2518678560.6186671</v>
      </c>
      <c r="CE47" s="866">
        <f t="shared" si="53"/>
        <v>2767087244.2943335</v>
      </c>
      <c r="CF47" s="866">
        <f t="shared" si="53"/>
        <v>2851435904.2911673</v>
      </c>
      <c r="CG47" s="866">
        <f t="shared" si="53"/>
        <v>2614369796.7369165</v>
      </c>
      <c r="CH47" s="866">
        <f t="shared" si="53"/>
        <v>2262749936.973</v>
      </c>
      <c r="CI47" s="866">
        <f t="shared" si="53"/>
        <v>2449808443.7267504</v>
      </c>
      <c r="CJ47" s="866">
        <f t="shared" si="53"/>
        <v>2893359569.6239171</v>
      </c>
      <c r="CK47" s="866">
        <f t="shared" si="53"/>
        <v>3059048913.6295838</v>
      </c>
      <c r="CL47" s="938">
        <f t="shared" si="53"/>
        <v>3069263498.7555003</v>
      </c>
      <c r="CM47" s="356">
        <f t="shared" si="23"/>
        <v>1953766196.884927</v>
      </c>
      <c r="CN47" s="721"/>
      <c r="CO47" s="721"/>
      <c r="CP47" s="721"/>
      <c r="CQ47" s="721"/>
      <c r="CR47" s="721"/>
      <c r="CS47" s="721"/>
      <c r="CT47" s="721"/>
      <c r="CU47" s="721"/>
      <c r="CV47" s="721"/>
      <c r="CW47" s="721"/>
      <c r="CX47" s="721"/>
      <c r="CY47" s="721"/>
      <c r="CZ47" s="721"/>
      <c r="DA47" s="721"/>
      <c r="DB47" s="721"/>
      <c r="DC47" s="721"/>
      <c r="DD47" s="721"/>
      <c r="DE47" s="721"/>
      <c r="DF47" s="721"/>
      <c r="DG47" s="721"/>
      <c r="DH47" s="721"/>
      <c r="DI47" s="721"/>
      <c r="DJ47" s="721"/>
      <c r="DK47" s="721"/>
      <c r="DL47" s="721"/>
      <c r="DM47" s="721"/>
      <c r="DN47" s="721"/>
      <c r="DO47" s="721"/>
      <c r="DP47" s="721"/>
      <c r="DQ47" s="721"/>
      <c r="DR47" s="721"/>
      <c r="DS47" s="721"/>
      <c r="DT47" s="721"/>
      <c r="DU47" s="721"/>
      <c r="DV47" s="721"/>
      <c r="DW47" s="721"/>
      <c r="DX47" s="721"/>
      <c r="DY47" s="721"/>
      <c r="DZ47" s="721"/>
      <c r="EA47" s="721"/>
      <c r="EB47" s="721"/>
      <c r="EC47" s="721"/>
      <c r="ED47" s="721"/>
      <c r="EE47" s="721"/>
      <c r="EF47" s="721"/>
      <c r="EG47" s="721"/>
      <c r="EH47" s="721"/>
      <c r="EI47" s="721"/>
      <c r="EJ47" s="721"/>
      <c r="EK47" s="721"/>
      <c r="EL47" s="721"/>
      <c r="EM47" s="721"/>
      <c r="EN47" s="721"/>
      <c r="EO47" s="721"/>
      <c r="EP47" s="721"/>
      <c r="EQ47" s="721"/>
      <c r="ER47" s="721"/>
      <c r="ES47" s="721"/>
      <c r="ET47" s="721"/>
      <c r="EU47" s="721"/>
      <c r="EV47" s="721"/>
      <c r="EW47" s="721"/>
      <c r="EX47" s="721"/>
      <c r="EY47" s="721"/>
      <c r="EZ47" s="721"/>
      <c r="FA47" s="721"/>
      <c r="FB47" s="721"/>
      <c r="FC47" s="721"/>
      <c r="FD47" s="721"/>
      <c r="FE47" s="721"/>
      <c r="FF47" s="721"/>
      <c r="FG47" s="721"/>
      <c r="FH47" s="721"/>
      <c r="FI47" s="721"/>
      <c r="FJ47" s="721"/>
      <c r="FK47" s="721"/>
      <c r="FL47" s="721"/>
      <c r="FM47" s="721"/>
      <c r="FN47" s="721"/>
      <c r="FO47" s="721"/>
      <c r="FP47" s="721"/>
      <c r="FQ47" s="721"/>
      <c r="FR47" s="721"/>
      <c r="FS47" s="721"/>
      <c r="FT47" s="721"/>
      <c r="FU47" s="721"/>
      <c r="FV47" s="721"/>
    </row>
    <row r="48" spans="1:179">
      <c r="A48" s="940" t="s">
        <v>412</v>
      </c>
      <c r="B48" s="66" t="s">
        <v>403</v>
      </c>
      <c r="C48" s="581" t="s">
        <v>352</v>
      </c>
      <c r="D48" s="581"/>
      <c r="E48" s="347"/>
      <c r="F48" s="885" t="s">
        <v>398</v>
      </c>
      <c r="G48" s="941">
        <f t="shared" ref="G48:BR49" si="54">G4*G14</f>
        <v>556625585.65250707</v>
      </c>
      <c r="H48" s="941">
        <f t="shared" si="54"/>
        <v>438835527.40303999</v>
      </c>
      <c r="I48" s="941">
        <f t="shared" si="54"/>
        <v>423976503.311378</v>
      </c>
      <c r="J48" s="941">
        <f t="shared" si="54"/>
        <v>346124986.33125669</v>
      </c>
      <c r="K48" s="941">
        <f t="shared" si="54"/>
        <v>353102550.82908803</v>
      </c>
      <c r="L48" s="941">
        <f t="shared" si="54"/>
        <v>340828462.19349068</v>
      </c>
      <c r="M48" s="941">
        <f t="shared" si="54"/>
        <v>349585250.93480539</v>
      </c>
      <c r="N48" s="941">
        <f t="shared" si="54"/>
        <v>359127243.20921671</v>
      </c>
      <c r="O48" s="941">
        <f t="shared" si="54"/>
        <v>332970476.15172005</v>
      </c>
      <c r="P48" s="941">
        <f t="shared" si="54"/>
        <v>320690470.17301506</v>
      </c>
      <c r="Q48" s="941">
        <f t="shared" si="54"/>
        <v>308686908.14997339</v>
      </c>
      <c r="R48" s="941">
        <f t="shared" si="54"/>
        <v>270778857.16742402</v>
      </c>
      <c r="S48" s="941">
        <f t="shared" si="54"/>
        <v>281551870.52743602</v>
      </c>
      <c r="T48" s="941">
        <f t="shared" si="54"/>
        <v>341211434.68296802</v>
      </c>
      <c r="U48" s="941">
        <f t="shared" si="54"/>
        <v>374690484.70866168</v>
      </c>
      <c r="V48" s="941">
        <f t="shared" si="54"/>
        <v>312097333.33333337</v>
      </c>
      <c r="W48" s="941">
        <f t="shared" si="54"/>
        <v>254841333.33333334</v>
      </c>
      <c r="X48" s="941">
        <f t="shared" si="54"/>
        <v>252937333.33333334</v>
      </c>
      <c r="Y48" s="941">
        <f t="shared" si="54"/>
        <v>276159333.33333337</v>
      </c>
      <c r="Z48" s="941">
        <f t="shared" si="54"/>
        <v>301761333.33333337</v>
      </c>
      <c r="AA48" s="941">
        <f t="shared" si="54"/>
        <v>290926666.66666669</v>
      </c>
      <c r="AB48" s="941">
        <f t="shared" si="54"/>
        <v>246284666.66666669</v>
      </c>
      <c r="AC48" s="941">
        <f t="shared" si="54"/>
        <v>230248000</v>
      </c>
      <c r="AD48" s="941">
        <f t="shared" si="54"/>
        <v>253356666.66666669</v>
      </c>
      <c r="AE48" s="941">
        <f t="shared" si="54"/>
        <v>292785333.33333337</v>
      </c>
      <c r="AF48" s="941">
        <f t="shared" si="54"/>
        <v>353860666.66666669</v>
      </c>
      <c r="AG48" s="941">
        <f t="shared" si="54"/>
        <v>337518000</v>
      </c>
      <c r="AH48" s="941">
        <f t="shared" si="54"/>
        <v>399409333.33333337</v>
      </c>
      <c r="AI48" s="941">
        <f t="shared" si="54"/>
        <v>475807333.33333337</v>
      </c>
      <c r="AJ48" s="941">
        <f t="shared" si="54"/>
        <v>467522666.66666669</v>
      </c>
      <c r="AK48" s="941">
        <f t="shared" si="54"/>
        <v>374158666.66666669</v>
      </c>
      <c r="AL48" s="941">
        <f t="shared" si="54"/>
        <v>297817333.33333337</v>
      </c>
      <c r="AM48" s="941">
        <f t="shared" si="54"/>
        <v>297930666.66666669</v>
      </c>
      <c r="AN48" s="941">
        <f t="shared" si="54"/>
        <v>278426000</v>
      </c>
      <c r="AO48" s="941">
        <f t="shared" si="54"/>
        <v>348930666.66666669</v>
      </c>
      <c r="AP48" s="941">
        <f t="shared" si="54"/>
        <v>382273333.33333337</v>
      </c>
      <c r="AQ48" s="941">
        <f t="shared" si="54"/>
        <v>446873333.33333337</v>
      </c>
      <c r="AR48" s="941">
        <f t="shared" si="54"/>
        <v>445683333.33333337</v>
      </c>
      <c r="AS48" s="941">
        <f t="shared" si="54"/>
        <v>433352666.66666669</v>
      </c>
      <c r="AT48" s="941">
        <f t="shared" si="54"/>
        <v>429928480.72903568</v>
      </c>
      <c r="AU48" s="868">
        <f t="shared" si="54"/>
        <v>385079925.02018911</v>
      </c>
      <c r="AV48" s="868">
        <f t="shared" si="54"/>
        <v>358381905.97104824</v>
      </c>
      <c r="AW48" s="868">
        <f t="shared" si="54"/>
        <v>365450349.45459408</v>
      </c>
      <c r="AX48" s="868">
        <f t="shared" si="54"/>
        <v>404426627.86456275</v>
      </c>
      <c r="AY48" s="868">
        <f t="shared" si="54"/>
        <v>450271600.75166714</v>
      </c>
      <c r="AZ48" s="868">
        <f t="shared" si="54"/>
        <v>464124553.01326114</v>
      </c>
      <c r="BA48" s="868">
        <f t="shared" si="54"/>
        <v>490336763.18999994</v>
      </c>
      <c r="BB48" s="868">
        <f t="shared" si="54"/>
        <v>543865990.58020711</v>
      </c>
      <c r="BC48" s="868">
        <f t="shared" si="54"/>
        <v>571576013.79636884</v>
      </c>
      <c r="BD48" s="868">
        <f t="shared" si="54"/>
        <v>447972006.50337148</v>
      </c>
      <c r="BE48" s="868">
        <f t="shared" si="54"/>
        <v>348009572.91704518</v>
      </c>
      <c r="BF48" s="868">
        <f t="shared" si="54"/>
        <v>352653624.82164407</v>
      </c>
      <c r="BG48" s="868">
        <f t="shared" si="54"/>
        <v>396779623.7170344</v>
      </c>
      <c r="BH48" s="868">
        <f t="shared" si="54"/>
        <v>428264388.52257901</v>
      </c>
      <c r="BI48" s="868">
        <f t="shared" si="54"/>
        <v>440493304.01240301</v>
      </c>
      <c r="BJ48" s="868">
        <f t="shared" si="54"/>
        <v>438353684.37427515</v>
      </c>
      <c r="BK48" s="868">
        <f t="shared" si="54"/>
        <v>341574302.39495516</v>
      </c>
      <c r="BL48" s="868">
        <f t="shared" si="54"/>
        <v>289550906.34884405</v>
      </c>
      <c r="BM48" s="868">
        <f t="shared" si="54"/>
        <v>303289587.04156291</v>
      </c>
      <c r="BN48" s="868">
        <f t="shared" si="54"/>
        <v>304560622.44171983</v>
      </c>
      <c r="BO48" s="868">
        <f t="shared" si="54"/>
        <v>366278522.67173648</v>
      </c>
      <c r="BP48" s="868">
        <f t="shared" si="54"/>
        <v>376871752.68364006</v>
      </c>
      <c r="BQ48" s="868">
        <f t="shared" si="54"/>
        <v>383983297.46523815</v>
      </c>
      <c r="BR48" s="868">
        <f t="shared" si="54"/>
        <v>498839665.80887091</v>
      </c>
      <c r="BS48" s="868">
        <f t="shared" ref="BS48:CL49" si="55">BS4*BS14</f>
        <v>462136776.70313042</v>
      </c>
      <c r="BT48" s="868">
        <f t="shared" si="55"/>
        <v>422339719.04686475</v>
      </c>
      <c r="BU48" s="868">
        <f t="shared" si="55"/>
        <v>216757577.51937988</v>
      </c>
      <c r="BV48" s="868">
        <f t="shared" si="55"/>
        <v>304911337</v>
      </c>
      <c r="BW48" s="868">
        <f t="shared" si="55"/>
        <v>296476164.95898461</v>
      </c>
      <c r="BX48" s="868">
        <f t="shared" si="55"/>
        <v>302313693.91750538</v>
      </c>
      <c r="BY48" s="868">
        <f t="shared" si="55"/>
        <v>305445491.78158271</v>
      </c>
      <c r="BZ48" s="868">
        <f t="shared" si="55"/>
        <v>309317829.16913664</v>
      </c>
      <c r="CA48" s="868">
        <f t="shared" si="55"/>
        <v>331013338.95160294</v>
      </c>
      <c r="CB48" s="868">
        <f t="shared" si="55"/>
        <v>387430433.51402414</v>
      </c>
      <c r="CC48" s="868">
        <f t="shared" si="55"/>
        <v>401306632.7953257</v>
      </c>
      <c r="CD48" s="868">
        <f t="shared" si="55"/>
        <v>459550694.32154572</v>
      </c>
      <c r="CE48" s="868">
        <f t="shared" si="55"/>
        <v>504916903.97234732</v>
      </c>
      <c r="CF48" s="868">
        <f t="shared" si="55"/>
        <v>513723584.20511931</v>
      </c>
      <c r="CG48" s="868">
        <f t="shared" si="55"/>
        <v>468121623.78720415</v>
      </c>
      <c r="CH48" s="868">
        <f t="shared" si="55"/>
        <v>413099474.54769146</v>
      </c>
      <c r="CI48" s="868">
        <f t="shared" si="55"/>
        <v>458131228.0794524</v>
      </c>
      <c r="CJ48" s="868">
        <f t="shared" si="55"/>
        <v>547141941.14295363</v>
      </c>
      <c r="CK48" s="868">
        <f t="shared" si="55"/>
        <v>575501124.98956645</v>
      </c>
      <c r="CL48" s="885">
        <f t="shared" si="55"/>
        <v>579275174.2837553</v>
      </c>
      <c r="CM48" s="356">
        <f t="shared" si="23"/>
        <v>379637814.62153572</v>
      </c>
      <c r="CN48" s="347"/>
      <c r="CO48" s="347"/>
      <c r="CP48" s="347"/>
      <c r="CQ48" s="347"/>
      <c r="CR48" s="347"/>
      <c r="CS48" s="347"/>
      <c r="CT48" s="347"/>
      <c r="CU48" s="347"/>
      <c r="CV48" s="347"/>
      <c r="CW48" s="347"/>
      <c r="CX48" s="347"/>
      <c r="CY48" s="347"/>
      <c r="CZ48" s="347"/>
      <c r="DA48" s="347"/>
      <c r="DB48" s="347"/>
      <c r="DC48" s="347"/>
      <c r="DD48" s="347"/>
      <c r="DE48" s="347"/>
      <c r="DF48" s="347"/>
      <c r="DG48" s="347"/>
      <c r="DH48" s="347"/>
      <c r="DI48" s="347"/>
      <c r="DJ48" s="347"/>
      <c r="DK48" s="347"/>
      <c r="DL48" s="347"/>
      <c r="DM48" s="347"/>
      <c r="DN48" s="347"/>
      <c r="DO48" s="347"/>
      <c r="DP48" s="347"/>
      <c r="DQ48" s="347"/>
      <c r="DR48" s="347"/>
      <c r="DS48" s="347"/>
      <c r="DT48" s="347"/>
      <c r="DU48" s="347"/>
      <c r="DV48" s="347"/>
      <c r="DW48" s="347"/>
      <c r="DX48" s="347"/>
      <c r="DY48" s="347"/>
      <c r="DZ48" s="347"/>
      <c r="EA48" s="347"/>
      <c r="EB48" s="347"/>
      <c r="EC48" s="347"/>
      <c r="ED48" s="347"/>
      <c r="EE48" s="347"/>
      <c r="EF48" s="347"/>
      <c r="EG48" s="347"/>
      <c r="EH48" s="347"/>
      <c r="EI48" s="347"/>
      <c r="EJ48" s="347"/>
      <c r="EK48" s="347"/>
      <c r="EL48" s="347"/>
      <c r="EM48" s="347"/>
      <c r="EN48" s="347"/>
      <c r="EO48" s="347"/>
      <c r="EP48" s="347"/>
      <c r="EQ48" s="347"/>
      <c r="ER48" s="347"/>
      <c r="ES48" s="347"/>
      <c r="ET48" s="347"/>
      <c r="EU48" s="347"/>
      <c r="EV48" s="347"/>
      <c r="EW48" s="347"/>
      <c r="EX48" s="347"/>
      <c r="EY48" s="347"/>
      <c r="EZ48" s="347"/>
      <c r="FA48" s="347"/>
      <c r="FB48" s="347"/>
      <c r="FC48" s="347"/>
      <c r="FD48" s="347"/>
      <c r="FE48" s="347"/>
      <c r="FF48" s="347"/>
      <c r="FG48" s="347"/>
      <c r="FH48" s="347"/>
      <c r="FI48" s="347"/>
      <c r="FJ48" s="347"/>
      <c r="FK48" s="347"/>
      <c r="FL48" s="347"/>
      <c r="FM48" s="347"/>
      <c r="FN48" s="347"/>
      <c r="FO48" s="347"/>
      <c r="FP48" s="347"/>
      <c r="FQ48" s="347"/>
      <c r="FR48" s="347"/>
      <c r="FS48" s="347"/>
      <c r="FT48" s="347"/>
      <c r="FU48" s="347"/>
      <c r="FV48" s="347"/>
    </row>
    <row r="49" spans="1:178">
      <c r="A49" s="940" t="s">
        <v>412</v>
      </c>
      <c r="B49" s="66" t="s">
        <v>403</v>
      </c>
      <c r="C49" s="581" t="s">
        <v>352</v>
      </c>
      <c r="D49" s="581"/>
      <c r="E49" s="347"/>
      <c r="F49" s="885" t="s">
        <v>1</v>
      </c>
      <c r="G49" s="941">
        <f t="shared" si="54"/>
        <v>5852547153.5595789</v>
      </c>
      <c r="H49" s="941">
        <f t="shared" si="54"/>
        <v>5256654758.0604677</v>
      </c>
      <c r="I49" s="941">
        <f t="shared" si="54"/>
        <v>4189296422.8536434</v>
      </c>
      <c r="J49" s="941">
        <f t="shared" si="54"/>
        <v>3293202838.7486944</v>
      </c>
      <c r="K49" s="941">
        <f t="shared" si="54"/>
        <v>4209100434.1477904</v>
      </c>
      <c r="L49" s="941">
        <f t="shared" si="54"/>
        <v>4208776932.9360337</v>
      </c>
      <c r="M49" s="941">
        <f t="shared" si="54"/>
        <v>4442958051.6798229</v>
      </c>
      <c r="N49" s="941">
        <f t="shared" si="54"/>
        <v>4720051796.2688379</v>
      </c>
      <c r="O49" s="941">
        <f t="shared" si="54"/>
        <v>4588486554.8710232</v>
      </c>
      <c r="P49" s="941">
        <f t="shared" si="54"/>
        <v>3934640286.3552952</v>
      </c>
      <c r="Q49" s="941">
        <f t="shared" si="54"/>
        <v>3493505873.9285192</v>
      </c>
      <c r="R49" s="941">
        <f t="shared" si="54"/>
        <v>3720350082.648941</v>
      </c>
      <c r="S49" s="941">
        <f t="shared" si="54"/>
        <v>3870127942.5554514</v>
      </c>
      <c r="T49" s="941">
        <f t="shared" si="54"/>
        <v>3905979905.5537162</v>
      </c>
      <c r="U49" s="941">
        <f t="shared" si="54"/>
        <v>3609565099.0045414</v>
      </c>
      <c r="V49" s="941">
        <f t="shared" si="54"/>
        <v>2932649462.5474997</v>
      </c>
      <c r="W49" s="941">
        <f t="shared" si="54"/>
        <v>2788081429.8677635</v>
      </c>
      <c r="X49" s="941">
        <f t="shared" si="54"/>
        <v>3117798201.6880679</v>
      </c>
      <c r="Y49" s="941">
        <f t="shared" si="54"/>
        <v>3406299184.3880954</v>
      </c>
      <c r="Z49" s="941">
        <f t="shared" si="54"/>
        <v>3574308958.48</v>
      </c>
      <c r="AA49" s="941">
        <f t="shared" si="54"/>
        <v>3705192953.8275571</v>
      </c>
      <c r="AB49" s="941">
        <f t="shared" si="54"/>
        <v>3369864508.75</v>
      </c>
      <c r="AC49" s="941">
        <f t="shared" si="54"/>
        <v>3203917279.3772726</v>
      </c>
      <c r="AD49" s="941">
        <f t="shared" si="54"/>
        <v>3427851840.1687508</v>
      </c>
      <c r="AE49" s="941">
        <f t="shared" si="54"/>
        <v>3844011595.2192864</v>
      </c>
      <c r="AF49" s="941">
        <f t="shared" si="54"/>
        <v>3840678853.8602276</v>
      </c>
      <c r="AG49" s="941">
        <f t="shared" si="54"/>
        <v>4218548626.1854162</v>
      </c>
      <c r="AH49" s="941">
        <f t="shared" si="54"/>
        <v>4553076472.6824999</v>
      </c>
      <c r="AI49" s="941">
        <f t="shared" si="54"/>
        <v>4557051471.734375</v>
      </c>
      <c r="AJ49" s="941">
        <f t="shared" si="54"/>
        <v>4018708497.09375</v>
      </c>
      <c r="AK49" s="941">
        <f t="shared" si="54"/>
        <v>4062841020.6328955</v>
      </c>
      <c r="AL49" s="941">
        <f t="shared" si="54"/>
        <v>3780814614.5437498</v>
      </c>
      <c r="AM49" s="941">
        <f t="shared" si="54"/>
        <v>3492519918.4419646</v>
      </c>
      <c r="AN49" s="941">
        <f t="shared" si="54"/>
        <v>3564691985.9609528</v>
      </c>
      <c r="AO49" s="941">
        <f t="shared" si="54"/>
        <v>3890549398.1306815</v>
      </c>
      <c r="AP49" s="941">
        <f t="shared" si="54"/>
        <v>4296252800</v>
      </c>
      <c r="AQ49" s="941">
        <f t="shared" si="54"/>
        <v>4526341678.014286</v>
      </c>
      <c r="AR49" s="941">
        <f t="shared" si="54"/>
        <v>5047920262.752841</v>
      </c>
      <c r="AS49" s="941">
        <f t="shared" si="54"/>
        <v>5022387416.6000004</v>
      </c>
      <c r="AT49" s="941">
        <f t="shared" si="54"/>
        <v>5102385931.15909</v>
      </c>
      <c r="AU49" s="868">
        <f t="shared" si="54"/>
        <v>4771827378.1315794</v>
      </c>
      <c r="AV49" s="868">
        <f t="shared" si="54"/>
        <v>4926770904.3392859</v>
      </c>
      <c r="AW49" s="868">
        <f t="shared" si="54"/>
        <v>5287781108.4678564</v>
      </c>
      <c r="AX49" s="868">
        <f t="shared" si="54"/>
        <v>6043677177.2098227</v>
      </c>
      <c r="AY49" s="868">
        <f t="shared" si="54"/>
        <v>5776562633.25</v>
      </c>
      <c r="AZ49" s="868">
        <f t="shared" si="54"/>
        <v>5970060232.0136356</v>
      </c>
      <c r="BA49" s="868">
        <f t="shared" si="54"/>
        <v>6069292232.093749</v>
      </c>
      <c r="BB49" s="868">
        <f t="shared" si="54"/>
        <v>6564931755.3249998</v>
      </c>
      <c r="BC49" s="868">
        <f t="shared" si="54"/>
        <v>6611590790.555706</v>
      </c>
      <c r="BD49" s="868">
        <f t="shared" si="54"/>
        <v>4885439473.5744047</v>
      </c>
      <c r="BE49" s="868">
        <f t="shared" si="54"/>
        <v>4336037607.8877773</v>
      </c>
      <c r="BF49" s="868">
        <f t="shared" si="54"/>
        <v>4360161083.2477274</v>
      </c>
      <c r="BG49" s="868">
        <f t="shared" si="54"/>
        <v>4828793345.9305563</v>
      </c>
      <c r="BH49" s="868">
        <f t="shared" si="54"/>
        <v>5023688023.750001</v>
      </c>
      <c r="BI49" s="868">
        <f t="shared" si="54"/>
        <v>5337967108.2464285</v>
      </c>
      <c r="BJ49" s="868">
        <f t="shared" si="54"/>
        <v>5060014853.3392868</v>
      </c>
      <c r="BK49" s="868">
        <f t="shared" si="54"/>
        <v>4319551563.1876316</v>
      </c>
      <c r="BL49" s="868">
        <f t="shared" si="54"/>
        <v>4638803906.25</v>
      </c>
      <c r="BM49" s="868">
        <f t="shared" si="54"/>
        <v>4329827523.421875</v>
      </c>
      <c r="BN49" s="868">
        <f t="shared" si="54"/>
        <v>4625258746.559762</v>
      </c>
      <c r="BO49" s="868">
        <f t="shared" si="54"/>
        <v>4715692399.0715904</v>
      </c>
      <c r="BP49" s="868">
        <f t="shared" si="54"/>
        <v>5037476043.7973213</v>
      </c>
      <c r="BQ49" s="868">
        <f t="shared" si="54"/>
        <v>5301504775.7342844</v>
      </c>
      <c r="BR49" s="868">
        <f t="shared" si="54"/>
        <v>5136924313.3440475</v>
      </c>
      <c r="BS49" s="868">
        <f t="shared" si="55"/>
        <v>4529696724.3499994</v>
      </c>
      <c r="BT49" s="868">
        <f t="shared" si="55"/>
        <v>2590443136.7136364</v>
      </c>
      <c r="BU49" s="868">
        <f t="shared" si="55"/>
        <v>1181789420.045238</v>
      </c>
      <c r="BV49" s="868">
        <f t="shared" si="55"/>
        <v>2087128550.0166664</v>
      </c>
      <c r="BW49" s="868">
        <f t="shared" si="55"/>
        <v>3582099490.3062496</v>
      </c>
      <c r="BX49" s="868">
        <f t="shared" si="55"/>
        <v>3938603475.1999998</v>
      </c>
      <c r="BY49" s="868">
        <f t="shared" si="55"/>
        <v>3849209748.3587499</v>
      </c>
      <c r="BZ49" s="868">
        <f t="shared" si="55"/>
        <v>3830152866.7227263</v>
      </c>
      <c r="CA49" s="868">
        <f t="shared" si="55"/>
        <v>3777429504.9801135</v>
      </c>
      <c r="CB49" s="868">
        <f t="shared" si="55"/>
        <v>3693559049.5749998</v>
      </c>
      <c r="CC49" s="868">
        <f t="shared" si="55"/>
        <v>4272561480.8624997</v>
      </c>
      <c r="CD49" s="868">
        <f t="shared" si="55"/>
        <v>4994221737.1262503</v>
      </c>
      <c r="CE49" s="868">
        <f t="shared" si="55"/>
        <v>5501110714.5164471</v>
      </c>
      <c r="CF49" s="868">
        <f t="shared" si="55"/>
        <v>5736648966.9285336</v>
      </c>
      <c r="CG49" s="868">
        <f t="shared" si="55"/>
        <v>5610271571.7821436</v>
      </c>
      <c r="CH49" s="868">
        <f t="shared" si="55"/>
        <v>5849413947.4813166</v>
      </c>
      <c r="CI49" s="868">
        <f t="shared" si="55"/>
        <v>6336468531.3653412</v>
      </c>
      <c r="CJ49" s="868">
        <f t="shared" si="55"/>
        <v>6806509055.631546</v>
      </c>
      <c r="CK49" s="868">
        <f t="shared" si="55"/>
        <v>6340797464.6099987</v>
      </c>
      <c r="CL49" s="885">
        <f t="shared" si="55"/>
        <v>6691929482.0008516</v>
      </c>
      <c r="CM49" s="356">
        <f t="shared" si="23"/>
        <v>4473805576.1021662</v>
      </c>
      <c r="CN49" s="347"/>
      <c r="CO49" s="347"/>
      <c r="CP49" s="347"/>
      <c r="CQ49" s="347"/>
      <c r="CR49" s="347"/>
      <c r="CS49" s="347"/>
      <c r="CT49" s="347"/>
      <c r="CU49" s="347"/>
      <c r="CV49" s="347"/>
      <c r="CW49" s="347"/>
      <c r="CX49" s="347"/>
      <c r="CY49" s="347"/>
      <c r="CZ49" s="347"/>
      <c r="DA49" s="347"/>
      <c r="DB49" s="347"/>
      <c r="DC49" s="347"/>
      <c r="DD49" s="347"/>
      <c r="DE49" s="347"/>
      <c r="DF49" s="347"/>
      <c r="DG49" s="347"/>
      <c r="DH49" s="347"/>
      <c r="DI49" s="347"/>
      <c r="DJ49" s="347"/>
      <c r="DK49" s="347"/>
      <c r="DL49" s="347"/>
      <c r="DM49" s="347"/>
      <c r="DN49" s="347"/>
      <c r="DO49" s="347"/>
      <c r="DP49" s="347"/>
      <c r="DQ49" s="347"/>
      <c r="DR49" s="347"/>
      <c r="DS49" s="347"/>
      <c r="DT49" s="347"/>
      <c r="DU49" s="347"/>
      <c r="DV49" s="347"/>
      <c r="DW49" s="347"/>
      <c r="DX49" s="942"/>
      <c r="DY49" s="347"/>
      <c r="DZ49" s="347"/>
      <c r="EA49" s="347"/>
      <c r="EB49" s="347"/>
      <c r="EC49" s="347"/>
      <c r="ED49" s="347"/>
      <c r="EE49" s="347"/>
      <c r="EF49" s="347"/>
      <c r="EG49" s="347"/>
      <c r="EH49" s="347"/>
      <c r="EI49" s="347"/>
      <c r="EJ49" s="347"/>
      <c r="EK49" s="347"/>
      <c r="EL49" s="347"/>
      <c r="EM49" s="347"/>
      <c r="EN49" s="347"/>
      <c r="EO49" s="347"/>
      <c r="EP49" s="347"/>
      <c r="EQ49" s="347"/>
      <c r="ER49" s="347"/>
      <c r="ES49" s="347"/>
      <c r="ET49" s="347"/>
      <c r="EU49" s="347"/>
      <c r="EV49" s="347"/>
      <c r="EW49" s="347"/>
      <c r="EX49" s="347"/>
      <c r="EY49" s="347"/>
      <c r="EZ49" s="347"/>
      <c r="FA49" s="347"/>
      <c r="FB49" s="347"/>
      <c r="FC49" s="347"/>
      <c r="FD49" s="347"/>
      <c r="FE49" s="347"/>
      <c r="FF49" s="347"/>
      <c r="FG49" s="347"/>
      <c r="FH49" s="347"/>
      <c r="FI49" s="347"/>
      <c r="FJ49" s="347"/>
      <c r="FK49" s="347"/>
      <c r="FL49" s="347"/>
      <c r="FM49" s="347"/>
      <c r="FN49" s="347"/>
      <c r="FO49" s="347"/>
      <c r="FP49" s="347"/>
      <c r="FQ49" s="347"/>
      <c r="FR49" s="347"/>
      <c r="FS49" s="347"/>
      <c r="FT49" s="347"/>
      <c r="FU49" s="347"/>
      <c r="FV49" s="347"/>
    </row>
    <row r="50" spans="1:178">
      <c r="A50" s="940" t="s">
        <v>413</v>
      </c>
      <c r="B50" s="66" t="s">
        <v>403</v>
      </c>
      <c r="C50" s="581" t="s">
        <v>352</v>
      </c>
      <c r="D50" s="581"/>
      <c r="E50" s="347"/>
      <c r="F50" s="885" t="s">
        <v>421</v>
      </c>
      <c r="G50" s="941">
        <f t="shared" ref="G50:BR50" si="56">G46*$CO$4+G47*$CP$4+G48*$CQ$4+G49*$CR$4</f>
        <v>7006551035.1506929</v>
      </c>
      <c r="H50" s="941">
        <f t="shared" si="56"/>
        <v>6377398155.3529644</v>
      </c>
      <c r="I50" s="941">
        <f t="shared" si="56"/>
        <v>5593762183.470541</v>
      </c>
      <c r="J50" s="941">
        <f t="shared" si="56"/>
        <v>4635083504.7420807</v>
      </c>
      <c r="K50" s="941">
        <f t="shared" si="56"/>
        <v>5268700323.2597733</v>
      </c>
      <c r="L50" s="941">
        <f t="shared" si="56"/>
        <v>5404450096.8097115</v>
      </c>
      <c r="M50" s="941">
        <f t="shared" si="56"/>
        <v>5456647612.6326838</v>
      </c>
      <c r="N50" s="941">
        <f t="shared" si="56"/>
        <v>5679809213.950901</v>
      </c>
      <c r="O50" s="941">
        <f t="shared" si="56"/>
        <v>5373741216.4282341</v>
      </c>
      <c r="P50" s="941">
        <f t="shared" si="56"/>
        <v>4926822803.1692448</v>
      </c>
      <c r="Q50" s="941">
        <f t="shared" si="56"/>
        <v>4605881812.1556902</v>
      </c>
      <c r="R50" s="941">
        <f t="shared" si="56"/>
        <v>4615539129.9936237</v>
      </c>
      <c r="S50" s="941">
        <f t="shared" si="56"/>
        <v>4807078542.4296198</v>
      </c>
      <c r="T50" s="941">
        <f t="shared" si="56"/>
        <v>4982068634.8306179</v>
      </c>
      <c r="U50" s="941">
        <f t="shared" si="56"/>
        <v>4881039266.756916</v>
      </c>
      <c r="V50" s="941">
        <f t="shared" si="56"/>
        <v>4131039227.287756</v>
      </c>
      <c r="W50" s="941">
        <f t="shared" si="56"/>
        <v>3852757354.5108471</v>
      </c>
      <c r="X50" s="941">
        <f t="shared" si="56"/>
        <v>4032839679.5112543</v>
      </c>
      <c r="Y50" s="941">
        <f t="shared" si="56"/>
        <v>4194563069.3864307</v>
      </c>
      <c r="Z50" s="941">
        <f t="shared" si="56"/>
        <v>4337961210.6075306</v>
      </c>
      <c r="AA50" s="941">
        <f t="shared" si="56"/>
        <v>4432437660.4458656</v>
      </c>
      <c r="AB50" s="941">
        <f t="shared" si="56"/>
        <v>4107249953.4772372</v>
      </c>
      <c r="AC50" s="941">
        <f t="shared" si="56"/>
        <v>3963430372.6986217</v>
      </c>
      <c r="AD50" s="941">
        <f t="shared" si="56"/>
        <v>4142507740.3025107</v>
      </c>
      <c r="AE50" s="941">
        <f t="shared" si="56"/>
        <v>4464590024.4499273</v>
      </c>
      <c r="AF50" s="941">
        <f t="shared" si="56"/>
        <v>4659368088.0545483</v>
      </c>
      <c r="AG50" s="941">
        <f t="shared" si="56"/>
        <v>4860624022.0895977</v>
      </c>
      <c r="AH50" s="941">
        <f t="shared" si="56"/>
        <v>5273331229.2236881</v>
      </c>
      <c r="AI50" s="941">
        <f t="shared" si="56"/>
        <v>5491527611.3084793</v>
      </c>
      <c r="AJ50" s="941">
        <f t="shared" si="56"/>
        <v>5027478785.0496635</v>
      </c>
      <c r="AK50" s="941">
        <f t="shared" si="56"/>
        <v>4837930809.4461746</v>
      </c>
      <c r="AL50" s="941">
        <f t="shared" si="56"/>
        <v>4498298332.9682751</v>
      </c>
      <c r="AM50" s="941">
        <f t="shared" si="56"/>
        <v>4320221503.4688873</v>
      </c>
      <c r="AN50" s="941">
        <f t="shared" si="56"/>
        <v>4243037080.9263463</v>
      </c>
      <c r="AO50" s="941">
        <f t="shared" si="56"/>
        <v>4677289717.9619875</v>
      </c>
      <c r="AP50" s="941">
        <f t="shared" si="56"/>
        <v>5120623351.2803822</v>
      </c>
      <c r="AQ50" s="941">
        <f t="shared" si="56"/>
        <v>5629015645.1659203</v>
      </c>
      <c r="AR50" s="941">
        <f t="shared" si="56"/>
        <v>5946231998.9258804</v>
      </c>
      <c r="AS50" s="941">
        <f t="shared" si="56"/>
        <v>5943439112.4970551</v>
      </c>
      <c r="AT50" s="941">
        <f t="shared" si="56"/>
        <v>5975001333.8655548</v>
      </c>
      <c r="AU50" s="868">
        <f t="shared" si="56"/>
        <v>5607891515.8874626</v>
      </c>
      <c r="AV50" s="868">
        <f t="shared" si="56"/>
        <v>5571511619.4068546</v>
      </c>
      <c r="AW50" s="868">
        <f t="shared" si="56"/>
        <v>5834666663.1049995</v>
      </c>
      <c r="AX50" s="868">
        <f t="shared" si="56"/>
        <v>6444731139.5857592</v>
      </c>
      <c r="AY50" s="868">
        <f t="shared" si="56"/>
        <v>6486294986.2150116</v>
      </c>
      <c r="AZ50" s="868">
        <f t="shared" si="56"/>
        <v>6624405319.2080441</v>
      </c>
      <c r="BA50" s="868">
        <f t="shared" si="56"/>
        <v>6809115557.9348173</v>
      </c>
      <c r="BB50" s="868">
        <f t="shared" si="56"/>
        <v>7283353013.7573195</v>
      </c>
      <c r="BC50" s="868">
        <f t="shared" si="56"/>
        <v>7584589784.3203583</v>
      </c>
      <c r="BD50" s="868">
        <f t="shared" si="56"/>
        <v>6025024795.259613</v>
      </c>
      <c r="BE50" s="868">
        <f t="shared" si="56"/>
        <v>5350978634.1445007</v>
      </c>
      <c r="BF50" s="868">
        <f t="shared" si="56"/>
        <v>5315095662.0307465</v>
      </c>
      <c r="BG50" s="868">
        <f t="shared" si="56"/>
        <v>5661406962.5665169</v>
      </c>
      <c r="BH50" s="868">
        <f t="shared" si="56"/>
        <v>5895388958.2288532</v>
      </c>
      <c r="BI50" s="868">
        <f t="shared" si="56"/>
        <v>6219859424.8097191</v>
      </c>
      <c r="BJ50" s="868">
        <f t="shared" si="56"/>
        <v>6084413570.6859541</v>
      </c>
      <c r="BK50" s="868">
        <f t="shared" si="56"/>
        <v>5283299338.3492012</v>
      </c>
      <c r="BL50" s="868">
        <f t="shared" si="56"/>
        <v>5278850238.2126064</v>
      </c>
      <c r="BM50" s="868">
        <f t="shared" si="56"/>
        <v>5134211230.9814167</v>
      </c>
      <c r="BN50" s="868">
        <f t="shared" si="56"/>
        <v>5258506944.2660789</v>
      </c>
      <c r="BO50" s="868">
        <f t="shared" si="56"/>
        <v>5480506541.07798</v>
      </c>
      <c r="BP50" s="868">
        <f t="shared" si="56"/>
        <v>5737269750.3319054</v>
      </c>
      <c r="BQ50" s="868">
        <f t="shared" si="56"/>
        <v>5923584788.6373196</v>
      </c>
      <c r="BR50" s="868">
        <f t="shared" si="56"/>
        <v>6251204216.5577068</v>
      </c>
      <c r="BS50" s="868">
        <f t="shared" ref="BS50:CL50" si="57">BS46*$CO$4+BS47*$CP$4+BS48*$CQ$4+BS49*$CR$4</f>
        <v>5689080851.5838594</v>
      </c>
      <c r="BT50" s="868">
        <f t="shared" si="57"/>
        <v>4311646417.4515533</v>
      </c>
      <c r="BU50" s="868">
        <f t="shared" si="57"/>
        <v>2572514782.0109997</v>
      </c>
      <c r="BV50" s="868">
        <f t="shared" si="57"/>
        <v>3527093764.3329639</v>
      </c>
      <c r="BW50" s="868">
        <f t="shared" si="57"/>
        <v>4484787402.4973068</v>
      </c>
      <c r="BX50" s="868">
        <f t="shared" si="57"/>
        <v>4721286914.5966606</v>
      </c>
      <c r="BY50" s="868">
        <f t="shared" si="57"/>
        <v>4675946076.7219458</v>
      </c>
      <c r="BZ50" s="868">
        <f t="shared" si="57"/>
        <v>4657152562.068018</v>
      </c>
      <c r="CA50" s="868">
        <f t="shared" si="57"/>
        <v>4565396823.7046413</v>
      </c>
      <c r="CB50" s="868">
        <f t="shared" si="57"/>
        <v>4734534477.7836227</v>
      </c>
      <c r="CC50" s="868">
        <f t="shared" si="57"/>
        <v>5149975128.4935312</v>
      </c>
      <c r="CD50" s="868">
        <f t="shared" si="57"/>
        <v>5917715564.5781593</v>
      </c>
      <c r="CE50" s="868">
        <f t="shared" si="57"/>
        <v>6427490494.2528973</v>
      </c>
      <c r="CF50" s="868">
        <f t="shared" si="57"/>
        <v>6634695737.2522888</v>
      </c>
      <c r="CG50" s="868">
        <f t="shared" si="57"/>
        <v>6379222922.7943993</v>
      </c>
      <c r="CH50" s="868">
        <f t="shared" si="57"/>
        <v>6261689644.5172596</v>
      </c>
      <c r="CI50" s="868">
        <f t="shared" si="57"/>
        <v>6720919861.5530643</v>
      </c>
      <c r="CJ50" s="868">
        <f t="shared" si="57"/>
        <v>7368050642.9051895</v>
      </c>
      <c r="CK50" s="868">
        <f t="shared" si="57"/>
        <v>7205402094.8921471</v>
      </c>
      <c r="CL50" s="885">
        <f t="shared" si="57"/>
        <v>7437291582.5988436</v>
      </c>
      <c r="CM50" s="356">
        <f t="shared" si="23"/>
        <v>5361493129.1451616</v>
      </c>
      <c r="CN50" s="347"/>
      <c r="CO50" s="347"/>
      <c r="CP50" s="347"/>
      <c r="CQ50" s="347"/>
      <c r="CR50" s="347"/>
      <c r="CS50" s="347"/>
      <c r="CT50" s="347"/>
      <c r="CU50" s="347"/>
      <c r="CV50" s="347"/>
      <c r="CW50" s="347"/>
      <c r="CX50" s="347"/>
      <c r="CY50" s="347"/>
      <c r="CZ50" s="347"/>
      <c r="DA50" s="347"/>
      <c r="DB50" s="347"/>
      <c r="DC50" s="347"/>
      <c r="DD50" s="347"/>
      <c r="DE50" s="347"/>
      <c r="DF50" s="347"/>
      <c r="DG50" s="347"/>
      <c r="DH50" s="347"/>
      <c r="DI50" s="347"/>
      <c r="DJ50" s="347"/>
      <c r="DK50" s="347"/>
      <c r="DL50" s="347"/>
      <c r="DM50" s="347"/>
      <c r="DN50" s="347"/>
      <c r="DO50" s="347"/>
      <c r="DP50" s="347"/>
      <c r="DQ50" s="347"/>
      <c r="DR50" s="347"/>
      <c r="DS50" s="347"/>
      <c r="DT50" s="347"/>
      <c r="DU50" s="347"/>
      <c r="DV50" s="347"/>
      <c r="DW50" s="347"/>
      <c r="DX50" s="347"/>
      <c r="DY50" s="347"/>
      <c r="DZ50" s="347"/>
      <c r="EA50" s="347"/>
      <c r="EB50" s="347"/>
      <c r="EC50" s="347"/>
      <c r="ED50" s="347"/>
      <c r="EE50" s="347"/>
      <c r="EF50" s="347"/>
      <c r="EG50" s="347"/>
      <c r="EH50" s="347"/>
      <c r="EI50" s="347"/>
      <c r="EJ50" s="347"/>
      <c r="EK50" s="347"/>
      <c r="EL50" s="347"/>
      <c r="EM50" s="347"/>
      <c r="EN50" s="347"/>
      <c r="EO50" s="347"/>
      <c r="EP50" s="347"/>
      <c r="EQ50" s="347"/>
      <c r="ER50" s="347"/>
      <c r="ES50" s="347"/>
      <c r="ET50" s="347"/>
      <c r="EU50" s="347"/>
      <c r="EV50" s="347"/>
      <c r="EW50" s="347"/>
      <c r="EX50" s="347"/>
      <c r="EY50" s="347"/>
      <c r="EZ50" s="347"/>
      <c r="FA50" s="347"/>
      <c r="FB50" s="347"/>
      <c r="FC50" s="347"/>
      <c r="FD50" s="347"/>
      <c r="FE50" s="347"/>
      <c r="FF50" s="347"/>
      <c r="FG50" s="347"/>
      <c r="FH50" s="347"/>
      <c r="FI50" s="347"/>
      <c r="FJ50" s="347"/>
      <c r="FK50" s="347"/>
      <c r="FL50" s="347"/>
      <c r="FM50" s="347"/>
      <c r="FN50" s="347"/>
      <c r="FO50" s="347"/>
      <c r="FP50" s="347"/>
      <c r="FQ50" s="347"/>
      <c r="FR50" s="347"/>
      <c r="FS50" s="347"/>
      <c r="FT50" s="347"/>
      <c r="FU50" s="347"/>
      <c r="FV50" s="347"/>
    </row>
    <row r="51" spans="1:178">
      <c r="A51" s="940" t="s">
        <v>414</v>
      </c>
      <c r="B51" s="66" t="s">
        <v>403</v>
      </c>
      <c r="C51" s="581" t="s">
        <v>352</v>
      </c>
      <c r="D51" s="581"/>
      <c r="E51" s="347"/>
      <c r="F51" s="885" t="s">
        <v>422</v>
      </c>
      <c r="G51" s="941">
        <f t="shared" ref="G51:BR51" si="58">$CO$5*G46+G47*$CP$5+G48*$CQ$5+G49*$CR$5</f>
        <v>3420967517.6419373</v>
      </c>
      <c r="H51" s="941">
        <f t="shared" si="58"/>
        <v>2987776536.4388628</v>
      </c>
      <c r="I51" s="941">
        <f t="shared" si="58"/>
        <v>2512969340.0041871</v>
      </c>
      <c r="J51" s="941">
        <f t="shared" si="58"/>
        <v>1968403268.6791909</v>
      </c>
      <c r="K51" s="941">
        <f t="shared" si="58"/>
        <v>2348614297.8320823</v>
      </c>
      <c r="L51" s="941">
        <f t="shared" si="58"/>
        <v>2414950760.6220107</v>
      </c>
      <c r="M51" s="941">
        <f t="shared" si="58"/>
        <v>2455348334.4914989</v>
      </c>
      <c r="N51" s="941">
        <f t="shared" si="58"/>
        <v>2580853077.7747755</v>
      </c>
      <c r="O51" s="941">
        <f t="shared" si="58"/>
        <v>2437900158.9244547</v>
      </c>
      <c r="P51" s="941">
        <f t="shared" si="58"/>
        <v>2171410140.4750419</v>
      </c>
      <c r="Q51" s="941">
        <f t="shared" si="58"/>
        <v>1970896941.3710227</v>
      </c>
      <c r="R51" s="941">
        <f t="shared" si="58"/>
        <v>1977896791.6026239</v>
      </c>
      <c r="S51" s="941">
        <f t="shared" si="58"/>
        <v>2093887419.7454405</v>
      </c>
      <c r="T51" s="941">
        <f t="shared" si="58"/>
        <v>2190895245.0322142</v>
      </c>
      <c r="U51" s="941">
        <f t="shared" si="58"/>
        <v>2188227964.3121085</v>
      </c>
      <c r="V51" s="941">
        <f t="shared" si="58"/>
        <v>1749335901.1036596</v>
      </c>
      <c r="W51" s="941">
        <f t="shared" si="58"/>
        <v>1588352267.274591</v>
      </c>
      <c r="X51" s="941">
        <f t="shared" si="58"/>
        <v>1708926339.2322707</v>
      </c>
      <c r="Y51" s="941">
        <f t="shared" si="58"/>
        <v>1868026320.0816803</v>
      </c>
      <c r="Z51" s="941">
        <f t="shared" si="58"/>
        <v>1952229518.02634</v>
      </c>
      <c r="AA51" s="941">
        <f t="shared" si="58"/>
        <v>2005891564.6112881</v>
      </c>
      <c r="AB51" s="941">
        <f t="shared" si="58"/>
        <v>1809100869.8974633</v>
      </c>
      <c r="AC51" s="941">
        <f t="shared" si="58"/>
        <v>1725227265.8486662</v>
      </c>
      <c r="AD51" s="941">
        <f t="shared" si="58"/>
        <v>1832406510.8717561</v>
      </c>
      <c r="AE51" s="941">
        <f t="shared" si="58"/>
        <v>2068882787.1843646</v>
      </c>
      <c r="AF51" s="941">
        <f t="shared" si="58"/>
        <v>2174274669.7043052</v>
      </c>
      <c r="AG51" s="941">
        <f t="shared" si="58"/>
        <v>2294582959.0926857</v>
      </c>
      <c r="AH51" s="941">
        <f t="shared" si="58"/>
        <v>2529314105.9021983</v>
      </c>
      <c r="AI51" s="941">
        <f t="shared" si="58"/>
        <v>2659661347.1679306</v>
      </c>
      <c r="AJ51" s="941">
        <f t="shared" si="58"/>
        <v>2398289910.3683319</v>
      </c>
      <c r="AK51" s="941">
        <f t="shared" si="58"/>
        <v>2292745307.3906031</v>
      </c>
      <c r="AL51" s="941">
        <f t="shared" si="58"/>
        <v>2092230904.0354872</v>
      </c>
      <c r="AM51" s="941">
        <f t="shared" si="58"/>
        <v>1984047325.3861136</v>
      </c>
      <c r="AN51" s="941">
        <f t="shared" si="58"/>
        <v>1946868187.2317996</v>
      </c>
      <c r="AO51" s="941">
        <f t="shared" si="58"/>
        <v>2199564156.2595758</v>
      </c>
      <c r="AP51" s="941">
        <f t="shared" si="58"/>
        <v>2453996078.5383739</v>
      </c>
      <c r="AQ51" s="941">
        <f t="shared" si="58"/>
        <v>2706340374.370626</v>
      </c>
      <c r="AR51" s="941">
        <f t="shared" si="58"/>
        <v>2899898588.6383934</v>
      </c>
      <c r="AS51" s="941">
        <f t="shared" si="58"/>
        <v>2897245588.0007319</v>
      </c>
      <c r="AT51" s="941">
        <f t="shared" si="58"/>
        <v>2919993788.8904715</v>
      </c>
      <c r="AU51" s="868">
        <f t="shared" si="58"/>
        <v>2697715730.3673611</v>
      </c>
      <c r="AV51" s="868">
        <f t="shared" si="58"/>
        <v>2687748354.8348036</v>
      </c>
      <c r="AW51" s="868">
        <f t="shared" si="58"/>
        <v>2827459859.3818431</v>
      </c>
      <c r="AX51" s="868">
        <f t="shared" si="58"/>
        <v>3181643062.0490017</v>
      </c>
      <c r="AY51" s="868">
        <f t="shared" si="58"/>
        <v>3193001262.1935287</v>
      </c>
      <c r="AZ51" s="868">
        <f t="shared" si="58"/>
        <v>3273067888.3850961</v>
      </c>
      <c r="BA51" s="868">
        <f t="shared" si="58"/>
        <v>3373194084.4619546</v>
      </c>
      <c r="BB51" s="868">
        <f t="shared" si="58"/>
        <v>3641687518.699646</v>
      </c>
      <c r="BC51" s="868">
        <f t="shared" si="58"/>
        <v>3775171617.4146996</v>
      </c>
      <c r="BD51" s="868">
        <f t="shared" si="58"/>
        <v>2867073750.630115</v>
      </c>
      <c r="BE51" s="868">
        <f t="shared" si="58"/>
        <v>2468742387.032156</v>
      </c>
      <c r="BF51" s="868">
        <f t="shared" si="58"/>
        <v>2456562484.9067044</v>
      </c>
      <c r="BG51" s="868">
        <f t="shared" si="58"/>
        <v>2670199121.0967131</v>
      </c>
      <c r="BH51" s="868">
        <f t="shared" si="58"/>
        <v>2814666328.5814195</v>
      </c>
      <c r="BI51" s="868">
        <f t="shared" si="58"/>
        <v>2975540173.720665</v>
      </c>
      <c r="BJ51" s="868">
        <f t="shared" si="58"/>
        <v>2889410309.106195</v>
      </c>
      <c r="BK51" s="868">
        <f t="shared" si="58"/>
        <v>2424637358.4090452</v>
      </c>
      <c r="BL51" s="868">
        <f t="shared" si="58"/>
        <v>2435680337.4700174</v>
      </c>
      <c r="BM51" s="868">
        <f t="shared" si="58"/>
        <v>2336413494.0427976</v>
      </c>
      <c r="BN51" s="868">
        <f t="shared" si="58"/>
        <v>2416886951.0792532</v>
      </c>
      <c r="BO51" s="868">
        <f t="shared" si="58"/>
        <v>2581550024.7478075</v>
      </c>
      <c r="BP51" s="868">
        <f t="shared" si="58"/>
        <v>2728852054.2028379</v>
      </c>
      <c r="BQ51" s="868">
        <f t="shared" si="58"/>
        <v>2842702289.492445</v>
      </c>
      <c r="BR51" s="868">
        <f t="shared" si="58"/>
        <v>3021193136.8819141</v>
      </c>
      <c r="BS51" s="868">
        <f t="shared" ref="BS51:CL51" si="59">$CO$5*BS46+BS47*$CP$5+BS48*$CQ$5+BS49*$CR$5</f>
        <v>2691924558.7099514</v>
      </c>
      <c r="BT51" s="868">
        <f t="shared" si="59"/>
        <v>1857389874.6528111</v>
      </c>
      <c r="BU51" s="868">
        <f t="shared" si="59"/>
        <v>924294118.31688201</v>
      </c>
      <c r="BV51" s="868">
        <f t="shared" si="59"/>
        <v>1478988245.050344</v>
      </c>
      <c r="BW51" s="868">
        <f t="shared" si="59"/>
        <v>2054227721.6899459</v>
      </c>
      <c r="BX51" s="868">
        <f t="shared" si="59"/>
        <v>2200235546.1096163</v>
      </c>
      <c r="BY51" s="868">
        <f t="shared" si="59"/>
        <v>2172161335.6423616</v>
      </c>
      <c r="BZ51" s="868">
        <f t="shared" si="59"/>
        <v>2159334381.4179149</v>
      </c>
      <c r="CA51" s="868">
        <f t="shared" si="59"/>
        <v>2164822215.1816297</v>
      </c>
      <c r="CB51" s="868">
        <f t="shared" si="59"/>
        <v>2248441765.5556459</v>
      </c>
      <c r="CC51" s="868">
        <f t="shared" si="59"/>
        <v>2498426111.1676702</v>
      </c>
      <c r="CD51" s="868">
        <f t="shared" si="59"/>
        <v>2946706331.2136755</v>
      </c>
      <c r="CE51" s="868">
        <f t="shared" si="59"/>
        <v>3241727289.3749776</v>
      </c>
      <c r="CF51" s="868">
        <f t="shared" si="59"/>
        <v>3362965700.9943485</v>
      </c>
      <c r="CG51" s="868">
        <f t="shared" si="59"/>
        <v>3215007216.0362144</v>
      </c>
      <c r="CH51" s="868">
        <f t="shared" si="59"/>
        <v>3161208181.6374979</v>
      </c>
      <c r="CI51" s="868">
        <f t="shared" si="59"/>
        <v>3427620408.5177574</v>
      </c>
      <c r="CJ51" s="868">
        <f t="shared" si="59"/>
        <v>3794144293.5644813</v>
      </c>
      <c r="CK51" s="868">
        <f t="shared" si="59"/>
        <v>3687714687.068984</v>
      </c>
      <c r="CL51" s="885">
        <f t="shared" si="59"/>
        <v>3824956524.2303057</v>
      </c>
      <c r="CM51" s="356">
        <f t="shared" si="23"/>
        <v>2525851506.1354551</v>
      </c>
      <c r="CN51" s="347"/>
      <c r="CO51" s="347"/>
      <c r="CP51" s="347"/>
      <c r="CQ51" s="347"/>
      <c r="CR51" s="347"/>
      <c r="CS51" s="347"/>
      <c r="CT51" s="347"/>
      <c r="CU51" s="347"/>
      <c r="CV51" s="347"/>
      <c r="CW51" s="347"/>
      <c r="CX51" s="347"/>
      <c r="CY51" s="347"/>
      <c r="CZ51" s="347"/>
      <c r="DA51" s="347"/>
      <c r="DB51" s="347"/>
      <c r="DC51" s="347"/>
      <c r="DD51" s="347"/>
      <c r="DE51" s="347"/>
      <c r="DF51" s="347"/>
      <c r="DG51" s="347"/>
      <c r="DH51" s="347"/>
      <c r="DI51" s="347"/>
      <c r="DJ51" s="347"/>
      <c r="DK51" s="347"/>
      <c r="DL51" s="347"/>
      <c r="DM51" s="347"/>
      <c r="DN51" s="347"/>
      <c r="DO51" s="347"/>
      <c r="DP51" s="347"/>
      <c r="DQ51" s="347"/>
      <c r="DR51" s="347"/>
      <c r="DS51" s="347"/>
      <c r="DT51" s="347"/>
      <c r="DU51" s="347"/>
      <c r="DV51" s="347"/>
      <c r="DW51" s="347"/>
      <c r="DX51" s="347"/>
      <c r="DY51" s="347"/>
      <c r="DZ51" s="347"/>
      <c r="EA51" s="347"/>
      <c r="EB51" s="347"/>
      <c r="EC51" s="347"/>
      <c r="ED51" s="347"/>
      <c r="EE51" s="347"/>
      <c r="EF51" s="347"/>
      <c r="EG51" s="347"/>
      <c r="EH51" s="347"/>
      <c r="EI51" s="347"/>
      <c r="EJ51" s="347"/>
      <c r="EK51" s="347"/>
      <c r="EL51" s="347"/>
      <c r="EM51" s="347"/>
      <c r="EN51" s="347"/>
      <c r="EO51" s="347"/>
      <c r="EP51" s="347"/>
      <c r="EQ51" s="347"/>
      <c r="ER51" s="347"/>
      <c r="ES51" s="347"/>
      <c r="ET51" s="347"/>
      <c r="EU51" s="347"/>
      <c r="EV51" s="347"/>
      <c r="EW51" s="347"/>
      <c r="EX51" s="347"/>
      <c r="EY51" s="347"/>
      <c r="EZ51" s="347"/>
      <c r="FA51" s="347"/>
      <c r="FB51" s="347"/>
      <c r="FC51" s="347"/>
      <c r="FD51" s="347"/>
      <c r="FE51" s="347"/>
      <c r="FF51" s="347"/>
      <c r="FG51" s="347"/>
      <c r="FH51" s="347"/>
      <c r="FI51" s="347"/>
      <c r="FJ51" s="347"/>
      <c r="FK51" s="347"/>
      <c r="FL51" s="347"/>
      <c r="FM51" s="347"/>
      <c r="FN51" s="347"/>
      <c r="FO51" s="347"/>
      <c r="FP51" s="347"/>
      <c r="FQ51" s="347"/>
      <c r="FR51" s="347"/>
      <c r="FS51" s="347"/>
      <c r="FT51" s="347"/>
      <c r="FU51" s="347"/>
      <c r="FV51" s="347"/>
    </row>
    <row r="52" spans="1:178" s="75" customFormat="1">
      <c r="A52" s="940" t="s">
        <v>415</v>
      </c>
      <c r="B52" s="66" t="s">
        <v>403</v>
      </c>
      <c r="C52" s="940"/>
      <c r="D52" s="940"/>
      <c r="E52" s="721"/>
      <c r="F52" s="885" t="s">
        <v>423</v>
      </c>
      <c r="G52" s="943">
        <f>G50/(G2*G12+G13*G3+G4*G14+G15*G5)</f>
        <v>0.6719288965709147</v>
      </c>
      <c r="H52" s="943">
        <f t="shared" ref="H52:BS52" si="60">H50/(H2*H12+H13*H3+H4*H14+H15*H5)</f>
        <v>0.68096948164164828</v>
      </c>
      <c r="I52" s="943">
        <f t="shared" si="60"/>
        <v>0.69001448577304414</v>
      </c>
      <c r="J52" s="943">
        <f t="shared" si="60"/>
        <v>0.70191455874464326</v>
      </c>
      <c r="K52" s="943">
        <f t="shared" si="60"/>
        <v>0.69167424287177004</v>
      </c>
      <c r="L52" s="943">
        <f t="shared" si="60"/>
        <v>0.69115910481468779</v>
      </c>
      <c r="M52" s="943">
        <f t="shared" si="60"/>
        <v>0.6896676450669873</v>
      </c>
      <c r="N52" s="943">
        <f t="shared" si="60"/>
        <v>0.68757310411298422</v>
      </c>
      <c r="O52" s="943">
        <f t="shared" si="60"/>
        <v>0.68791448022479318</v>
      </c>
      <c r="P52" s="943">
        <f t="shared" si="60"/>
        <v>0.69409145096889091</v>
      </c>
      <c r="Q52" s="943">
        <f t="shared" si="60"/>
        <v>0.70032488316348573</v>
      </c>
      <c r="R52" s="943">
        <f t="shared" si="60"/>
        <v>0.70002032094917499</v>
      </c>
      <c r="S52" s="943">
        <f t="shared" si="60"/>
        <v>0.6965805321715447</v>
      </c>
      <c r="T52" s="943">
        <f t="shared" si="60"/>
        <v>0.69456206921899188</v>
      </c>
      <c r="U52" s="943">
        <f t="shared" si="60"/>
        <v>0.69045901183435643</v>
      </c>
      <c r="V52" s="943">
        <f t="shared" si="60"/>
        <v>0.70251287325912626</v>
      </c>
      <c r="W52" s="943">
        <f t="shared" si="60"/>
        <v>0.70808302392676448</v>
      </c>
      <c r="X52" s="943">
        <f t="shared" si="60"/>
        <v>0.70236921294709309</v>
      </c>
      <c r="Y52" s="943">
        <f t="shared" si="60"/>
        <v>0.69187649037772492</v>
      </c>
      <c r="Z52" s="943">
        <f t="shared" si="60"/>
        <v>0.68963905829762762</v>
      </c>
      <c r="AA52" s="943">
        <f t="shared" si="60"/>
        <v>0.68844532572136652</v>
      </c>
      <c r="AB52" s="943">
        <f t="shared" si="60"/>
        <v>0.69422014956416189</v>
      </c>
      <c r="AC52" s="943">
        <f t="shared" si="60"/>
        <v>0.69672506670849033</v>
      </c>
      <c r="AD52" s="943">
        <f t="shared" si="60"/>
        <v>0.69331668475214892</v>
      </c>
      <c r="AE52" s="943">
        <f t="shared" si="60"/>
        <v>0.68334102753129067</v>
      </c>
      <c r="AF52" s="943">
        <f t="shared" si="60"/>
        <v>0.68182787032060554</v>
      </c>
      <c r="AG52" s="943">
        <f t="shared" si="60"/>
        <v>0.67931284655674029</v>
      </c>
      <c r="AH52" s="943">
        <f t="shared" si="60"/>
        <v>0.67583889856998203</v>
      </c>
      <c r="AI52" s="943">
        <f t="shared" si="60"/>
        <v>0.67370878521934485</v>
      </c>
      <c r="AJ52" s="943">
        <f t="shared" si="60"/>
        <v>0.67703142816067308</v>
      </c>
      <c r="AK52" s="943">
        <f t="shared" si="60"/>
        <v>0.67846733327614916</v>
      </c>
      <c r="AL52" s="943">
        <f t="shared" si="60"/>
        <v>0.68253977354530726</v>
      </c>
      <c r="AM52" s="943">
        <f t="shared" si="60"/>
        <v>0.68528510137368914</v>
      </c>
      <c r="AN52" s="943">
        <f t="shared" si="60"/>
        <v>0.68547690103646686</v>
      </c>
      <c r="AO52" s="943">
        <f t="shared" si="60"/>
        <v>0.68014964451915749</v>
      </c>
      <c r="AP52" s="943">
        <f t="shared" si="60"/>
        <v>0.67602384498978152</v>
      </c>
      <c r="AQ52" s="943">
        <f t="shared" si="60"/>
        <v>0.67531796266080779</v>
      </c>
      <c r="AR52" s="943">
        <f t="shared" si="60"/>
        <v>0.67218451503361065</v>
      </c>
      <c r="AS52" s="943">
        <f t="shared" si="60"/>
        <v>0.67228266970796968</v>
      </c>
      <c r="AT52" s="943">
        <f t="shared" si="60"/>
        <v>0.67172620686207407</v>
      </c>
      <c r="AU52" s="944">
        <f t="shared" si="60"/>
        <v>0.67519343855516178</v>
      </c>
      <c r="AV52" s="944">
        <f t="shared" si="60"/>
        <v>0.67457758162145931</v>
      </c>
      <c r="AW52" s="944">
        <f t="shared" si="60"/>
        <v>0.67358363422171563</v>
      </c>
      <c r="AX52" s="944">
        <f t="shared" si="60"/>
        <v>0.66948687061129486</v>
      </c>
      <c r="AY52" s="944">
        <f t="shared" si="60"/>
        <v>0.67012051493738323</v>
      </c>
      <c r="AZ52" s="944">
        <f t="shared" si="60"/>
        <v>0.66930267758905726</v>
      </c>
      <c r="BA52" s="944">
        <f t="shared" si="60"/>
        <v>0.66872014278403413</v>
      </c>
      <c r="BB52" s="944">
        <f t="shared" si="60"/>
        <v>0.66666599470449228</v>
      </c>
      <c r="BC52" s="944">
        <f t="shared" si="60"/>
        <v>0.66767157478870198</v>
      </c>
      <c r="BD52" s="944">
        <f t="shared" si="60"/>
        <v>0.67757062791939171</v>
      </c>
      <c r="BE52" s="944">
        <f t="shared" si="60"/>
        <v>0.68429277971087044</v>
      </c>
      <c r="BF52" s="944">
        <f t="shared" si="60"/>
        <v>0.68390754733920545</v>
      </c>
      <c r="BG52" s="944">
        <f t="shared" si="60"/>
        <v>0.67950967745192736</v>
      </c>
      <c r="BH52" s="944">
        <f t="shared" si="60"/>
        <v>0.6768486265702931</v>
      </c>
      <c r="BI52" s="944">
        <f t="shared" si="60"/>
        <v>0.67640991108247017</v>
      </c>
      <c r="BJ52" s="944">
        <f t="shared" si="60"/>
        <v>0.67801793886185346</v>
      </c>
      <c r="BK52" s="944">
        <f t="shared" si="60"/>
        <v>0.68543626474919239</v>
      </c>
      <c r="BL52" s="944">
        <f t="shared" si="60"/>
        <v>0.68427368151891799</v>
      </c>
      <c r="BM52" s="944">
        <f t="shared" si="60"/>
        <v>0.68725326461432912</v>
      </c>
      <c r="BN52" s="944">
        <f t="shared" si="60"/>
        <v>0.68511232334995209</v>
      </c>
      <c r="BO52" s="944">
        <f t="shared" si="60"/>
        <v>0.67979013745813599</v>
      </c>
      <c r="BP52" s="944">
        <f t="shared" si="60"/>
        <v>0.67767389635934927</v>
      </c>
      <c r="BQ52" s="944">
        <f t="shared" si="60"/>
        <v>0.67572334054808081</v>
      </c>
      <c r="BR52" s="944">
        <f t="shared" si="60"/>
        <v>0.67417346111022791</v>
      </c>
      <c r="BS52" s="944">
        <f t="shared" si="60"/>
        <v>0.67880648837147328</v>
      </c>
      <c r="BT52" s="944">
        <f t="shared" ref="BT52:CL52" si="61">BT50/(BT2*BT12+BT13*BT3+BT4*BT14+BT15*BT5)</f>
        <v>0.69891733705148562</v>
      </c>
      <c r="BU52" s="944">
        <f t="shared" si="61"/>
        <v>0.73567496976165481</v>
      </c>
      <c r="BV52" s="944">
        <f t="shared" si="61"/>
        <v>0.70456172266491934</v>
      </c>
      <c r="BW52" s="944">
        <f t="shared" si="61"/>
        <v>0.68585059329630005</v>
      </c>
      <c r="BX52" s="944">
        <f t="shared" si="61"/>
        <v>0.68211682348783376</v>
      </c>
      <c r="BY52" s="944">
        <f t="shared" si="61"/>
        <v>0.68280851849366309</v>
      </c>
      <c r="BZ52" s="944">
        <f t="shared" si="61"/>
        <v>0.68321887809358328</v>
      </c>
      <c r="CA52" s="944">
        <f t="shared" si="61"/>
        <v>0.67834297774357899</v>
      </c>
      <c r="CB52" s="944">
        <f t="shared" si="61"/>
        <v>0.67801096735789013</v>
      </c>
      <c r="CC52" s="944">
        <f t="shared" si="61"/>
        <v>0.67334008338736917</v>
      </c>
      <c r="CD52" s="944">
        <f t="shared" si="61"/>
        <v>0.66758054096990216</v>
      </c>
      <c r="CE52" s="944">
        <f t="shared" si="61"/>
        <v>0.66473737980502001</v>
      </c>
      <c r="CF52" s="944">
        <f t="shared" si="61"/>
        <v>0.66362476647497515</v>
      </c>
      <c r="CG52" s="944">
        <f t="shared" si="61"/>
        <v>0.66490201198904386</v>
      </c>
      <c r="CH52" s="944">
        <f t="shared" si="61"/>
        <v>0.66451846979991014</v>
      </c>
      <c r="CI52" s="944">
        <f t="shared" si="61"/>
        <v>0.66225483495136805</v>
      </c>
      <c r="CJ52" s="944">
        <f t="shared" si="61"/>
        <v>0.66008976593231972</v>
      </c>
      <c r="CK52" s="944">
        <f t="shared" si="61"/>
        <v>0.66146377011437207</v>
      </c>
      <c r="CL52" s="945">
        <f t="shared" si="61"/>
        <v>0.66037362274846834</v>
      </c>
      <c r="CM52" s="946">
        <f t="shared" si="23"/>
        <v>0.68189365945236546</v>
      </c>
      <c r="CN52" s="721"/>
      <c r="CO52" s="721"/>
      <c r="CP52" s="721"/>
      <c r="CQ52" s="721"/>
      <c r="CR52" s="721"/>
      <c r="CS52" s="721"/>
      <c r="CT52" s="721"/>
      <c r="CU52" s="721"/>
      <c r="CV52" s="721"/>
      <c r="CW52" s="721"/>
      <c r="CX52" s="721"/>
      <c r="CY52" s="721"/>
      <c r="CZ52" s="721"/>
      <c r="DA52" s="721"/>
      <c r="DB52" s="721"/>
      <c r="DC52" s="721"/>
      <c r="DD52" s="721"/>
      <c r="DE52" s="721"/>
      <c r="DF52" s="721"/>
      <c r="DG52" s="721"/>
      <c r="DH52" s="721"/>
      <c r="DI52" s="721"/>
      <c r="DJ52" s="721"/>
      <c r="DK52" s="721"/>
      <c r="DL52" s="721"/>
      <c r="DM52" s="721"/>
      <c r="DN52" s="721"/>
      <c r="DO52" s="721"/>
      <c r="DP52" s="721"/>
      <c r="DQ52" s="721"/>
      <c r="DR52" s="721"/>
      <c r="DS52" s="721"/>
      <c r="DT52" s="721"/>
      <c r="DU52" s="721"/>
      <c r="DV52" s="721"/>
      <c r="DW52" s="721"/>
      <c r="DX52" s="721"/>
      <c r="DY52" s="721"/>
      <c r="DZ52" s="721"/>
      <c r="EA52" s="721"/>
      <c r="EB52" s="721"/>
      <c r="EC52" s="721"/>
      <c r="ED52" s="721"/>
      <c r="EE52" s="721"/>
      <c r="EF52" s="721"/>
      <c r="EG52" s="721"/>
      <c r="EH52" s="721"/>
      <c r="EI52" s="721"/>
      <c r="EJ52" s="721"/>
      <c r="EK52" s="721"/>
      <c r="EL52" s="721"/>
      <c r="EM52" s="721"/>
      <c r="EN52" s="721"/>
      <c r="EO52" s="721"/>
      <c r="EP52" s="721"/>
      <c r="EQ52" s="721"/>
      <c r="ER52" s="721"/>
      <c r="ES52" s="721"/>
      <c r="ET52" s="721"/>
      <c r="EU52" s="721"/>
      <c r="EV52" s="721"/>
      <c r="EW52" s="721"/>
      <c r="EX52" s="721"/>
      <c r="EY52" s="721"/>
      <c r="EZ52" s="721"/>
      <c r="FA52" s="721"/>
      <c r="FB52" s="721"/>
      <c r="FC52" s="721"/>
      <c r="FD52" s="721"/>
      <c r="FE52" s="721"/>
      <c r="FF52" s="721"/>
      <c r="FG52" s="721"/>
      <c r="FH52" s="721"/>
      <c r="FI52" s="721"/>
      <c r="FJ52" s="721"/>
      <c r="FK52" s="721"/>
      <c r="FL52" s="721"/>
      <c r="FM52" s="721"/>
      <c r="FN52" s="721"/>
      <c r="FO52" s="721"/>
      <c r="FP52" s="721"/>
      <c r="FQ52" s="721"/>
      <c r="FR52" s="721"/>
      <c r="FS52" s="721"/>
      <c r="FT52" s="721"/>
      <c r="FU52" s="721"/>
      <c r="FV52" s="721"/>
    </row>
    <row r="53" spans="1:178">
      <c r="A53" s="940" t="s">
        <v>415</v>
      </c>
      <c r="B53" s="66" t="s">
        <v>403</v>
      </c>
      <c r="C53" s="581"/>
      <c r="D53" s="581"/>
      <c r="E53" s="347"/>
      <c r="F53" s="885" t="s">
        <v>424</v>
      </c>
      <c r="G53" s="943">
        <f t="shared" ref="G53:BR53" si="62">G51/(G2*G12+G13*G3+G4*G14+G15*G5)</f>
        <v>0.32807110342908535</v>
      </c>
      <c r="H53" s="943">
        <f t="shared" si="62"/>
        <v>0.31903051835835161</v>
      </c>
      <c r="I53" s="943">
        <f t="shared" si="62"/>
        <v>0.30998551422695592</v>
      </c>
      <c r="J53" s="943">
        <f t="shared" si="62"/>
        <v>0.29808544125535658</v>
      </c>
      <c r="K53" s="943">
        <f t="shared" si="62"/>
        <v>0.3083257571282299</v>
      </c>
      <c r="L53" s="943">
        <f t="shared" si="62"/>
        <v>0.30884089518531216</v>
      </c>
      <c r="M53" s="943">
        <f t="shared" si="62"/>
        <v>0.31033235493301253</v>
      </c>
      <c r="N53" s="943">
        <f t="shared" si="62"/>
        <v>0.31242689588701589</v>
      </c>
      <c r="O53" s="943">
        <f t="shared" si="62"/>
        <v>0.31208551977520671</v>
      </c>
      <c r="P53" s="943">
        <f t="shared" si="62"/>
        <v>0.30590854903110903</v>
      </c>
      <c r="Q53" s="943">
        <f t="shared" si="62"/>
        <v>0.29967511683651432</v>
      </c>
      <c r="R53" s="943">
        <f t="shared" si="62"/>
        <v>0.29997967905082518</v>
      </c>
      <c r="S53" s="943">
        <f t="shared" si="62"/>
        <v>0.30341946782845525</v>
      </c>
      <c r="T53" s="943">
        <f t="shared" si="62"/>
        <v>0.30543793078100795</v>
      </c>
      <c r="U53" s="943">
        <f t="shared" si="62"/>
        <v>0.30954098816564352</v>
      </c>
      <c r="V53" s="943">
        <f t="shared" si="62"/>
        <v>0.29748712674087396</v>
      </c>
      <c r="W53" s="943">
        <f t="shared" si="62"/>
        <v>0.29191697607323541</v>
      </c>
      <c r="X53" s="943">
        <f t="shared" si="62"/>
        <v>0.2976307870529068</v>
      </c>
      <c r="Y53" s="943">
        <f t="shared" si="62"/>
        <v>0.30812350962227508</v>
      </c>
      <c r="Z53" s="943">
        <f t="shared" si="62"/>
        <v>0.31036094170237244</v>
      </c>
      <c r="AA53" s="943">
        <f t="shared" si="62"/>
        <v>0.31155467427863348</v>
      </c>
      <c r="AB53" s="943">
        <f t="shared" si="62"/>
        <v>0.30577985043583805</v>
      </c>
      <c r="AC53" s="943">
        <f t="shared" si="62"/>
        <v>0.30327493329150979</v>
      </c>
      <c r="AD53" s="943">
        <f t="shared" si="62"/>
        <v>0.30668331524785114</v>
      </c>
      <c r="AE53" s="943">
        <f t="shared" si="62"/>
        <v>0.31665897246870939</v>
      </c>
      <c r="AF53" s="943">
        <f t="shared" si="62"/>
        <v>0.31817212967939457</v>
      </c>
      <c r="AG53" s="943">
        <f t="shared" si="62"/>
        <v>0.32068715344325965</v>
      </c>
      <c r="AH53" s="943">
        <f t="shared" si="62"/>
        <v>0.32416110143001786</v>
      </c>
      <c r="AI53" s="943">
        <f t="shared" si="62"/>
        <v>0.32629121478065509</v>
      </c>
      <c r="AJ53" s="943">
        <f t="shared" si="62"/>
        <v>0.32296857183932692</v>
      </c>
      <c r="AK53" s="943">
        <f t="shared" si="62"/>
        <v>0.32153266672385095</v>
      </c>
      <c r="AL53" s="943">
        <f t="shared" si="62"/>
        <v>0.31746022645469263</v>
      </c>
      <c r="AM53" s="943">
        <f t="shared" si="62"/>
        <v>0.31471489862631097</v>
      </c>
      <c r="AN53" s="943">
        <f t="shared" si="62"/>
        <v>0.31452309896353314</v>
      </c>
      <c r="AO53" s="943">
        <f t="shared" si="62"/>
        <v>0.31985035548084245</v>
      </c>
      <c r="AP53" s="943">
        <f t="shared" si="62"/>
        <v>0.32397615501021848</v>
      </c>
      <c r="AQ53" s="943">
        <f t="shared" si="62"/>
        <v>0.32468203733919232</v>
      </c>
      <c r="AR53" s="943">
        <f t="shared" si="62"/>
        <v>0.32781548496638935</v>
      </c>
      <c r="AS53" s="943">
        <f t="shared" si="62"/>
        <v>0.32771733029203026</v>
      </c>
      <c r="AT53" s="943">
        <f t="shared" si="62"/>
        <v>0.32827379313792587</v>
      </c>
      <c r="AU53" s="944">
        <f t="shared" si="62"/>
        <v>0.32480656144483822</v>
      </c>
      <c r="AV53" s="944">
        <f t="shared" si="62"/>
        <v>0.32542241837854058</v>
      </c>
      <c r="AW53" s="944">
        <f t="shared" si="62"/>
        <v>0.32641636577828431</v>
      </c>
      <c r="AX53" s="944">
        <f t="shared" si="62"/>
        <v>0.33051312938870497</v>
      </c>
      <c r="AY53" s="944">
        <f t="shared" si="62"/>
        <v>0.32987948506261694</v>
      </c>
      <c r="AZ53" s="944">
        <f t="shared" si="62"/>
        <v>0.33069732241094274</v>
      </c>
      <c r="BA53" s="944">
        <f t="shared" si="62"/>
        <v>0.33127985721596581</v>
      </c>
      <c r="BB53" s="944">
        <f t="shared" si="62"/>
        <v>0.33333400529550766</v>
      </c>
      <c r="BC53" s="944">
        <f t="shared" si="62"/>
        <v>0.33232842521129807</v>
      </c>
      <c r="BD53" s="944">
        <f t="shared" si="62"/>
        <v>0.32242937208060829</v>
      </c>
      <c r="BE53" s="944">
        <f t="shared" si="62"/>
        <v>0.31570722028912956</v>
      </c>
      <c r="BF53" s="944">
        <f t="shared" si="62"/>
        <v>0.31609245266079455</v>
      </c>
      <c r="BG53" s="944">
        <f t="shared" si="62"/>
        <v>0.32049032254807269</v>
      </c>
      <c r="BH53" s="944">
        <f t="shared" si="62"/>
        <v>0.32315137342970696</v>
      </c>
      <c r="BI53" s="944">
        <f t="shared" si="62"/>
        <v>0.32359008891752983</v>
      </c>
      <c r="BJ53" s="944">
        <f t="shared" si="62"/>
        <v>0.32198206113814654</v>
      </c>
      <c r="BK53" s="944">
        <f t="shared" si="62"/>
        <v>0.31456373525080755</v>
      </c>
      <c r="BL53" s="944">
        <f t="shared" si="62"/>
        <v>0.31572631848108212</v>
      </c>
      <c r="BM53" s="944">
        <f t="shared" si="62"/>
        <v>0.31274673538567077</v>
      </c>
      <c r="BN53" s="944">
        <f t="shared" si="62"/>
        <v>0.31488767665004802</v>
      </c>
      <c r="BO53" s="944">
        <f t="shared" si="62"/>
        <v>0.32020986254186401</v>
      </c>
      <c r="BP53" s="944">
        <f t="shared" si="62"/>
        <v>0.32232610364065062</v>
      </c>
      <c r="BQ53" s="944">
        <f t="shared" si="62"/>
        <v>0.32427665945191914</v>
      </c>
      <c r="BR53" s="944">
        <f t="shared" si="62"/>
        <v>0.32582653888977203</v>
      </c>
      <c r="BS53" s="944">
        <f t="shared" ref="BS53:CL53" si="63">BS51/(BS2*BS12+BS13*BS3+BS4*BS14+BS15*BS5)</f>
        <v>0.32119351162852688</v>
      </c>
      <c r="BT53" s="944">
        <f t="shared" si="63"/>
        <v>0.30108266294851432</v>
      </c>
      <c r="BU53" s="944">
        <f t="shared" si="63"/>
        <v>0.26432503023834519</v>
      </c>
      <c r="BV53" s="944">
        <f t="shared" si="63"/>
        <v>0.29543827733508077</v>
      </c>
      <c r="BW53" s="944">
        <f t="shared" si="63"/>
        <v>0.3141494067036999</v>
      </c>
      <c r="BX53" s="944">
        <f t="shared" si="63"/>
        <v>0.31788317651216619</v>
      </c>
      <c r="BY53" s="944">
        <f t="shared" si="63"/>
        <v>0.31719148150633686</v>
      </c>
      <c r="BZ53" s="944">
        <f t="shared" si="63"/>
        <v>0.31678112190641666</v>
      </c>
      <c r="CA53" s="944">
        <f t="shared" si="63"/>
        <v>0.32165702225642095</v>
      </c>
      <c r="CB53" s="944">
        <f t="shared" si="63"/>
        <v>0.32198903264210998</v>
      </c>
      <c r="CC53" s="944">
        <f t="shared" si="63"/>
        <v>0.32665991661263083</v>
      </c>
      <c r="CD53" s="944">
        <f t="shared" si="63"/>
        <v>0.33241945903009773</v>
      </c>
      <c r="CE53" s="944">
        <f t="shared" si="63"/>
        <v>0.33526262019497988</v>
      </c>
      <c r="CF53" s="944">
        <f t="shared" si="63"/>
        <v>0.33637523352502485</v>
      </c>
      <c r="CG53" s="944">
        <f t="shared" si="63"/>
        <v>0.33509798801095603</v>
      </c>
      <c r="CH53" s="944">
        <f t="shared" si="63"/>
        <v>0.33548153020008975</v>
      </c>
      <c r="CI53" s="944">
        <f t="shared" si="63"/>
        <v>0.33774516504863195</v>
      </c>
      <c r="CJ53" s="944">
        <f t="shared" si="63"/>
        <v>0.33991023406768023</v>
      </c>
      <c r="CK53" s="944">
        <f t="shared" si="63"/>
        <v>0.33853622988562782</v>
      </c>
      <c r="CL53" s="945">
        <f t="shared" si="63"/>
        <v>0.33962637725153177</v>
      </c>
      <c r="CM53" s="947">
        <f t="shared" si="23"/>
        <v>0.31810634054763448</v>
      </c>
      <c r="CN53" s="347"/>
      <c r="CO53" s="347"/>
      <c r="CP53" s="347"/>
      <c r="CQ53" s="347"/>
      <c r="CR53" s="347"/>
      <c r="CS53" s="347"/>
      <c r="CT53" s="347"/>
      <c r="CU53" s="347"/>
      <c r="CV53" s="347"/>
      <c r="CW53" s="347"/>
      <c r="CX53" s="347"/>
      <c r="CY53" s="347"/>
      <c r="CZ53" s="347"/>
      <c r="DA53" s="347"/>
      <c r="DB53" s="347"/>
      <c r="DC53" s="347"/>
      <c r="DD53" s="347"/>
      <c r="DE53" s="347"/>
      <c r="DF53" s="347"/>
      <c r="DG53" s="347"/>
      <c r="DH53" s="347"/>
      <c r="DI53" s="347"/>
      <c r="DJ53" s="347"/>
      <c r="DK53" s="347"/>
      <c r="DL53" s="347"/>
      <c r="DM53" s="347"/>
      <c r="DN53" s="347"/>
      <c r="DO53" s="347"/>
      <c r="DP53" s="347"/>
      <c r="DQ53" s="347"/>
      <c r="DR53" s="347"/>
      <c r="DS53" s="347"/>
      <c r="DT53" s="347"/>
      <c r="DU53" s="347"/>
      <c r="DV53" s="347"/>
      <c r="DW53" s="347"/>
      <c r="DX53" s="347"/>
      <c r="DY53" s="347"/>
      <c r="DZ53" s="347"/>
      <c r="EA53" s="347"/>
      <c r="EB53" s="347"/>
      <c r="EC53" s="347"/>
      <c r="ED53" s="347"/>
      <c r="EE53" s="347"/>
      <c r="EF53" s="347"/>
      <c r="EG53" s="347"/>
      <c r="EH53" s="347"/>
      <c r="EI53" s="347"/>
      <c r="EJ53" s="347"/>
      <c r="EK53" s="347"/>
      <c r="EL53" s="347"/>
      <c r="EM53" s="347"/>
      <c r="EN53" s="347"/>
      <c r="EO53" s="347"/>
      <c r="EP53" s="347"/>
      <c r="EQ53" s="347"/>
      <c r="ER53" s="347"/>
      <c r="ES53" s="347"/>
      <c r="ET53" s="347"/>
      <c r="EU53" s="347"/>
      <c r="EV53" s="347"/>
      <c r="EW53" s="347"/>
      <c r="EX53" s="347"/>
      <c r="EY53" s="347"/>
      <c r="EZ53" s="347"/>
      <c r="FA53" s="347"/>
      <c r="FB53" s="347"/>
      <c r="FC53" s="347"/>
      <c r="FD53" s="347"/>
      <c r="FE53" s="347"/>
      <c r="FF53" s="347"/>
      <c r="FG53" s="347"/>
      <c r="FH53" s="347"/>
      <c r="FI53" s="347"/>
      <c r="FJ53" s="347"/>
      <c r="FK53" s="347"/>
      <c r="FL53" s="347"/>
      <c r="FM53" s="347"/>
      <c r="FN53" s="347"/>
      <c r="FO53" s="347"/>
      <c r="FP53" s="347"/>
      <c r="FQ53" s="347"/>
      <c r="FR53" s="347"/>
      <c r="FS53" s="347"/>
      <c r="FT53" s="347"/>
      <c r="FU53" s="347"/>
      <c r="FV53" s="347"/>
    </row>
    <row r="54" spans="1:178">
      <c r="A54" s="940" t="s">
        <v>416</v>
      </c>
      <c r="B54" s="66" t="s">
        <v>403</v>
      </c>
      <c r="C54" s="581" t="s">
        <v>352</v>
      </c>
      <c r="D54" s="581"/>
      <c r="E54" s="347"/>
      <c r="F54" s="885" t="s">
        <v>405</v>
      </c>
      <c r="G54" s="941">
        <f t="shared" ref="G54:BR54" si="64">G7*G18+G8*G19+G9*G20+G10*G21+G11*G22</f>
        <v>2146931953.6070817</v>
      </c>
      <c r="H54" s="941">
        <f t="shared" si="64"/>
        <v>2113611931.3147116</v>
      </c>
      <c r="I54" s="941">
        <f t="shared" si="64"/>
        <v>2123712087.4961913</v>
      </c>
      <c r="J54" s="941">
        <f t="shared" si="64"/>
        <v>2135879871.2240429</v>
      </c>
      <c r="K54" s="941">
        <f t="shared" si="64"/>
        <v>2109943330.0295124</v>
      </c>
      <c r="L54" s="941">
        <f t="shared" si="64"/>
        <v>2156226968.2725315</v>
      </c>
      <c r="M54" s="941">
        <f t="shared" si="64"/>
        <v>2121579562.8359153</v>
      </c>
      <c r="N54" s="941">
        <f t="shared" si="64"/>
        <v>2168137807.5265694</v>
      </c>
      <c r="O54" s="941">
        <f t="shared" si="64"/>
        <v>2079757369.782135</v>
      </c>
      <c r="P54" s="941">
        <f t="shared" si="64"/>
        <v>2124847767.6174877</v>
      </c>
      <c r="Q54" s="941">
        <f t="shared" si="64"/>
        <v>2073091165.9911847</v>
      </c>
      <c r="R54" s="941">
        <f t="shared" si="64"/>
        <v>1975438009.160445</v>
      </c>
      <c r="S54" s="941">
        <f t="shared" si="64"/>
        <v>2000253792.1094956</v>
      </c>
      <c r="T54" s="941">
        <f t="shared" si="64"/>
        <v>1991723187.9628112</v>
      </c>
      <c r="U54" s="941">
        <f t="shared" si="64"/>
        <v>1890411424.3426554</v>
      </c>
      <c r="V54" s="941">
        <f t="shared" si="64"/>
        <v>1960900252.7938998</v>
      </c>
      <c r="W54" s="941">
        <f t="shared" si="64"/>
        <v>1805633424.4705422</v>
      </c>
      <c r="X54" s="941">
        <f t="shared" si="64"/>
        <v>1817785644.7111759</v>
      </c>
      <c r="Y54" s="941">
        <f t="shared" si="64"/>
        <v>1892327981.7880354</v>
      </c>
      <c r="Z54" s="941">
        <f t="shared" si="64"/>
        <v>1883548338.7417812</v>
      </c>
      <c r="AA54" s="941">
        <f t="shared" si="64"/>
        <v>1903158307.6574607</v>
      </c>
      <c r="AB54" s="941">
        <f t="shared" si="64"/>
        <v>1943534840.9133639</v>
      </c>
      <c r="AC54" s="941">
        <f t="shared" si="64"/>
        <v>1956876588.0618243</v>
      </c>
      <c r="AD54" s="941">
        <f t="shared" si="64"/>
        <v>1914659669.9888694</v>
      </c>
      <c r="AE54" s="941">
        <f t="shared" si="64"/>
        <v>1912745502.973686</v>
      </c>
      <c r="AF54" s="941">
        <f t="shared" si="64"/>
        <v>1913549807.3621423</v>
      </c>
      <c r="AG54" s="941">
        <f t="shared" si="64"/>
        <v>1970512647.5069883</v>
      </c>
      <c r="AH54" s="941">
        <f t="shared" si="64"/>
        <v>2031578578.3125372</v>
      </c>
      <c r="AI54" s="941">
        <f t="shared" si="64"/>
        <v>2160536741.3600712</v>
      </c>
      <c r="AJ54" s="941">
        <f t="shared" si="64"/>
        <v>2120320581.1326625</v>
      </c>
      <c r="AK54" s="941">
        <f t="shared" si="64"/>
        <v>2223267902.9602041</v>
      </c>
      <c r="AL54" s="941">
        <f t="shared" si="64"/>
        <v>2172805568.4507384</v>
      </c>
      <c r="AM54" s="941">
        <f t="shared" si="64"/>
        <v>2140467538.2301235</v>
      </c>
      <c r="AN54" s="941">
        <f t="shared" si="64"/>
        <v>2164291128.0908957</v>
      </c>
      <c r="AO54" s="941">
        <f t="shared" si="64"/>
        <v>2097673564.9724956</v>
      </c>
      <c r="AP54" s="941">
        <f t="shared" si="64"/>
        <v>2094232383.5399387</v>
      </c>
      <c r="AQ54" s="941">
        <f t="shared" si="64"/>
        <v>2127590568.2209167</v>
      </c>
      <c r="AR54" s="941">
        <f t="shared" si="64"/>
        <v>2045339485.0055718</v>
      </c>
      <c r="AS54" s="941">
        <f t="shared" si="64"/>
        <v>2138987311.7296226</v>
      </c>
      <c r="AT54" s="941">
        <f t="shared" si="64"/>
        <v>2188557100.369648</v>
      </c>
      <c r="AU54" s="868">
        <f t="shared" si="64"/>
        <v>2325856595.9268208</v>
      </c>
      <c r="AV54" s="868">
        <f t="shared" si="64"/>
        <v>2381769159.2625484</v>
      </c>
      <c r="AW54" s="868">
        <f t="shared" si="64"/>
        <v>2417021197.1475396</v>
      </c>
      <c r="AX54" s="868">
        <f t="shared" si="64"/>
        <v>2450616312.2641397</v>
      </c>
      <c r="AY54" s="868">
        <f t="shared" si="64"/>
        <v>2836497154.6165628</v>
      </c>
      <c r="AZ54" s="868">
        <f t="shared" si="64"/>
        <v>2808264639.3488865</v>
      </c>
      <c r="BA54" s="868">
        <f t="shared" si="64"/>
        <v>2815912834.5750637</v>
      </c>
      <c r="BB54" s="868">
        <f t="shared" si="64"/>
        <v>2955221692.5867639</v>
      </c>
      <c r="BC54" s="868">
        <f t="shared" si="64"/>
        <v>2915249146.8372469</v>
      </c>
      <c r="BD54" s="868">
        <f t="shared" si="64"/>
        <v>2671274574.6366334</v>
      </c>
      <c r="BE54" s="868">
        <f t="shared" si="64"/>
        <v>2244960402.809906</v>
      </c>
      <c r="BF54" s="868">
        <f t="shared" si="64"/>
        <v>2078078365.151567</v>
      </c>
      <c r="BG54" s="868">
        <f t="shared" si="64"/>
        <v>2072263527.7952678</v>
      </c>
      <c r="BH54" s="868">
        <f t="shared" si="64"/>
        <v>2140685705.6147151</v>
      </c>
      <c r="BI54" s="868">
        <f t="shared" si="64"/>
        <v>2126063177.2597153</v>
      </c>
      <c r="BJ54" s="868">
        <f t="shared" si="64"/>
        <v>2104617976.3614671</v>
      </c>
      <c r="BK54" s="868">
        <f t="shared" si="64"/>
        <v>2155834148.5820341</v>
      </c>
      <c r="BL54" s="868">
        <f t="shared" si="64"/>
        <v>2112869040.8967116</v>
      </c>
      <c r="BM54" s="868">
        <f t="shared" si="64"/>
        <v>2219431597.3833466</v>
      </c>
      <c r="BN54" s="868">
        <f t="shared" si="64"/>
        <v>2259437349.9476085</v>
      </c>
      <c r="BO54" s="868">
        <f t="shared" si="64"/>
        <v>2380658370.9241524</v>
      </c>
      <c r="BP54" s="868">
        <f t="shared" si="64"/>
        <v>2259821107.2510276</v>
      </c>
      <c r="BQ54" s="868">
        <f t="shared" si="64"/>
        <v>2063530410.8567803</v>
      </c>
      <c r="BR54" s="868">
        <f t="shared" si="64"/>
        <v>2201892538.9474139</v>
      </c>
      <c r="BS54" s="868">
        <f t="shared" ref="BS54:CL54" si="65">BS7*BS18+BS8*BS19+BS9*BS20+BS10*BS21+BS11*BS22</f>
        <v>2217169007.9518428</v>
      </c>
      <c r="BT54" s="868">
        <f t="shared" si="65"/>
        <v>2005222892.2537336</v>
      </c>
      <c r="BU54" s="868">
        <f t="shared" si="65"/>
        <v>1542385957.1768253</v>
      </c>
      <c r="BV54" s="868">
        <f t="shared" si="65"/>
        <v>989947866.06813431</v>
      </c>
      <c r="BW54" s="868">
        <f t="shared" si="65"/>
        <v>1099814701.3746512</v>
      </c>
      <c r="BX54" s="868">
        <f t="shared" si="65"/>
        <v>1353122010.7435229</v>
      </c>
      <c r="BY54" s="868">
        <f t="shared" si="65"/>
        <v>1457278993.6918116</v>
      </c>
      <c r="BZ54" s="868">
        <f t="shared" si="65"/>
        <v>1603136137.0073113</v>
      </c>
      <c r="CA54" s="868">
        <f t="shared" si="65"/>
        <v>1680084547.8808582</v>
      </c>
      <c r="CB54" s="868">
        <f t="shared" si="65"/>
        <v>1844569087.8909144</v>
      </c>
      <c r="CC54" s="868">
        <f t="shared" si="65"/>
        <v>2180257268.4335723</v>
      </c>
      <c r="CD54" s="868">
        <f t="shared" si="65"/>
        <v>2237666375.9768968</v>
      </c>
      <c r="CE54" s="868">
        <f t="shared" si="65"/>
        <v>2060048439.0739055</v>
      </c>
      <c r="CF54" s="868">
        <f t="shared" si="65"/>
        <v>2223373529.6037898</v>
      </c>
      <c r="CG54" s="868">
        <f t="shared" si="65"/>
        <v>2556893168.6593938</v>
      </c>
      <c r="CH54" s="868">
        <f t="shared" si="65"/>
        <v>2538142362.5742683</v>
      </c>
      <c r="CI54" s="868">
        <f t="shared" si="65"/>
        <v>2654065104.6995935</v>
      </c>
      <c r="CJ54" s="868">
        <f t="shared" si="65"/>
        <v>2824575846.7266102</v>
      </c>
      <c r="CK54" s="868">
        <f t="shared" si="65"/>
        <v>3160301197.2429938</v>
      </c>
      <c r="CL54" s="885">
        <f t="shared" si="65"/>
        <v>3123827790.9294677</v>
      </c>
      <c r="CM54" s="856">
        <f t="shared" si="23"/>
        <v>2144549250.0185947</v>
      </c>
      <c r="CN54" s="347"/>
      <c r="CO54" s="347"/>
      <c r="CP54" s="347"/>
      <c r="CQ54" s="347"/>
      <c r="CR54" s="347"/>
      <c r="CS54" s="347"/>
      <c r="CT54" s="347"/>
      <c r="CU54" s="347"/>
      <c r="CV54" s="347"/>
      <c r="CW54" s="347"/>
      <c r="CX54" s="347"/>
      <c r="CY54" s="347"/>
      <c r="CZ54" s="347"/>
      <c r="DA54" s="347"/>
      <c r="DB54" s="347"/>
      <c r="DC54" s="347"/>
      <c r="DD54" s="347"/>
      <c r="DE54" s="347"/>
      <c r="DF54" s="347"/>
      <c r="DG54" s="347"/>
      <c r="DH54" s="347"/>
      <c r="DI54" s="347"/>
      <c r="DJ54" s="347"/>
      <c r="DK54" s="347"/>
      <c r="DL54" s="347"/>
      <c r="DM54" s="347"/>
      <c r="DN54" s="347"/>
      <c r="DO54" s="347"/>
      <c r="DP54" s="347"/>
      <c r="DQ54" s="347"/>
      <c r="DR54" s="347"/>
      <c r="DS54" s="347"/>
      <c r="DT54" s="347"/>
      <c r="DU54" s="347"/>
      <c r="DV54" s="347"/>
      <c r="DW54" s="347"/>
      <c r="DX54" s="347"/>
      <c r="DY54" s="347"/>
      <c r="DZ54" s="347"/>
      <c r="EA54" s="347"/>
      <c r="EB54" s="347"/>
      <c r="EC54" s="347"/>
      <c r="ED54" s="347"/>
      <c r="EE54" s="347"/>
      <c r="EF54" s="347"/>
      <c r="EG54" s="347"/>
      <c r="EH54" s="347"/>
      <c r="EI54" s="347"/>
      <c r="EJ54" s="347"/>
      <c r="EK54" s="347"/>
      <c r="EL54" s="347"/>
      <c r="EM54" s="347"/>
      <c r="EN54" s="347"/>
      <c r="EO54" s="347"/>
      <c r="EP54" s="347"/>
      <c r="EQ54" s="347"/>
      <c r="ER54" s="347"/>
      <c r="ES54" s="347"/>
      <c r="ET54" s="347"/>
      <c r="EU54" s="347"/>
      <c r="EV54" s="347"/>
      <c r="EW54" s="347"/>
      <c r="EX54" s="347"/>
      <c r="EY54" s="347"/>
      <c r="EZ54" s="347"/>
      <c r="FA54" s="347"/>
      <c r="FB54" s="347"/>
      <c r="FC54" s="347"/>
      <c r="FD54" s="347"/>
      <c r="FE54" s="347"/>
      <c r="FF54" s="347"/>
      <c r="FG54" s="347"/>
      <c r="FH54" s="347"/>
      <c r="FI54" s="347"/>
      <c r="FJ54" s="347"/>
      <c r="FK54" s="347"/>
      <c r="FL54" s="347"/>
      <c r="FM54" s="347"/>
      <c r="FN54" s="347"/>
      <c r="FO54" s="347"/>
      <c r="FP54" s="347"/>
      <c r="FQ54" s="347"/>
      <c r="FR54" s="347"/>
      <c r="FS54" s="347"/>
      <c r="FT54" s="347"/>
      <c r="FU54" s="347"/>
      <c r="FV54" s="347"/>
    </row>
    <row r="55" spans="1:178">
      <c r="A55" s="934" t="s">
        <v>417</v>
      </c>
      <c r="B55" s="68" t="s">
        <v>403</v>
      </c>
      <c r="C55" s="860" t="s">
        <v>352</v>
      </c>
      <c r="D55" s="860"/>
      <c r="E55" s="861"/>
      <c r="F55" s="948" t="s">
        <v>210</v>
      </c>
      <c r="G55" s="949">
        <f t="shared" ref="G55:BR55" si="66">G23*G2+G3*G24+G25*G4+G5*G26+G27*CP41</f>
        <v>1938920910.3204472</v>
      </c>
      <c r="H55" s="949">
        <f t="shared" si="66"/>
        <v>1700188969.416723</v>
      </c>
      <c r="I55" s="949">
        <f t="shared" si="66"/>
        <v>1459803433.4242163</v>
      </c>
      <c r="J55" s="949">
        <f t="shared" si="66"/>
        <v>1159067616.7918191</v>
      </c>
      <c r="K55" s="949">
        <f t="shared" si="66"/>
        <v>1347904894.22278</v>
      </c>
      <c r="L55" s="949">
        <f t="shared" si="66"/>
        <v>1392989621.2020538</v>
      </c>
      <c r="M55" s="949">
        <f t="shared" si="66"/>
        <v>1403077063.1499698</v>
      </c>
      <c r="N55" s="949">
        <f t="shared" si="66"/>
        <v>1468009304.8818994</v>
      </c>
      <c r="O55" s="949">
        <f t="shared" si="66"/>
        <v>1378855720.0755529</v>
      </c>
      <c r="P55" s="949">
        <f t="shared" si="66"/>
        <v>1247262318.1005683</v>
      </c>
      <c r="Q55" s="949">
        <f t="shared" si="66"/>
        <v>1145851023.0120943</v>
      </c>
      <c r="R55" s="949">
        <f t="shared" si="66"/>
        <v>1135601552.9883449</v>
      </c>
      <c r="S55" s="949">
        <f t="shared" si="66"/>
        <v>1201751427.7473164</v>
      </c>
      <c r="T55" s="949">
        <f t="shared" si="66"/>
        <v>1263696731.9023025</v>
      </c>
      <c r="U55" s="949">
        <f t="shared" si="66"/>
        <v>1275718977.9146814</v>
      </c>
      <c r="V55" s="949">
        <f t="shared" si="66"/>
        <v>1031827336.3853753</v>
      </c>
      <c r="W55" s="949">
        <f t="shared" si="66"/>
        <v>935532257.59957886</v>
      </c>
      <c r="X55" s="949">
        <f t="shared" si="66"/>
        <v>991706643.54625022</v>
      </c>
      <c r="Y55" s="949">
        <f t="shared" si="66"/>
        <v>1070819691.9070235</v>
      </c>
      <c r="Z55" s="949">
        <f t="shared" si="66"/>
        <v>1115152770.7075467</v>
      </c>
      <c r="AA55" s="949">
        <f t="shared" si="66"/>
        <v>1142164015.207886</v>
      </c>
      <c r="AB55" s="949">
        <f t="shared" si="66"/>
        <v>1035702433.954584</v>
      </c>
      <c r="AC55" s="949">
        <f t="shared" si="66"/>
        <v>991591792.84980869</v>
      </c>
      <c r="AD55" s="949">
        <f t="shared" si="66"/>
        <v>1047152483.8657672</v>
      </c>
      <c r="AE55" s="949">
        <f t="shared" si="66"/>
        <v>1170403773.5002103</v>
      </c>
      <c r="AF55" s="949">
        <f t="shared" si="66"/>
        <v>1240778976.6719739</v>
      </c>
      <c r="AG55" s="949">
        <f t="shared" si="66"/>
        <v>1294950656.4603076</v>
      </c>
      <c r="AH55" s="949">
        <f t="shared" si="66"/>
        <v>1427976788.9400408</v>
      </c>
      <c r="AI55" s="949">
        <f t="shared" si="66"/>
        <v>1513087484.3993068</v>
      </c>
      <c r="AJ55" s="949">
        <f t="shared" si="66"/>
        <v>1375668086.8497117</v>
      </c>
      <c r="AK55" s="949">
        <f t="shared" si="66"/>
        <v>1303185936.9632242</v>
      </c>
      <c r="AL55" s="949">
        <f t="shared" si="66"/>
        <v>1190387224.5715015</v>
      </c>
      <c r="AM55" s="949">
        <f t="shared" si="66"/>
        <v>1138728002.3851297</v>
      </c>
      <c r="AN55" s="949">
        <f t="shared" si="66"/>
        <v>1108857111.3849087</v>
      </c>
      <c r="AO55" s="949">
        <f t="shared" si="66"/>
        <v>1253701411.0831244</v>
      </c>
      <c r="AP55" s="949">
        <f t="shared" si="66"/>
        <v>1394922541.967417</v>
      </c>
      <c r="AQ55" s="949">
        <f t="shared" si="66"/>
        <v>1550367413.7765038</v>
      </c>
      <c r="AR55" s="949">
        <f t="shared" si="66"/>
        <v>1642663481.1740692</v>
      </c>
      <c r="AS55" s="949">
        <f t="shared" si="66"/>
        <v>1642872391.7225454</v>
      </c>
      <c r="AT55" s="949">
        <f t="shared" si="66"/>
        <v>1651503439.7222037</v>
      </c>
      <c r="AU55" s="870">
        <f t="shared" si="66"/>
        <v>1528155976.7041168</v>
      </c>
      <c r="AV55" s="870">
        <f t="shared" si="66"/>
        <v>1510011160.9440815</v>
      </c>
      <c r="AW55" s="870">
        <f t="shared" si="66"/>
        <v>1580236829.9354472</v>
      </c>
      <c r="AX55" s="870">
        <f t="shared" si="66"/>
        <v>1764954500.9466574</v>
      </c>
      <c r="AY55" s="870">
        <f t="shared" si="66"/>
        <v>1792926540.4615483</v>
      </c>
      <c r="AZ55" s="870">
        <f t="shared" si="66"/>
        <v>1833695483.539808</v>
      </c>
      <c r="BA55" s="870">
        <f t="shared" si="66"/>
        <v>1892012060.4156163</v>
      </c>
      <c r="BB55" s="870">
        <f t="shared" si="66"/>
        <v>2035981049.5165825</v>
      </c>
      <c r="BC55" s="870">
        <f t="shared" si="66"/>
        <v>2122777544.3109877</v>
      </c>
      <c r="BD55" s="870">
        <f t="shared" si="66"/>
        <v>1640778249.6211333</v>
      </c>
      <c r="BE55" s="870">
        <f t="shared" si="66"/>
        <v>1414899437.8314795</v>
      </c>
      <c r="BF55" s="870">
        <f t="shared" si="66"/>
        <v>1404178140.5907505</v>
      </c>
      <c r="BG55" s="870">
        <f t="shared" si="66"/>
        <v>1512471555.9752192</v>
      </c>
      <c r="BH55" s="870">
        <f t="shared" si="66"/>
        <v>1593669114.1996946</v>
      </c>
      <c r="BI55" s="870">
        <f t="shared" si="66"/>
        <v>1684885809.5411315</v>
      </c>
      <c r="BJ55" s="870">
        <f t="shared" si="66"/>
        <v>1647864221.8344002</v>
      </c>
      <c r="BK55" s="870">
        <f t="shared" si="66"/>
        <v>1390893644.9741244</v>
      </c>
      <c r="BL55" s="870">
        <f t="shared" si="66"/>
        <v>1378705572.0916884</v>
      </c>
      <c r="BM55" s="870">
        <f t="shared" si="66"/>
        <v>1331001081.3090029</v>
      </c>
      <c r="BN55" s="870">
        <f t="shared" si="66"/>
        <v>1364263218.798022</v>
      </c>
      <c r="BO55" s="870">
        <f t="shared" si="66"/>
        <v>1462661559.772922</v>
      </c>
      <c r="BP55" s="870">
        <f t="shared" si="66"/>
        <v>1539493473.3856366</v>
      </c>
      <c r="BQ55" s="870">
        <f t="shared" si="66"/>
        <v>1595802676.8083968</v>
      </c>
      <c r="BR55" s="870">
        <f t="shared" si="66"/>
        <v>1724727197.0643253</v>
      </c>
      <c r="BS55" s="870">
        <f t="shared" ref="BS55:CL55" si="67">BS23*BS2+BS3*BS24+BS25*BS4+BS5*BS26+BS27*FB41</f>
        <v>1546919855.5033286</v>
      </c>
      <c r="BT55" s="870">
        <f t="shared" si="67"/>
        <v>1128287207.8111067</v>
      </c>
      <c r="BU55" s="870">
        <f t="shared" si="67"/>
        <v>602206469.9507072</v>
      </c>
      <c r="BV55" s="870">
        <f t="shared" si="67"/>
        <v>906624005.56095314</v>
      </c>
      <c r="BW55" s="870">
        <f t="shared" si="67"/>
        <v>1184072308.0896451</v>
      </c>
      <c r="BX55" s="870">
        <f t="shared" si="67"/>
        <v>1255403804.4439173</v>
      </c>
      <c r="BY55" s="870">
        <f t="shared" si="67"/>
        <v>1243118577.8987281</v>
      </c>
      <c r="BZ55" s="870">
        <f t="shared" si="67"/>
        <v>1236404180.0782073</v>
      </c>
      <c r="CA55" s="870">
        <f t="shared" si="67"/>
        <v>1239138329.1082335</v>
      </c>
      <c r="CB55" s="870">
        <f t="shared" si="67"/>
        <v>1302003261.1137879</v>
      </c>
      <c r="CC55" s="870">
        <f t="shared" si="67"/>
        <v>1426255993.9193206</v>
      </c>
      <c r="CD55" s="870">
        <f t="shared" si="67"/>
        <v>1675026725.2602639</v>
      </c>
      <c r="CE55" s="870">
        <f t="shared" si="67"/>
        <v>1837984545.0298696</v>
      </c>
      <c r="CF55" s="870">
        <f t="shared" si="67"/>
        <v>1902135852.8788412</v>
      </c>
      <c r="CG55" s="870">
        <f t="shared" si="67"/>
        <v>1812791159.8694892</v>
      </c>
      <c r="CH55" s="870">
        <f t="shared" si="67"/>
        <v>1757355868.4482505</v>
      </c>
      <c r="CI55" s="870">
        <f t="shared" si="67"/>
        <v>1902077511.9045146</v>
      </c>
      <c r="CJ55" s="870">
        <f t="shared" si="67"/>
        <v>2113435158.6843231</v>
      </c>
      <c r="CK55" s="870">
        <f t="shared" si="67"/>
        <v>2075798273.6842232</v>
      </c>
      <c r="CL55" s="948">
        <f t="shared" si="67"/>
        <v>2142633137.6856794</v>
      </c>
      <c r="CM55" s="856">
        <f t="shared" si="23"/>
        <v>1438299071.9076545</v>
      </c>
      <c r="CN55" s="347"/>
      <c r="CO55" s="347"/>
      <c r="CP55" s="347"/>
      <c r="CQ55" s="347"/>
      <c r="CR55" s="347"/>
      <c r="CS55" s="347"/>
      <c r="CT55" s="347"/>
      <c r="CU55" s="347"/>
      <c r="CV55" s="347"/>
      <c r="CW55" s="347"/>
      <c r="CX55" s="347"/>
      <c r="CY55" s="347"/>
      <c r="CZ55" s="347"/>
      <c r="DA55" s="347"/>
      <c r="DB55" s="347"/>
      <c r="DC55" s="347"/>
      <c r="DD55" s="347"/>
      <c r="DE55" s="347"/>
      <c r="DF55" s="347"/>
      <c r="DG55" s="347"/>
      <c r="DH55" s="347"/>
      <c r="DI55" s="347"/>
      <c r="DJ55" s="347"/>
      <c r="DK55" s="347"/>
      <c r="DL55" s="347"/>
      <c r="DM55" s="347"/>
      <c r="DN55" s="347"/>
      <c r="DO55" s="347"/>
      <c r="DP55" s="347"/>
      <c r="DQ55" s="347"/>
      <c r="DR55" s="347"/>
      <c r="DS55" s="347"/>
      <c r="DT55" s="347"/>
      <c r="DU55" s="347"/>
      <c r="DV55" s="347"/>
      <c r="DW55" s="347"/>
      <c r="DX55" s="347"/>
      <c r="DY55" s="347"/>
      <c r="DZ55" s="347"/>
      <c r="EA55" s="347"/>
      <c r="EB55" s="347"/>
      <c r="EC55" s="347"/>
      <c r="ED55" s="347"/>
      <c r="EE55" s="347"/>
      <c r="EF55" s="347"/>
      <c r="EG55" s="347"/>
      <c r="EH55" s="347"/>
      <c r="EI55" s="347"/>
      <c r="EJ55" s="347"/>
      <c r="EK55" s="347"/>
      <c r="EL55" s="347"/>
      <c r="EM55" s="347"/>
      <c r="EN55" s="347"/>
      <c r="EO55" s="347"/>
      <c r="EP55" s="347"/>
      <c r="EQ55" s="347"/>
      <c r="ER55" s="347"/>
      <c r="ES55" s="347"/>
      <c r="ET55" s="347"/>
      <c r="EU55" s="347"/>
      <c r="EV55" s="347"/>
      <c r="EW55" s="347"/>
      <c r="EX55" s="347"/>
      <c r="EY55" s="347"/>
      <c r="EZ55" s="347"/>
      <c r="FA55" s="347"/>
      <c r="FB55" s="347"/>
      <c r="FC55" s="347"/>
      <c r="FD55" s="347"/>
      <c r="FE55" s="347"/>
      <c r="FF55" s="347"/>
      <c r="FG55" s="347"/>
      <c r="FH55" s="347"/>
      <c r="FI55" s="347"/>
      <c r="FJ55" s="347"/>
      <c r="FK55" s="347"/>
      <c r="FL55" s="347"/>
      <c r="FM55" s="347"/>
      <c r="FN55" s="347"/>
      <c r="FO55" s="347"/>
      <c r="FP55" s="347"/>
      <c r="FQ55" s="347"/>
      <c r="FR55" s="347"/>
      <c r="FS55" s="347"/>
      <c r="FT55" s="347"/>
      <c r="FU55" s="347"/>
      <c r="FV55" s="347"/>
    </row>
    <row r="56" spans="1:178">
      <c r="A56" s="1400" t="s">
        <v>543</v>
      </c>
      <c r="B56" s="313" t="s">
        <v>403</v>
      </c>
      <c r="C56" s="583" t="s">
        <v>418</v>
      </c>
      <c r="D56" s="950"/>
      <c r="E56" s="850" t="s">
        <v>544</v>
      </c>
      <c r="F56" s="951" t="s">
        <v>545</v>
      </c>
      <c r="G56" s="583">
        <v>61200</v>
      </c>
      <c r="H56" s="583">
        <v>59900</v>
      </c>
      <c r="I56" s="583">
        <v>56300</v>
      </c>
      <c r="J56" s="583">
        <v>55700</v>
      </c>
      <c r="K56" s="583">
        <v>56300</v>
      </c>
      <c r="L56" s="583">
        <v>58150</v>
      </c>
      <c r="M56" s="583">
        <v>53250</v>
      </c>
      <c r="N56" s="583">
        <v>56120</v>
      </c>
      <c r="O56" s="583">
        <v>54550</v>
      </c>
      <c r="P56" s="583">
        <v>53770</v>
      </c>
      <c r="Q56" s="583">
        <v>49150</v>
      </c>
      <c r="R56" s="850">
        <v>50422</v>
      </c>
      <c r="S56" s="952">
        <v>63830</v>
      </c>
      <c r="T56" s="952">
        <v>65270</v>
      </c>
      <c r="U56" s="952">
        <v>63660</v>
      </c>
      <c r="V56" s="952">
        <v>62890</v>
      </c>
      <c r="W56" s="952">
        <v>59990</v>
      </c>
      <c r="X56" s="952">
        <v>61910</v>
      </c>
      <c r="Y56" s="952">
        <v>63893.9</v>
      </c>
      <c r="Z56" s="952">
        <v>65649.599999999991</v>
      </c>
      <c r="AA56" s="952">
        <v>65504.1</v>
      </c>
      <c r="AB56" s="952">
        <v>65533.2</v>
      </c>
      <c r="AC56" s="952">
        <v>66086.099999999991</v>
      </c>
      <c r="AD56" s="952">
        <v>66018.2</v>
      </c>
      <c r="AE56" s="952">
        <v>67706</v>
      </c>
      <c r="AF56" s="952">
        <v>69975.8</v>
      </c>
      <c r="AG56" s="952">
        <v>72653</v>
      </c>
      <c r="AH56" s="952">
        <v>72400.800000000003</v>
      </c>
      <c r="AI56" s="952">
        <v>72526.899999999994</v>
      </c>
      <c r="AJ56" s="952">
        <v>73943.099999999991</v>
      </c>
      <c r="AK56" s="952">
        <v>74253.5</v>
      </c>
      <c r="AL56" s="952">
        <v>70616</v>
      </c>
      <c r="AM56" s="952">
        <v>68452.899999999994</v>
      </c>
      <c r="AN56" s="952">
        <v>69209.5</v>
      </c>
      <c r="AO56" s="952">
        <v>68404.399999999994</v>
      </c>
      <c r="AP56" s="952">
        <v>68520.800000000003</v>
      </c>
      <c r="AQ56" s="952">
        <v>70034</v>
      </c>
      <c r="AR56" s="952">
        <v>70257.099999999991</v>
      </c>
      <c r="AS56" s="952">
        <v>66367.399999999994</v>
      </c>
      <c r="AT56" s="953">
        <v>66823.3</v>
      </c>
      <c r="AU56" s="952">
        <v>68191</v>
      </c>
      <c r="AV56" s="952">
        <v>74650</v>
      </c>
      <c r="AW56" s="952">
        <v>74650</v>
      </c>
      <c r="AX56" s="952">
        <v>74038</v>
      </c>
      <c r="AY56" s="952">
        <v>77038</v>
      </c>
      <c r="AZ56" s="952">
        <v>85370</v>
      </c>
      <c r="BA56" s="952">
        <v>86820</v>
      </c>
      <c r="BB56" s="952">
        <v>87660</v>
      </c>
      <c r="BC56" s="952">
        <v>84450</v>
      </c>
      <c r="BD56" s="952">
        <v>87130</v>
      </c>
      <c r="BE56" s="952">
        <v>85840</v>
      </c>
      <c r="BF56" s="954">
        <v>69920</v>
      </c>
      <c r="BG56" s="954">
        <v>73060</v>
      </c>
      <c r="BH56" s="954">
        <v>73390</v>
      </c>
      <c r="BI56" s="954">
        <v>71080</v>
      </c>
      <c r="BJ56" s="954">
        <v>71100</v>
      </c>
      <c r="BK56" s="954">
        <v>69220</v>
      </c>
      <c r="BL56" s="954">
        <v>73140</v>
      </c>
      <c r="BM56" s="954">
        <v>75100</v>
      </c>
      <c r="BN56" s="954">
        <v>76560</v>
      </c>
      <c r="BO56" s="954">
        <v>75820</v>
      </c>
      <c r="BP56" s="954">
        <v>74240</v>
      </c>
      <c r="BQ56" s="954">
        <v>74180</v>
      </c>
      <c r="BR56" s="954">
        <v>74790</v>
      </c>
      <c r="BS56" s="954">
        <v>76180</v>
      </c>
      <c r="BT56" s="954">
        <v>75130</v>
      </c>
      <c r="BU56" s="954">
        <v>70280</v>
      </c>
      <c r="BV56" s="954">
        <v>65840</v>
      </c>
      <c r="BW56" s="954">
        <v>73050</v>
      </c>
      <c r="BX56" s="954">
        <v>75370</v>
      </c>
      <c r="BY56" s="954">
        <v>78360</v>
      </c>
      <c r="BZ56" s="954">
        <v>85450</v>
      </c>
      <c r="CA56" s="954">
        <v>93490</v>
      </c>
      <c r="CB56" s="954">
        <v>98520</v>
      </c>
      <c r="CC56" s="954">
        <v>110130</v>
      </c>
      <c r="CD56" s="954">
        <v>118350</v>
      </c>
      <c r="CE56" s="954">
        <v>118720</v>
      </c>
      <c r="CF56" s="954">
        <v>122550</v>
      </c>
      <c r="CG56" s="954">
        <v>127300</v>
      </c>
      <c r="CH56" s="954">
        <v>129000</v>
      </c>
      <c r="CI56" s="954">
        <v>124550</v>
      </c>
      <c r="CJ56" s="954">
        <v>118450</v>
      </c>
      <c r="CK56" s="954">
        <v>112300</v>
      </c>
      <c r="CL56" s="955">
        <v>115700</v>
      </c>
      <c r="CM56" s="856">
        <f t="shared" si="23"/>
        <v>75992.245238095231</v>
      </c>
      <c r="CN56" s="347"/>
      <c r="CO56" s="347"/>
      <c r="CP56" s="347"/>
      <c r="CQ56" s="347"/>
      <c r="CR56" s="347"/>
      <c r="CS56" s="347"/>
      <c r="CT56" s="347"/>
      <c r="CU56" s="347"/>
      <c r="CV56" s="347"/>
      <c r="CW56" s="347"/>
      <c r="CX56" s="347"/>
      <c r="CY56" s="347"/>
      <c r="CZ56" s="347"/>
      <c r="DA56" s="347"/>
      <c r="DB56" s="347"/>
      <c r="DC56" s="347"/>
      <c r="DD56" s="347"/>
      <c r="DE56" s="347"/>
      <c r="DF56" s="347"/>
      <c r="DG56" s="347"/>
      <c r="DH56" s="347"/>
      <c r="DI56" s="347"/>
      <c r="DJ56" s="347"/>
      <c r="DK56" s="347"/>
      <c r="DL56" s="347"/>
      <c r="DM56" s="347"/>
      <c r="DN56" s="347"/>
      <c r="DO56" s="347"/>
      <c r="DP56" s="347"/>
      <c r="DQ56" s="347"/>
      <c r="DR56" s="347"/>
      <c r="DS56" s="347"/>
      <c r="DT56" s="347"/>
      <c r="DU56" s="347"/>
      <c r="DV56" s="347"/>
      <c r="DW56" s="347"/>
      <c r="DX56" s="347"/>
      <c r="DY56" s="347"/>
      <c r="DZ56" s="347"/>
      <c r="EA56" s="347"/>
      <c r="EB56" s="347"/>
      <c r="EC56" s="347"/>
      <c r="ED56" s="347"/>
      <c r="EE56" s="347"/>
      <c r="EF56" s="347"/>
      <c r="EG56" s="347"/>
      <c r="EH56" s="347"/>
      <c r="EI56" s="347"/>
      <c r="EJ56" s="347"/>
      <c r="EK56" s="347"/>
      <c r="EL56" s="347"/>
      <c r="EM56" s="347"/>
      <c r="EN56" s="347"/>
      <c r="EO56" s="347"/>
      <c r="EP56" s="347"/>
      <c r="EQ56" s="347"/>
      <c r="ER56" s="347"/>
      <c r="ES56" s="347"/>
      <c r="ET56" s="347"/>
      <c r="EU56" s="347"/>
      <c r="EV56" s="347"/>
      <c r="EW56" s="347"/>
      <c r="EX56" s="347"/>
      <c r="EY56" s="347"/>
      <c r="EZ56" s="347"/>
      <c r="FA56" s="347"/>
      <c r="FB56" s="347"/>
      <c r="FC56" s="347"/>
      <c r="FD56" s="347"/>
      <c r="FE56" s="347"/>
      <c r="FF56" s="347"/>
      <c r="FG56" s="347"/>
      <c r="FH56" s="347"/>
      <c r="FI56" s="347"/>
      <c r="FJ56" s="347"/>
      <c r="FK56" s="347"/>
      <c r="FL56" s="347"/>
      <c r="FM56" s="347"/>
      <c r="FN56" s="347"/>
      <c r="FO56" s="347"/>
      <c r="FP56" s="347"/>
      <c r="FQ56" s="347"/>
      <c r="FR56" s="347"/>
      <c r="FS56" s="347"/>
      <c r="FT56" s="347"/>
      <c r="FU56" s="347"/>
      <c r="FV56" s="347"/>
    </row>
    <row r="57" spans="1:178">
      <c r="A57" s="1401"/>
      <c r="B57" s="859" t="s">
        <v>403</v>
      </c>
      <c r="C57" s="860" t="s">
        <v>418</v>
      </c>
      <c r="D57" s="956"/>
      <c r="E57" s="861" t="s">
        <v>462</v>
      </c>
      <c r="F57" s="957" t="s">
        <v>546</v>
      </c>
      <c r="G57" s="860">
        <v>77300</v>
      </c>
      <c r="H57" s="860">
        <v>75200</v>
      </c>
      <c r="I57" s="860">
        <v>72150</v>
      </c>
      <c r="J57" s="860">
        <v>70700</v>
      </c>
      <c r="K57" s="860">
        <v>71399</v>
      </c>
      <c r="L57" s="860">
        <v>74500</v>
      </c>
      <c r="M57" s="860">
        <v>72800</v>
      </c>
      <c r="N57" s="860">
        <v>69900</v>
      </c>
      <c r="O57" s="860">
        <v>65300</v>
      </c>
      <c r="P57" s="860">
        <v>67800</v>
      </c>
      <c r="Q57" s="860">
        <v>65900</v>
      </c>
      <c r="R57" s="861">
        <v>63400</v>
      </c>
      <c r="S57" s="958">
        <f t="shared" ref="S57:AS57" si="68">S56*0.95</f>
        <v>60638.5</v>
      </c>
      <c r="T57" s="958">
        <f t="shared" si="68"/>
        <v>62006.5</v>
      </c>
      <c r="U57" s="958">
        <f t="shared" si="68"/>
        <v>60477</v>
      </c>
      <c r="V57" s="958">
        <f t="shared" si="68"/>
        <v>59745.5</v>
      </c>
      <c r="W57" s="958">
        <f t="shared" si="68"/>
        <v>56990.5</v>
      </c>
      <c r="X57" s="958">
        <f t="shared" si="68"/>
        <v>58814.5</v>
      </c>
      <c r="Y57" s="958">
        <f t="shared" si="68"/>
        <v>60699.205000000002</v>
      </c>
      <c r="Z57" s="958">
        <f t="shared" si="68"/>
        <v>62367.119999999988</v>
      </c>
      <c r="AA57" s="958">
        <f t="shared" si="68"/>
        <v>62228.894999999997</v>
      </c>
      <c r="AB57" s="958">
        <f t="shared" si="68"/>
        <v>62256.539999999994</v>
      </c>
      <c r="AC57" s="958">
        <f t="shared" si="68"/>
        <v>62781.794999999991</v>
      </c>
      <c r="AD57" s="958">
        <f t="shared" si="68"/>
        <v>62717.289999999994</v>
      </c>
      <c r="AE57" s="958">
        <f t="shared" si="68"/>
        <v>64320.7</v>
      </c>
      <c r="AF57" s="958">
        <f t="shared" si="68"/>
        <v>66477.009999999995</v>
      </c>
      <c r="AG57" s="958">
        <f t="shared" si="68"/>
        <v>69020.349999999991</v>
      </c>
      <c r="AH57" s="958">
        <f t="shared" si="68"/>
        <v>68780.759999999995</v>
      </c>
      <c r="AI57" s="958">
        <f t="shared" si="68"/>
        <v>68900.554999999993</v>
      </c>
      <c r="AJ57" s="958">
        <f t="shared" si="68"/>
        <v>70245.944999999992</v>
      </c>
      <c r="AK57" s="958">
        <f t="shared" si="68"/>
        <v>70540.824999999997</v>
      </c>
      <c r="AL57" s="958">
        <f t="shared" si="68"/>
        <v>67085.2</v>
      </c>
      <c r="AM57" s="958">
        <f t="shared" si="68"/>
        <v>65030.25499999999</v>
      </c>
      <c r="AN57" s="958">
        <f t="shared" si="68"/>
        <v>65749.024999999994</v>
      </c>
      <c r="AO57" s="958">
        <f t="shared" si="68"/>
        <v>64984.179999999993</v>
      </c>
      <c r="AP57" s="958">
        <f t="shared" si="68"/>
        <v>65094.76</v>
      </c>
      <c r="AQ57" s="958">
        <f t="shared" si="68"/>
        <v>66532.3</v>
      </c>
      <c r="AR57" s="958">
        <f t="shared" si="68"/>
        <v>66744.244999999995</v>
      </c>
      <c r="AS57" s="958">
        <f t="shared" si="68"/>
        <v>63049.029999999992</v>
      </c>
      <c r="AT57" s="958">
        <f>AT56*0.95</f>
        <v>63482.135000000002</v>
      </c>
      <c r="AU57" s="958">
        <f t="shared" ref="AU57:CL57" si="69">AU56*0.95</f>
        <v>64781.45</v>
      </c>
      <c r="AV57" s="958">
        <f t="shared" si="69"/>
        <v>70917.5</v>
      </c>
      <c r="AW57" s="958">
        <f t="shared" si="69"/>
        <v>70917.5</v>
      </c>
      <c r="AX57" s="958">
        <f t="shared" si="69"/>
        <v>70336.099999999991</v>
      </c>
      <c r="AY57" s="958">
        <f t="shared" si="69"/>
        <v>73186.099999999991</v>
      </c>
      <c r="AZ57" s="958">
        <f t="shared" si="69"/>
        <v>81101.5</v>
      </c>
      <c r="BA57" s="958">
        <f t="shared" si="69"/>
        <v>82479</v>
      </c>
      <c r="BB57" s="958">
        <f t="shared" si="69"/>
        <v>83277</v>
      </c>
      <c r="BC57" s="958">
        <f t="shared" si="69"/>
        <v>80227.5</v>
      </c>
      <c r="BD57" s="958">
        <f t="shared" si="69"/>
        <v>82773.5</v>
      </c>
      <c r="BE57" s="958">
        <f t="shared" si="69"/>
        <v>81548</v>
      </c>
      <c r="BF57" s="959">
        <f t="shared" si="69"/>
        <v>66424</v>
      </c>
      <c r="BG57" s="959">
        <f t="shared" si="69"/>
        <v>69407</v>
      </c>
      <c r="BH57" s="959">
        <f t="shared" si="69"/>
        <v>69720.5</v>
      </c>
      <c r="BI57" s="959">
        <f t="shared" si="69"/>
        <v>67526</v>
      </c>
      <c r="BJ57" s="959">
        <f t="shared" si="69"/>
        <v>67545</v>
      </c>
      <c r="BK57" s="959">
        <f t="shared" si="69"/>
        <v>65759</v>
      </c>
      <c r="BL57" s="959">
        <f t="shared" si="69"/>
        <v>69483</v>
      </c>
      <c r="BM57" s="959">
        <f t="shared" si="69"/>
        <v>71345</v>
      </c>
      <c r="BN57" s="959">
        <f t="shared" si="69"/>
        <v>72732</v>
      </c>
      <c r="BO57" s="959">
        <f t="shared" si="69"/>
        <v>72029</v>
      </c>
      <c r="BP57" s="959">
        <f t="shared" si="69"/>
        <v>70528</v>
      </c>
      <c r="BQ57" s="959">
        <f t="shared" si="69"/>
        <v>70471</v>
      </c>
      <c r="BR57" s="959">
        <f t="shared" si="69"/>
        <v>71050.5</v>
      </c>
      <c r="BS57" s="959">
        <f t="shared" si="69"/>
        <v>72371</v>
      </c>
      <c r="BT57" s="959">
        <f t="shared" si="69"/>
        <v>71373.5</v>
      </c>
      <c r="BU57" s="959">
        <f t="shared" si="69"/>
        <v>66766</v>
      </c>
      <c r="BV57" s="959">
        <f t="shared" si="69"/>
        <v>62548</v>
      </c>
      <c r="BW57" s="959">
        <f t="shared" si="69"/>
        <v>69397.5</v>
      </c>
      <c r="BX57" s="959">
        <f t="shared" si="69"/>
        <v>71601.5</v>
      </c>
      <c r="BY57" s="959">
        <f t="shared" si="69"/>
        <v>74442</v>
      </c>
      <c r="BZ57" s="959">
        <f t="shared" si="69"/>
        <v>81177.5</v>
      </c>
      <c r="CA57" s="959">
        <f t="shared" si="69"/>
        <v>88815.5</v>
      </c>
      <c r="CB57" s="959">
        <f t="shared" si="69"/>
        <v>93594</v>
      </c>
      <c r="CC57" s="959">
        <f t="shared" si="69"/>
        <v>104623.5</v>
      </c>
      <c r="CD57" s="959">
        <f t="shared" si="69"/>
        <v>112432.5</v>
      </c>
      <c r="CE57" s="959">
        <f t="shared" si="69"/>
        <v>112784</v>
      </c>
      <c r="CF57" s="959">
        <f t="shared" si="69"/>
        <v>116422.5</v>
      </c>
      <c r="CG57" s="959">
        <f t="shared" si="69"/>
        <v>120935</v>
      </c>
      <c r="CH57" s="959">
        <f t="shared" si="69"/>
        <v>122550</v>
      </c>
      <c r="CI57" s="959">
        <f t="shared" si="69"/>
        <v>118322.5</v>
      </c>
      <c r="CJ57" s="959">
        <f t="shared" si="69"/>
        <v>112527.5</v>
      </c>
      <c r="CK57" s="959">
        <f t="shared" si="69"/>
        <v>106685</v>
      </c>
      <c r="CL57" s="960">
        <f t="shared" si="69"/>
        <v>109915</v>
      </c>
      <c r="CM57" s="856">
        <f t="shared" si="23"/>
        <v>74749.509166666656</v>
      </c>
      <c r="CN57" s="347"/>
      <c r="CO57" s="347"/>
      <c r="CP57" s="347"/>
      <c r="CQ57" s="347"/>
      <c r="CR57" s="347"/>
      <c r="CS57" s="347"/>
      <c r="CT57" s="347"/>
      <c r="CU57" s="347"/>
      <c r="CV57" s="347"/>
      <c r="CW57" s="347"/>
      <c r="CX57" s="347"/>
      <c r="CY57" s="347"/>
      <c r="CZ57" s="347"/>
      <c r="DA57" s="347"/>
      <c r="DB57" s="347"/>
      <c r="DC57" s="347"/>
      <c r="DD57" s="347"/>
      <c r="DE57" s="347"/>
      <c r="DF57" s="347"/>
      <c r="DG57" s="347"/>
      <c r="DH57" s="347"/>
      <c r="DI57" s="347"/>
      <c r="DJ57" s="347"/>
      <c r="DK57" s="347"/>
      <c r="DL57" s="347"/>
      <c r="DM57" s="347"/>
      <c r="DN57" s="347"/>
      <c r="DO57" s="347"/>
      <c r="DP57" s="347"/>
      <c r="DQ57" s="347"/>
      <c r="DR57" s="347"/>
      <c r="DS57" s="347"/>
      <c r="DT57" s="347"/>
      <c r="DU57" s="347"/>
      <c r="DV57" s="347"/>
      <c r="DW57" s="347"/>
      <c r="DX57" s="347"/>
      <c r="DY57" s="347"/>
      <c r="DZ57" s="347"/>
      <c r="EA57" s="347"/>
      <c r="EB57" s="347"/>
      <c r="EC57" s="347"/>
      <c r="ED57" s="347"/>
      <c r="EE57" s="347"/>
      <c r="EF57" s="347"/>
      <c r="EG57" s="347"/>
      <c r="EH57" s="347"/>
      <c r="EI57" s="347"/>
      <c r="EJ57" s="347"/>
      <c r="EK57" s="347"/>
      <c r="EL57" s="347"/>
      <c r="EM57" s="347"/>
      <c r="EN57" s="347"/>
      <c r="EO57" s="347"/>
      <c r="EP57" s="347"/>
      <c r="EQ57" s="347"/>
      <c r="ER57" s="347"/>
      <c r="ES57" s="347"/>
      <c r="ET57" s="347"/>
      <c r="EU57" s="347"/>
      <c r="EV57" s="347"/>
      <c r="EW57" s="347"/>
      <c r="EX57" s="347"/>
      <c r="EY57" s="347"/>
      <c r="EZ57" s="347"/>
      <c r="FA57" s="347"/>
      <c r="FB57" s="347"/>
      <c r="FC57" s="347"/>
      <c r="FD57" s="347"/>
      <c r="FE57" s="347"/>
      <c r="FF57" s="347"/>
      <c r="FG57" s="347"/>
      <c r="FH57" s="347"/>
      <c r="FI57" s="347"/>
      <c r="FJ57" s="347"/>
      <c r="FK57" s="347"/>
      <c r="FL57" s="347"/>
      <c r="FM57" s="347"/>
      <c r="FN57" s="347"/>
      <c r="FO57" s="347"/>
      <c r="FP57" s="347"/>
      <c r="FQ57" s="347"/>
      <c r="FR57" s="347"/>
      <c r="FS57" s="347"/>
      <c r="FT57" s="347"/>
      <c r="FU57" s="347"/>
      <c r="FV57" s="347"/>
    </row>
    <row r="58" spans="1:178">
      <c r="A58" s="347"/>
      <c r="B58" s="347"/>
      <c r="C58" s="347"/>
      <c r="D58" s="347"/>
      <c r="E58" s="347"/>
      <c r="F58" s="961"/>
      <c r="G58" s="961"/>
      <c r="H58" s="961"/>
      <c r="I58" s="961"/>
      <c r="J58" s="961"/>
      <c r="K58" s="961"/>
      <c r="L58" s="961"/>
      <c r="M58" s="961"/>
      <c r="N58" s="961"/>
      <c r="O58" s="961"/>
      <c r="P58" s="961"/>
      <c r="Q58" s="961"/>
      <c r="R58" s="961"/>
      <c r="S58" s="962"/>
      <c r="T58" s="962"/>
      <c r="U58" s="962"/>
      <c r="V58" s="962"/>
      <c r="W58" s="962"/>
      <c r="X58" s="962"/>
      <c r="Y58" s="962"/>
      <c r="Z58" s="962"/>
      <c r="AA58" s="962"/>
      <c r="AB58" s="962"/>
      <c r="AC58" s="962"/>
      <c r="AD58" s="962"/>
      <c r="AE58" s="962"/>
      <c r="AF58" s="962"/>
      <c r="AG58" s="962"/>
      <c r="AH58" s="962"/>
      <c r="AI58" s="962"/>
      <c r="AJ58" s="962"/>
      <c r="AK58" s="962"/>
      <c r="AL58" s="962"/>
      <c r="AM58" s="962"/>
      <c r="AN58" s="962"/>
      <c r="AO58" s="962"/>
      <c r="AP58" s="962"/>
      <c r="AQ58" s="962"/>
      <c r="AR58" s="962"/>
      <c r="AS58" s="962"/>
      <c r="AT58" s="963">
        <v>8000</v>
      </c>
      <c r="AU58" s="962"/>
      <c r="AV58" s="962"/>
      <c r="AW58" s="962"/>
      <c r="AX58" s="962"/>
      <c r="AY58" s="962"/>
      <c r="AZ58" s="962"/>
      <c r="BA58" s="962"/>
      <c r="BB58" s="962"/>
      <c r="BC58" s="962"/>
      <c r="BD58" s="962"/>
      <c r="BE58" s="962"/>
      <c r="BF58" s="962"/>
      <c r="BG58" s="962"/>
      <c r="BH58" s="962"/>
      <c r="BI58" s="962"/>
      <c r="BJ58" s="962"/>
      <c r="BK58" s="962"/>
      <c r="BL58" s="962"/>
      <c r="BM58" s="962"/>
      <c r="BN58" s="962"/>
      <c r="BO58" s="962"/>
      <c r="BP58" s="962"/>
      <c r="BQ58" s="962"/>
      <c r="BR58" s="962"/>
      <c r="BS58" s="962"/>
      <c r="BT58" s="962"/>
      <c r="BU58" s="962"/>
      <c r="BV58" s="962"/>
      <c r="BW58" s="962"/>
      <c r="BX58" s="962"/>
      <c r="BY58" s="962"/>
      <c r="BZ58" s="962"/>
      <c r="CA58" s="962"/>
      <c r="CB58" s="962"/>
      <c r="CC58" s="962"/>
      <c r="CD58" s="962"/>
      <c r="CE58" s="962"/>
      <c r="CF58" s="962"/>
      <c r="CG58" s="962"/>
      <c r="CH58" s="962"/>
      <c r="CI58" s="962"/>
      <c r="CJ58" s="962"/>
      <c r="CK58" s="962"/>
      <c r="CL58" s="962"/>
      <c r="CM58" s="964"/>
      <c r="CN58" s="347"/>
      <c r="CO58" s="347"/>
      <c r="CP58" s="347"/>
      <c r="CQ58" s="347"/>
      <c r="CR58" s="347"/>
      <c r="CS58" s="347"/>
      <c r="CT58" s="347"/>
      <c r="CU58" s="347"/>
      <c r="CV58" s="347"/>
      <c r="CW58" s="347"/>
      <c r="CX58" s="347"/>
      <c r="CY58" s="347"/>
      <c r="CZ58" s="347"/>
      <c r="DA58" s="347"/>
      <c r="DB58" s="347"/>
      <c r="DC58" s="347"/>
      <c r="DD58" s="347"/>
      <c r="DE58" s="347"/>
      <c r="DF58" s="347"/>
      <c r="DG58" s="347"/>
      <c r="DH58" s="347"/>
      <c r="DI58" s="347"/>
      <c r="DJ58" s="347"/>
      <c r="DK58" s="347"/>
      <c r="DL58" s="347"/>
      <c r="DM58" s="347"/>
      <c r="DN58" s="347"/>
      <c r="DO58" s="347"/>
      <c r="DP58" s="347"/>
      <c r="DQ58" s="347"/>
      <c r="DR58" s="347"/>
      <c r="DS58" s="347"/>
      <c r="DT58" s="347"/>
      <c r="DU58" s="347"/>
      <c r="DV58" s="347"/>
      <c r="DW58" s="347"/>
      <c r="DX58" s="347"/>
      <c r="DY58" s="347"/>
      <c r="DZ58" s="347"/>
      <c r="EA58" s="347"/>
      <c r="EB58" s="347"/>
      <c r="EC58" s="347"/>
      <c r="ED58" s="347"/>
      <c r="EE58" s="347"/>
      <c r="EF58" s="347"/>
      <c r="EG58" s="347"/>
      <c r="EH58" s="347"/>
      <c r="EI58" s="347"/>
      <c r="EJ58" s="347"/>
      <c r="EK58" s="347"/>
      <c r="EL58" s="347"/>
      <c r="EM58" s="347"/>
      <c r="EN58" s="347"/>
      <c r="EO58" s="347"/>
      <c r="EP58" s="347"/>
      <c r="EQ58" s="347"/>
      <c r="ER58" s="347"/>
      <c r="ES58" s="347"/>
      <c r="ET58" s="347"/>
      <c r="EU58" s="347"/>
      <c r="EV58" s="347"/>
      <c r="EW58" s="347"/>
      <c r="EX58" s="347"/>
      <c r="EY58" s="347"/>
      <c r="EZ58" s="347"/>
      <c r="FA58" s="347"/>
      <c r="FB58" s="347"/>
      <c r="FC58" s="347"/>
      <c r="FD58" s="347"/>
      <c r="FE58" s="347"/>
      <c r="FF58" s="347"/>
      <c r="FG58" s="347"/>
      <c r="FH58" s="347"/>
      <c r="FI58" s="347"/>
      <c r="FJ58" s="347"/>
      <c r="FK58" s="347"/>
      <c r="FL58" s="347"/>
      <c r="FM58" s="347"/>
      <c r="FN58" s="347"/>
      <c r="FO58" s="347"/>
      <c r="FP58" s="347"/>
      <c r="FQ58" s="347"/>
      <c r="FR58" s="347"/>
      <c r="FS58" s="347"/>
      <c r="FT58" s="347"/>
      <c r="FU58" s="347"/>
      <c r="FV58" s="347"/>
    </row>
    <row r="59" spans="1:178" ht="12.75" customHeight="1">
      <c r="A59" s="1402" t="s">
        <v>652</v>
      </c>
      <c r="B59" s="1402"/>
      <c r="C59" s="1402"/>
      <c r="D59" s="1402"/>
      <c r="E59" s="1403"/>
      <c r="F59" s="965" t="s">
        <v>211</v>
      </c>
      <c r="G59" s="965"/>
      <c r="H59" s="965"/>
      <c r="I59" s="965"/>
      <c r="J59" s="965"/>
      <c r="K59" s="965"/>
      <c r="L59" s="965"/>
      <c r="M59" s="965"/>
      <c r="N59" s="965"/>
      <c r="O59" s="965"/>
      <c r="P59" s="965"/>
      <c r="Q59" s="965"/>
      <c r="R59" s="965"/>
      <c r="S59" s="966"/>
      <c r="T59" s="966"/>
      <c r="U59" s="966"/>
      <c r="V59" s="966"/>
      <c r="W59" s="966"/>
      <c r="X59" s="966"/>
      <c r="Y59" s="966"/>
      <c r="Z59" s="966"/>
      <c r="AA59" s="966"/>
      <c r="AB59" s="966"/>
      <c r="AC59" s="966"/>
      <c r="AD59" s="966"/>
      <c r="AE59" s="966"/>
      <c r="AF59" s="966"/>
      <c r="AG59" s="966"/>
      <c r="AH59" s="966"/>
      <c r="AI59" s="966"/>
      <c r="AJ59" s="966"/>
      <c r="AK59" s="966"/>
      <c r="AL59" s="966"/>
      <c r="AM59" s="966"/>
      <c r="AN59" s="966"/>
      <c r="AO59" s="966"/>
      <c r="AP59" s="966"/>
      <c r="AQ59" s="966"/>
      <c r="AR59" s="966"/>
      <c r="AS59" s="966"/>
      <c r="AT59" s="967"/>
      <c r="AU59" s="598"/>
      <c r="AV59" s="598"/>
      <c r="AW59" s="598"/>
      <c r="AX59" s="598"/>
      <c r="AY59" s="598"/>
      <c r="AZ59" s="598"/>
      <c r="BA59" s="598"/>
      <c r="BB59" s="598"/>
      <c r="BC59" s="598"/>
      <c r="BD59" s="598"/>
      <c r="BE59" s="598"/>
      <c r="BF59" s="598"/>
      <c r="BG59" s="598"/>
      <c r="BH59" s="598"/>
      <c r="BI59" s="598"/>
      <c r="BJ59" s="598"/>
      <c r="BK59" s="598"/>
      <c r="BL59" s="598"/>
      <c r="BM59" s="598"/>
      <c r="BN59" s="598"/>
      <c r="BO59" s="598"/>
      <c r="BP59" s="598"/>
      <c r="BQ59" s="598"/>
      <c r="BR59" s="598"/>
      <c r="BS59" s="598"/>
      <c r="BT59" s="598"/>
      <c r="BU59" s="598"/>
      <c r="BV59" s="598"/>
      <c r="BW59" s="598"/>
      <c r="BX59" s="598"/>
      <c r="BY59" s="598"/>
      <c r="BZ59" s="598"/>
      <c r="CA59" s="598"/>
      <c r="CB59" s="598"/>
      <c r="CC59" s="598"/>
      <c r="CD59" s="598"/>
      <c r="CE59" s="598"/>
      <c r="CF59" s="598"/>
      <c r="CG59" s="598"/>
      <c r="CH59" s="598"/>
      <c r="CI59" s="598"/>
      <c r="CJ59" s="598"/>
      <c r="CK59" s="598"/>
      <c r="CL59" s="598"/>
      <c r="CM59" s="966"/>
      <c r="CN59" s="347"/>
      <c r="CO59" s="347"/>
      <c r="CP59" s="347"/>
      <c r="CQ59" s="347"/>
      <c r="CR59" s="347"/>
      <c r="CS59" s="347"/>
      <c r="CT59" s="347"/>
      <c r="CU59" s="347"/>
      <c r="CV59" s="347"/>
      <c r="CW59" s="347"/>
      <c r="CX59" s="347"/>
      <c r="CY59" s="347"/>
      <c r="CZ59" s="347"/>
      <c r="DA59" s="347"/>
      <c r="DB59" s="347"/>
      <c r="DC59" s="347"/>
      <c r="DD59" s="347"/>
      <c r="DE59" s="347"/>
      <c r="DF59" s="347"/>
      <c r="DG59" s="347"/>
      <c r="DH59" s="347"/>
      <c r="DI59" s="347"/>
      <c r="DJ59" s="347"/>
      <c r="DK59" s="347"/>
      <c r="DL59" s="347"/>
      <c r="DM59" s="347"/>
      <c r="DN59" s="347"/>
      <c r="DO59" s="347"/>
      <c r="DP59" s="347"/>
      <c r="DQ59" s="347"/>
      <c r="DR59" s="347"/>
      <c r="DS59" s="347"/>
      <c r="DT59" s="347"/>
      <c r="DU59" s="347"/>
      <c r="DV59" s="347"/>
      <c r="DW59" s="347"/>
      <c r="DX59" s="347"/>
      <c r="DY59" s="347"/>
      <c r="DZ59" s="347"/>
      <c r="EA59" s="347"/>
      <c r="EB59" s="347"/>
      <c r="EC59" s="347"/>
      <c r="ED59" s="347"/>
      <c r="EE59" s="347"/>
      <c r="EF59" s="347"/>
      <c r="EG59" s="347"/>
      <c r="EH59" s="347"/>
      <c r="EI59" s="347"/>
      <c r="EJ59" s="347"/>
      <c r="EK59" s="347"/>
      <c r="EL59" s="347"/>
      <c r="EM59" s="347"/>
      <c r="EN59" s="347"/>
      <c r="EO59" s="347"/>
      <c r="EP59" s="347"/>
      <c r="EQ59" s="347"/>
      <c r="ER59" s="347"/>
      <c r="ES59" s="347"/>
      <c r="ET59" s="347"/>
      <c r="EU59" s="347"/>
      <c r="EV59" s="347"/>
      <c r="EW59" s="347"/>
      <c r="EX59" s="347"/>
      <c r="EY59" s="347"/>
      <c r="EZ59" s="347"/>
      <c r="FA59" s="347"/>
      <c r="FB59" s="347"/>
      <c r="FC59" s="347"/>
      <c r="FD59" s="347"/>
      <c r="FE59" s="347"/>
      <c r="FF59" s="347"/>
      <c r="FG59" s="347"/>
      <c r="FH59" s="347"/>
      <c r="FI59" s="347"/>
      <c r="FJ59" s="347"/>
      <c r="FK59" s="347"/>
      <c r="FL59" s="347"/>
      <c r="FM59" s="347"/>
      <c r="FN59" s="347"/>
      <c r="FO59" s="347"/>
      <c r="FP59" s="347"/>
      <c r="FQ59" s="347"/>
      <c r="FR59" s="347"/>
      <c r="FS59" s="347"/>
      <c r="FT59" s="347"/>
      <c r="FU59" s="347"/>
      <c r="FV59" s="347"/>
    </row>
    <row r="60" spans="1:178">
      <c r="A60" s="1402"/>
      <c r="B60" s="1402"/>
      <c r="C60" s="1402"/>
      <c r="D60" s="1402"/>
      <c r="E60" s="1403"/>
      <c r="F60" s="854" t="s">
        <v>212</v>
      </c>
      <c r="G60" s="963">
        <f t="shared" ref="G60:BR61" si="70">G42</f>
        <v>6515410.0640951814</v>
      </c>
      <c r="H60" s="963">
        <f t="shared" si="70"/>
        <v>6515410.0640951814</v>
      </c>
      <c r="I60" s="963">
        <f t="shared" si="70"/>
        <v>6515410.0640951814</v>
      </c>
      <c r="J60" s="963">
        <f t="shared" si="70"/>
        <v>6515410.0640951814</v>
      </c>
      <c r="K60" s="963">
        <f t="shared" si="70"/>
        <v>6515410.0640951814</v>
      </c>
      <c r="L60" s="963">
        <f t="shared" si="70"/>
        <v>6515410.0640951814</v>
      </c>
      <c r="M60" s="963">
        <f t="shared" si="70"/>
        <v>6515410.0640951814</v>
      </c>
      <c r="N60" s="963">
        <f t="shared" si="70"/>
        <v>6515410.0640951814</v>
      </c>
      <c r="O60" s="963">
        <f t="shared" si="70"/>
        <v>6515410.0640951814</v>
      </c>
      <c r="P60" s="963">
        <f t="shared" si="70"/>
        <v>6515410.0640951814</v>
      </c>
      <c r="Q60" s="963">
        <f t="shared" si="70"/>
        <v>6515410.0640951814</v>
      </c>
      <c r="R60" s="963">
        <f t="shared" si="70"/>
        <v>6515410.0640951814</v>
      </c>
      <c r="S60" s="963">
        <f t="shared" si="70"/>
        <v>6515410.0640951814</v>
      </c>
      <c r="T60" s="963">
        <f t="shared" si="70"/>
        <v>6515410.0640951814</v>
      </c>
      <c r="U60" s="963">
        <f t="shared" si="70"/>
        <v>6515410.0640951814</v>
      </c>
      <c r="V60" s="963">
        <f t="shared" si="70"/>
        <v>6515410.0640951814</v>
      </c>
      <c r="W60" s="963">
        <f t="shared" si="70"/>
        <v>6515410.0640951814</v>
      </c>
      <c r="X60" s="963">
        <f t="shared" si="70"/>
        <v>6515410.0640951814</v>
      </c>
      <c r="Y60" s="963">
        <f t="shared" si="70"/>
        <v>6515410.0640951814</v>
      </c>
      <c r="Z60" s="963">
        <f t="shared" si="70"/>
        <v>6515410.0640951814</v>
      </c>
      <c r="AA60" s="963">
        <f t="shared" si="70"/>
        <v>6515410.0640951814</v>
      </c>
      <c r="AB60" s="963">
        <f t="shared" si="70"/>
        <v>6515410.0640951814</v>
      </c>
      <c r="AC60" s="963">
        <f t="shared" si="70"/>
        <v>6515410.0640951814</v>
      </c>
      <c r="AD60" s="963">
        <f t="shared" si="70"/>
        <v>6515410.0640951814</v>
      </c>
      <c r="AE60" s="963">
        <f t="shared" si="70"/>
        <v>6515410.0640951814</v>
      </c>
      <c r="AF60" s="963">
        <f t="shared" si="70"/>
        <v>6515410.0640951814</v>
      </c>
      <c r="AG60" s="963">
        <f t="shared" si="70"/>
        <v>6515410.0640951814</v>
      </c>
      <c r="AH60" s="963">
        <f t="shared" si="70"/>
        <v>6515410.0640951814</v>
      </c>
      <c r="AI60" s="963">
        <f t="shared" si="70"/>
        <v>6515410.0640951814</v>
      </c>
      <c r="AJ60" s="963">
        <f t="shared" si="70"/>
        <v>6515410.0640951814</v>
      </c>
      <c r="AK60" s="963">
        <f t="shared" si="70"/>
        <v>6515410.0640951814</v>
      </c>
      <c r="AL60" s="963">
        <f t="shared" si="70"/>
        <v>6515410.0640951814</v>
      </c>
      <c r="AM60" s="963">
        <f t="shared" si="70"/>
        <v>6515410.0640951814</v>
      </c>
      <c r="AN60" s="963">
        <f t="shared" si="70"/>
        <v>6515410.0640951814</v>
      </c>
      <c r="AO60" s="963">
        <f t="shared" si="70"/>
        <v>6515410.0640951814</v>
      </c>
      <c r="AP60" s="963">
        <f t="shared" si="70"/>
        <v>6515410.0640951814</v>
      </c>
      <c r="AQ60" s="963">
        <f t="shared" si="70"/>
        <v>6515410.0640951814</v>
      </c>
      <c r="AR60" s="963">
        <f t="shared" si="70"/>
        <v>6515410.0640951814</v>
      </c>
      <c r="AS60" s="963">
        <f t="shared" si="70"/>
        <v>6515410.0640951814</v>
      </c>
      <c r="AT60" s="963">
        <f t="shared" si="70"/>
        <v>6515410.0640951814</v>
      </c>
      <c r="AU60" s="356">
        <f t="shared" si="70"/>
        <v>6515410.0640951814</v>
      </c>
      <c r="AV60" s="356">
        <f t="shared" si="70"/>
        <v>6515410.0640951814</v>
      </c>
      <c r="AW60" s="356">
        <f t="shared" si="70"/>
        <v>6515410.0640951814</v>
      </c>
      <c r="AX60" s="356">
        <f t="shared" si="70"/>
        <v>6515410.0640951814</v>
      </c>
      <c r="AY60" s="356">
        <f t="shared" si="70"/>
        <v>6515410.0640951814</v>
      </c>
      <c r="AZ60" s="356">
        <f t="shared" si="70"/>
        <v>6515410.0640951814</v>
      </c>
      <c r="BA60" s="356">
        <f t="shared" si="70"/>
        <v>6515410.0640951814</v>
      </c>
      <c r="BB60" s="356">
        <f t="shared" si="70"/>
        <v>6515410.0640951814</v>
      </c>
      <c r="BC60" s="356">
        <f t="shared" si="70"/>
        <v>6515410.0640951814</v>
      </c>
      <c r="BD60" s="356">
        <f t="shared" si="70"/>
        <v>6515410.0640951814</v>
      </c>
      <c r="BE60" s="356">
        <f t="shared" si="70"/>
        <v>6515410.0640951814</v>
      </c>
      <c r="BF60" s="356">
        <f t="shared" si="70"/>
        <v>6515410.0640951814</v>
      </c>
      <c r="BG60" s="356">
        <f t="shared" si="70"/>
        <v>6515410.0640951814</v>
      </c>
      <c r="BH60" s="356">
        <f t="shared" si="70"/>
        <v>6515410.0640951814</v>
      </c>
      <c r="BI60" s="356">
        <f t="shared" si="70"/>
        <v>6515410.0640951814</v>
      </c>
      <c r="BJ60" s="356">
        <f t="shared" si="70"/>
        <v>6515410.0640951814</v>
      </c>
      <c r="BK60" s="356">
        <f t="shared" si="70"/>
        <v>6515410.0640951814</v>
      </c>
      <c r="BL60" s="356">
        <f t="shared" si="70"/>
        <v>6515410.0640951814</v>
      </c>
      <c r="BM60" s="356">
        <f t="shared" si="70"/>
        <v>6515410.0640951814</v>
      </c>
      <c r="BN60" s="356">
        <f t="shared" si="70"/>
        <v>6515410.0640951814</v>
      </c>
      <c r="BO60" s="356">
        <f t="shared" si="70"/>
        <v>6515410.0640951814</v>
      </c>
      <c r="BP60" s="356">
        <f t="shared" si="70"/>
        <v>6515410.0640951814</v>
      </c>
      <c r="BQ60" s="356">
        <f t="shared" si="70"/>
        <v>6515410.0640951814</v>
      </c>
      <c r="BR60" s="356">
        <f t="shared" si="70"/>
        <v>6515410.0640951814</v>
      </c>
      <c r="BS60" s="356">
        <f t="shared" ref="BS60:CL61" si="71">BS42</f>
        <v>6515410.0640951814</v>
      </c>
      <c r="BT60" s="356">
        <f t="shared" si="71"/>
        <v>6515410.0640951814</v>
      </c>
      <c r="BU60" s="356">
        <f t="shared" si="71"/>
        <v>6515410.0640951814</v>
      </c>
      <c r="BV60" s="356">
        <f t="shared" si="71"/>
        <v>6515410.0640951814</v>
      </c>
      <c r="BW60" s="356">
        <f t="shared" si="71"/>
        <v>6515410.0640951814</v>
      </c>
      <c r="BX60" s="356">
        <f t="shared" si="71"/>
        <v>6515410.0640951814</v>
      </c>
      <c r="BY60" s="356">
        <f t="shared" si="71"/>
        <v>6515410.0640951814</v>
      </c>
      <c r="BZ60" s="356">
        <f t="shared" si="71"/>
        <v>6515410.0640951814</v>
      </c>
      <c r="CA60" s="356">
        <f t="shared" si="71"/>
        <v>6515410.0640951814</v>
      </c>
      <c r="CB60" s="356">
        <f t="shared" si="71"/>
        <v>6515410.0640951814</v>
      </c>
      <c r="CC60" s="356">
        <f t="shared" si="71"/>
        <v>6515410.0640951814</v>
      </c>
      <c r="CD60" s="356">
        <f t="shared" si="71"/>
        <v>6515410.0640951814</v>
      </c>
      <c r="CE60" s="356">
        <f t="shared" si="71"/>
        <v>6515410.0640951814</v>
      </c>
      <c r="CF60" s="356">
        <f t="shared" si="71"/>
        <v>6515410.0640951814</v>
      </c>
      <c r="CG60" s="356">
        <f t="shared" si="71"/>
        <v>6515410.0640951814</v>
      </c>
      <c r="CH60" s="356">
        <f t="shared" si="71"/>
        <v>6515410.0640951814</v>
      </c>
      <c r="CI60" s="356">
        <f t="shared" si="71"/>
        <v>6515410.0640951814</v>
      </c>
      <c r="CJ60" s="356">
        <f t="shared" si="71"/>
        <v>6515410.0640951814</v>
      </c>
      <c r="CK60" s="356">
        <f t="shared" si="71"/>
        <v>6515410.0640951814</v>
      </c>
      <c r="CL60" s="356">
        <f t="shared" si="71"/>
        <v>6515410.0640951814</v>
      </c>
      <c r="CM60" s="598">
        <f t="shared" ref="CM60:CM66" si="72">AVERAGE(G60:CL60)</f>
        <v>6515410.0640951861</v>
      </c>
      <c r="CN60" s="347"/>
      <c r="CO60" s="347"/>
      <c r="CP60" s="347"/>
      <c r="CQ60" s="347"/>
      <c r="CR60" s="347"/>
      <c r="CS60" s="347"/>
      <c r="CT60" s="347"/>
      <c r="CU60" s="347"/>
      <c r="CV60" s="347"/>
      <c r="CW60" s="347"/>
      <c r="CX60" s="347"/>
      <c r="CY60" s="347"/>
      <c r="CZ60" s="347"/>
      <c r="DA60" s="347"/>
      <c r="DB60" s="347"/>
      <c r="DC60" s="347"/>
      <c r="DD60" s="347"/>
      <c r="DE60" s="347"/>
      <c r="DF60" s="347"/>
      <c r="DG60" s="347"/>
      <c r="DH60" s="347"/>
      <c r="DI60" s="347"/>
      <c r="DJ60" s="347"/>
      <c r="DK60" s="347"/>
      <c r="DL60" s="347"/>
      <c r="DM60" s="347"/>
      <c r="DN60" s="347"/>
      <c r="DO60" s="347"/>
      <c r="DP60" s="347"/>
      <c r="DQ60" s="347"/>
      <c r="DR60" s="347"/>
      <c r="DS60" s="347"/>
      <c r="DT60" s="347"/>
      <c r="DU60" s="347"/>
      <c r="DV60" s="347"/>
      <c r="DW60" s="347"/>
      <c r="DX60" s="347"/>
      <c r="DY60" s="347"/>
      <c r="DZ60" s="347"/>
      <c r="EA60" s="347"/>
      <c r="EB60" s="347"/>
      <c r="EC60" s="347"/>
      <c r="ED60" s="347"/>
      <c r="EE60" s="347"/>
      <c r="EF60" s="347"/>
      <c r="EG60" s="347"/>
      <c r="EH60" s="347"/>
      <c r="EI60" s="347"/>
      <c r="EJ60" s="347"/>
      <c r="EK60" s="347"/>
      <c r="EL60" s="347"/>
      <c r="EM60" s="347"/>
      <c r="EN60" s="347"/>
      <c r="EO60" s="347"/>
      <c r="EP60" s="347"/>
      <c r="EQ60" s="347"/>
      <c r="ER60" s="347"/>
      <c r="ES60" s="347"/>
      <c r="ET60" s="347"/>
      <c r="EU60" s="347"/>
      <c r="EV60" s="347"/>
      <c r="EW60" s="347"/>
      <c r="EX60" s="347"/>
      <c r="EY60" s="347"/>
      <c r="EZ60" s="347"/>
      <c r="FA60" s="347"/>
      <c r="FB60" s="347"/>
      <c r="FC60" s="347"/>
      <c r="FD60" s="347"/>
      <c r="FE60" s="347"/>
      <c r="FF60" s="347"/>
      <c r="FG60" s="347"/>
      <c r="FH60" s="347"/>
      <c r="FI60" s="347"/>
      <c r="FJ60" s="347"/>
      <c r="FK60" s="347"/>
      <c r="FL60" s="347"/>
      <c r="FM60" s="347"/>
      <c r="FN60" s="347"/>
      <c r="FO60" s="347"/>
      <c r="FP60" s="347"/>
      <c r="FQ60" s="347"/>
      <c r="FR60" s="347"/>
      <c r="FS60" s="347"/>
      <c r="FT60" s="347"/>
      <c r="FU60" s="347"/>
      <c r="FV60" s="347"/>
    </row>
    <row r="61" spans="1:178">
      <c r="A61" s="1402"/>
      <c r="B61" s="1402"/>
      <c r="C61" s="1402"/>
      <c r="D61" s="1402"/>
      <c r="E61" s="1403"/>
      <c r="F61" s="854" t="s">
        <v>213</v>
      </c>
      <c r="G61" s="963">
        <f t="shared" si="70"/>
        <v>12796887.13943518</v>
      </c>
      <c r="H61" s="963">
        <f t="shared" si="70"/>
        <v>12796887.13943518</v>
      </c>
      <c r="I61" s="963">
        <f t="shared" si="70"/>
        <v>12796887.13943518</v>
      </c>
      <c r="J61" s="963">
        <f t="shared" si="70"/>
        <v>12796887.13943518</v>
      </c>
      <c r="K61" s="963">
        <f t="shared" si="70"/>
        <v>12796887.13943518</v>
      </c>
      <c r="L61" s="963">
        <f t="shared" si="70"/>
        <v>12796887.13943518</v>
      </c>
      <c r="M61" s="963">
        <f t="shared" si="70"/>
        <v>12796887.13943518</v>
      </c>
      <c r="N61" s="963">
        <f t="shared" si="70"/>
        <v>12796887.13943518</v>
      </c>
      <c r="O61" s="963">
        <f t="shared" si="70"/>
        <v>12796887.13943518</v>
      </c>
      <c r="P61" s="963">
        <f t="shared" si="70"/>
        <v>12796887.13943518</v>
      </c>
      <c r="Q61" s="963">
        <f t="shared" si="70"/>
        <v>12796887.13943518</v>
      </c>
      <c r="R61" s="963">
        <f t="shared" si="70"/>
        <v>12796887.13943518</v>
      </c>
      <c r="S61" s="963">
        <f t="shared" si="70"/>
        <v>12796887.13943518</v>
      </c>
      <c r="T61" s="963">
        <f t="shared" si="70"/>
        <v>12796887.13943518</v>
      </c>
      <c r="U61" s="963">
        <f t="shared" si="70"/>
        <v>12796887.13943518</v>
      </c>
      <c r="V61" s="963">
        <f t="shared" si="70"/>
        <v>12796887.13943518</v>
      </c>
      <c r="W61" s="963">
        <f t="shared" si="70"/>
        <v>12796887.13943518</v>
      </c>
      <c r="X61" s="963">
        <f t="shared" si="70"/>
        <v>12796887.13943518</v>
      </c>
      <c r="Y61" s="963">
        <f t="shared" si="70"/>
        <v>12796887.13943518</v>
      </c>
      <c r="Z61" s="963">
        <f t="shared" si="70"/>
        <v>12796887.13943518</v>
      </c>
      <c r="AA61" s="963">
        <f t="shared" si="70"/>
        <v>12796887.13943518</v>
      </c>
      <c r="AB61" s="963">
        <f t="shared" si="70"/>
        <v>12796887.13943518</v>
      </c>
      <c r="AC61" s="963">
        <f t="shared" si="70"/>
        <v>12796887.13943518</v>
      </c>
      <c r="AD61" s="963">
        <f t="shared" si="70"/>
        <v>12796887.13943518</v>
      </c>
      <c r="AE61" s="963">
        <f t="shared" si="70"/>
        <v>12796887.13943518</v>
      </c>
      <c r="AF61" s="963">
        <f t="shared" si="70"/>
        <v>12796887.13943518</v>
      </c>
      <c r="AG61" s="963">
        <f t="shared" si="70"/>
        <v>12796887.13943518</v>
      </c>
      <c r="AH61" s="963">
        <f t="shared" si="70"/>
        <v>12796887.13943518</v>
      </c>
      <c r="AI61" s="963">
        <f t="shared" si="70"/>
        <v>12796887.13943518</v>
      </c>
      <c r="AJ61" s="963">
        <f t="shared" si="70"/>
        <v>12796887.13943518</v>
      </c>
      <c r="AK61" s="963">
        <f t="shared" si="70"/>
        <v>12796887.13943518</v>
      </c>
      <c r="AL61" s="963">
        <f t="shared" si="70"/>
        <v>12796887.13943518</v>
      </c>
      <c r="AM61" s="963">
        <f t="shared" si="70"/>
        <v>12796887.13943518</v>
      </c>
      <c r="AN61" s="963">
        <f t="shared" si="70"/>
        <v>12796887.13943518</v>
      </c>
      <c r="AO61" s="963">
        <f t="shared" si="70"/>
        <v>12796887.13943518</v>
      </c>
      <c r="AP61" s="963">
        <f t="shared" si="70"/>
        <v>12796887.13943518</v>
      </c>
      <c r="AQ61" s="963">
        <f t="shared" si="70"/>
        <v>12796887.13943518</v>
      </c>
      <c r="AR61" s="963">
        <f t="shared" si="70"/>
        <v>12796887.13943518</v>
      </c>
      <c r="AS61" s="963">
        <f t="shared" si="70"/>
        <v>12796887.13943518</v>
      </c>
      <c r="AT61" s="963">
        <f t="shared" si="70"/>
        <v>12796887.13943518</v>
      </c>
      <c r="AU61" s="356">
        <f t="shared" si="70"/>
        <v>12796887.13943518</v>
      </c>
      <c r="AV61" s="356">
        <f t="shared" si="70"/>
        <v>12796887.13943518</v>
      </c>
      <c r="AW61" s="356">
        <f t="shared" si="70"/>
        <v>12796887.13943518</v>
      </c>
      <c r="AX61" s="356">
        <f t="shared" si="70"/>
        <v>12796887.13943518</v>
      </c>
      <c r="AY61" s="356">
        <f t="shared" si="70"/>
        <v>12796887.13943518</v>
      </c>
      <c r="AZ61" s="356">
        <f t="shared" si="70"/>
        <v>12796887.13943518</v>
      </c>
      <c r="BA61" s="356">
        <f t="shared" si="70"/>
        <v>12796887.13943518</v>
      </c>
      <c r="BB61" s="356">
        <f t="shared" si="70"/>
        <v>12796887.13943518</v>
      </c>
      <c r="BC61" s="356">
        <f t="shared" si="70"/>
        <v>12796887.13943518</v>
      </c>
      <c r="BD61" s="356">
        <f t="shared" si="70"/>
        <v>12796887.13943518</v>
      </c>
      <c r="BE61" s="356">
        <f t="shared" si="70"/>
        <v>12796887.13943518</v>
      </c>
      <c r="BF61" s="356">
        <f t="shared" si="70"/>
        <v>12796887.13943518</v>
      </c>
      <c r="BG61" s="356">
        <f t="shared" si="70"/>
        <v>12796887.13943518</v>
      </c>
      <c r="BH61" s="356">
        <f t="shared" si="70"/>
        <v>12796887.13943518</v>
      </c>
      <c r="BI61" s="356">
        <f t="shared" si="70"/>
        <v>12796887.13943518</v>
      </c>
      <c r="BJ61" s="356">
        <f t="shared" si="70"/>
        <v>12796887.13943518</v>
      </c>
      <c r="BK61" s="356">
        <f t="shared" si="70"/>
        <v>12796887.13943518</v>
      </c>
      <c r="BL61" s="356">
        <f t="shared" si="70"/>
        <v>12796887.13943518</v>
      </c>
      <c r="BM61" s="356">
        <f t="shared" si="70"/>
        <v>12796887.13943518</v>
      </c>
      <c r="BN61" s="356">
        <f t="shared" si="70"/>
        <v>12796887.13943518</v>
      </c>
      <c r="BO61" s="356">
        <f t="shared" si="70"/>
        <v>12796887.13943518</v>
      </c>
      <c r="BP61" s="356">
        <f t="shared" si="70"/>
        <v>12796887.13943518</v>
      </c>
      <c r="BQ61" s="356">
        <f t="shared" si="70"/>
        <v>12796887.13943518</v>
      </c>
      <c r="BR61" s="356">
        <f t="shared" si="70"/>
        <v>12796887.13943518</v>
      </c>
      <c r="BS61" s="356">
        <f t="shared" si="71"/>
        <v>12796887.13943518</v>
      </c>
      <c r="BT61" s="356">
        <f t="shared" si="71"/>
        <v>12796887.13943518</v>
      </c>
      <c r="BU61" s="356">
        <f t="shared" si="71"/>
        <v>12796887.13943518</v>
      </c>
      <c r="BV61" s="356">
        <f t="shared" si="71"/>
        <v>12796887.13943518</v>
      </c>
      <c r="BW61" s="356">
        <f t="shared" si="71"/>
        <v>12796887.13943518</v>
      </c>
      <c r="BX61" s="356">
        <f t="shared" si="71"/>
        <v>12796887.13943518</v>
      </c>
      <c r="BY61" s="356">
        <f t="shared" si="71"/>
        <v>12796887.13943518</v>
      </c>
      <c r="BZ61" s="356">
        <f t="shared" si="71"/>
        <v>12796887.13943518</v>
      </c>
      <c r="CA61" s="356">
        <f t="shared" si="71"/>
        <v>12796887.13943518</v>
      </c>
      <c r="CB61" s="356">
        <f t="shared" si="71"/>
        <v>12796887.13943518</v>
      </c>
      <c r="CC61" s="356">
        <f t="shared" si="71"/>
        <v>12796887.13943518</v>
      </c>
      <c r="CD61" s="356">
        <f t="shared" si="71"/>
        <v>12796887.13943518</v>
      </c>
      <c r="CE61" s="356">
        <f t="shared" si="71"/>
        <v>12796887.13943518</v>
      </c>
      <c r="CF61" s="356">
        <f t="shared" si="71"/>
        <v>12796887.13943518</v>
      </c>
      <c r="CG61" s="356">
        <f t="shared" si="71"/>
        <v>12796887.13943518</v>
      </c>
      <c r="CH61" s="356">
        <f t="shared" si="71"/>
        <v>12796887.13943518</v>
      </c>
      <c r="CI61" s="356">
        <f t="shared" si="71"/>
        <v>12796887.13943518</v>
      </c>
      <c r="CJ61" s="356">
        <f t="shared" si="71"/>
        <v>12796887.13943518</v>
      </c>
      <c r="CK61" s="356">
        <f t="shared" si="71"/>
        <v>12796887.13943518</v>
      </c>
      <c r="CL61" s="356">
        <f t="shared" si="71"/>
        <v>12796887.13943518</v>
      </c>
      <c r="CM61" s="356">
        <f t="shared" si="72"/>
        <v>12796887.139435176</v>
      </c>
      <c r="CN61" s="347"/>
      <c r="CO61" s="347"/>
      <c r="CP61" s="347"/>
      <c r="CQ61" s="347"/>
      <c r="CR61" s="347"/>
      <c r="CS61" s="347"/>
      <c r="CT61" s="347"/>
      <c r="CU61" s="347"/>
      <c r="CV61" s="347"/>
      <c r="CW61" s="347"/>
      <c r="CX61" s="347"/>
      <c r="CY61" s="347"/>
      <c r="CZ61" s="347"/>
      <c r="DA61" s="347"/>
      <c r="DB61" s="347"/>
      <c r="DC61" s="347"/>
      <c r="DD61" s="347"/>
      <c r="DE61" s="347"/>
      <c r="DF61" s="347"/>
      <c r="DG61" s="347"/>
      <c r="DH61" s="347"/>
      <c r="DI61" s="347"/>
      <c r="DJ61" s="347"/>
      <c r="DK61" s="347"/>
      <c r="DL61" s="347"/>
      <c r="DM61" s="347"/>
      <c r="DN61" s="347"/>
      <c r="DO61" s="347"/>
      <c r="DP61" s="347"/>
      <c r="DQ61" s="347"/>
      <c r="DR61" s="347"/>
      <c r="DS61" s="347"/>
      <c r="DT61" s="347"/>
      <c r="DU61" s="347"/>
      <c r="DV61" s="347"/>
      <c r="DW61" s="347"/>
      <c r="DX61" s="347"/>
      <c r="DY61" s="347"/>
      <c r="DZ61" s="347"/>
      <c r="EA61" s="347"/>
      <c r="EB61" s="347"/>
      <c r="EC61" s="347"/>
      <c r="ED61" s="347"/>
      <c r="EE61" s="347"/>
      <c r="EF61" s="347"/>
      <c r="EG61" s="347"/>
      <c r="EH61" s="347"/>
      <c r="EI61" s="347"/>
      <c r="EJ61" s="347"/>
      <c r="EK61" s="347"/>
      <c r="EL61" s="347"/>
      <c r="EM61" s="347"/>
      <c r="EN61" s="347"/>
      <c r="EO61" s="347"/>
      <c r="EP61" s="347"/>
      <c r="EQ61" s="347"/>
      <c r="ER61" s="347"/>
      <c r="ES61" s="347"/>
      <c r="ET61" s="347"/>
      <c r="EU61" s="347"/>
      <c r="EV61" s="347"/>
      <c r="EW61" s="347"/>
      <c r="EX61" s="347"/>
      <c r="EY61" s="347"/>
      <c r="EZ61" s="347"/>
      <c r="FA61" s="347"/>
      <c r="FB61" s="347"/>
      <c r="FC61" s="347"/>
      <c r="FD61" s="347"/>
      <c r="FE61" s="347"/>
      <c r="FF61" s="347"/>
      <c r="FG61" s="347"/>
      <c r="FH61" s="347"/>
      <c r="FI61" s="347"/>
      <c r="FJ61" s="347"/>
      <c r="FK61" s="347"/>
      <c r="FL61" s="347"/>
      <c r="FM61" s="347"/>
      <c r="FN61" s="347"/>
      <c r="FO61" s="347"/>
      <c r="FP61" s="347"/>
      <c r="FQ61" s="347"/>
      <c r="FR61" s="347"/>
      <c r="FS61" s="347"/>
      <c r="FT61" s="347"/>
      <c r="FU61" s="347"/>
      <c r="FV61" s="347"/>
    </row>
    <row r="62" spans="1:178">
      <c r="A62" s="1402"/>
      <c r="B62" s="1402"/>
      <c r="C62" s="1402"/>
      <c r="D62" s="1402"/>
      <c r="E62" s="1403"/>
      <c r="F62" s="968" t="s">
        <v>214</v>
      </c>
      <c r="G62" s="963">
        <f t="shared" ref="G62:BR62" si="73">G41</f>
        <v>585611689.03351581</v>
      </c>
      <c r="H62" s="963">
        <f t="shared" si="73"/>
        <v>585611689.03351581</v>
      </c>
      <c r="I62" s="963">
        <f t="shared" si="73"/>
        <v>585611689.03351581</v>
      </c>
      <c r="J62" s="963">
        <f t="shared" si="73"/>
        <v>585613575.71806109</v>
      </c>
      <c r="K62" s="963">
        <f t="shared" si="73"/>
        <v>586050994.54568803</v>
      </c>
      <c r="L62" s="963">
        <f t="shared" si="73"/>
        <v>586051623.44053662</v>
      </c>
      <c r="M62" s="963">
        <f t="shared" si="73"/>
        <v>586051623.44053662</v>
      </c>
      <c r="N62" s="963">
        <f t="shared" si="73"/>
        <v>587280193.90738761</v>
      </c>
      <c r="O62" s="963">
        <f t="shared" si="73"/>
        <v>586052252.33538496</v>
      </c>
      <c r="P62" s="963">
        <f t="shared" si="73"/>
        <v>587282552.26306927</v>
      </c>
      <c r="Q62" s="963">
        <f t="shared" si="73"/>
        <v>588510493.83507371</v>
      </c>
      <c r="R62" s="963">
        <f t="shared" si="73"/>
        <v>589738435.40707815</v>
      </c>
      <c r="S62" s="963">
        <f t="shared" si="73"/>
        <v>590967005.87392914</v>
      </c>
      <c r="T62" s="963">
        <f t="shared" si="73"/>
        <v>592197065.64722681</v>
      </c>
      <c r="U62" s="963">
        <f t="shared" si="73"/>
        <v>593425235.41105592</v>
      </c>
      <c r="V62" s="963">
        <f t="shared" si="73"/>
        <v>594754007.0188905</v>
      </c>
      <c r="W62" s="963">
        <f t="shared" si="73"/>
        <v>595945496.41005599</v>
      </c>
      <c r="X62" s="963">
        <f t="shared" si="73"/>
        <v>597136985.80121994</v>
      </c>
      <c r="Y62" s="963">
        <f t="shared" si="73"/>
        <v>598328475.19238567</v>
      </c>
      <c r="Z62" s="963">
        <f t="shared" si="73"/>
        <v>599519964.58355141</v>
      </c>
      <c r="AA62" s="963">
        <f t="shared" si="73"/>
        <v>600711453.97471523</v>
      </c>
      <c r="AB62" s="963">
        <f t="shared" si="73"/>
        <v>601902943.36588085</v>
      </c>
      <c r="AC62" s="963">
        <f t="shared" si="73"/>
        <v>603094432.75704658</v>
      </c>
      <c r="AD62" s="963">
        <f t="shared" si="73"/>
        <v>604285922.14821041</v>
      </c>
      <c r="AE62" s="963">
        <f t="shared" si="73"/>
        <v>605479072.17649591</v>
      </c>
      <c r="AF62" s="963">
        <f t="shared" si="73"/>
        <v>606668900.93053997</v>
      </c>
      <c r="AG62" s="963">
        <f t="shared" si="73"/>
        <v>607860808.45661569</v>
      </c>
      <c r="AH62" s="963">
        <f t="shared" si="73"/>
        <v>609051879.71287143</v>
      </c>
      <c r="AI62" s="963">
        <f t="shared" si="73"/>
        <v>610243369.10403526</v>
      </c>
      <c r="AJ62" s="963">
        <f t="shared" si="73"/>
        <v>611434858.49520099</v>
      </c>
      <c r="AK62" s="963">
        <f t="shared" si="73"/>
        <v>612626347.88636672</v>
      </c>
      <c r="AL62" s="963">
        <f t="shared" si="73"/>
        <v>613817837.27753055</v>
      </c>
      <c r="AM62" s="963">
        <f t="shared" si="73"/>
        <v>615009326.66869628</v>
      </c>
      <c r="AN62" s="963">
        <f t="shared" si="73"/>
        <v>616200816.05986011</v>
      </c>
      <c r="AO62" s="963">
        <f t="shared" si="73"/>
        <v>617392305.45102584</v>
      </c>
      <c r="AP62" s="963">
        <f t="shared" si="73"/>
        <v>618583794.84219146</v>
      </c>
      <c r="AQ62" s="963">
        <f t="shared" si="73"/>
        <v>619775284.2333554</v>
      </c>
      <c r="AR62" s="963">
        <f t="shared" si="73"/>
        <v>620966773.62452114</v>
      </c>
      <c r="AS62" s="963">
        <f t="shared" si="73"/>
        <v>622158263.01568687</v>
      </c>
      <c r="AT62" s="963">
        <f t="shared" si="73"/>
        <v>487360378.26627946</v>
      </c>
      <c r="AU62" s="356">
        <f t="shared" si="73"/>
        <v>593685215.7866534</v>
      </c>
      <c r="AV62" s="356">
        <f t="shared" si="73"/>
        <v>596840820.69807708</v>
      </c>
      <c r="AW62" s="356">
        <f t="shared" si="73"/>
        <v>576610920.14729059</v>
      </c>
      <c r="AX62" s="356">
        <f t="shared" si="73"/>
        <v>626241831.53895581</v>
      </c>
      <c r="AY62" s="356">
        <f t="shared" si="73"/>
        <v>678632486.52945149</v>
      </c>
      <c r="AZ62" s="356">
        <f t="shared" si="73"/>
        <v>693680039.59946072</v>
      </c>
      <c r="BA62" s="356">
        <f t="shared" si="73"/>
        <v>703263646.33744085</v>
      </c>
      <c r="BB62" s="356">
        <f t="shared" si="73"/>
        <v>692570186.59853494</v>
      </c>
      <c r="BC62" s="356">
        <f t="shared" si="73"/>
        <v>741818216.76020813</v>
      </c>
      <c r="BD62" s="356">
        <f t="shared" si="73"/>
        <v>702259858.56839979</v>
      </c>
      <c r="BE62" s="356">
        <f t="shared" si="73"/>
        <v>661293444.65653121</v>
      </c>
      <c r="BF62" s="356">
        <f t="shared" si="73"/>
        <v>654362245.21137512</v>
      </c>
      <c r="BG62" s="356">
        <f t="shared" si="73"/>
        <v>705730728.97777045</v>
      </c>
      <c r="BH62" s="356">
        <f t="shared" si="73"/>
        <v>634887423.21680629</v>
      </c>
      <c r="BI62" s="356">
        <f t="shared" si="73"/>
        <v>566827051.11023867</v>
      </c>
      <c r="BJ62" s="356">
        <f t="shared" si="73"/>
        <v>554924595.74348223</v>
      </c>
      <c r="BK62" s="356">
        <f t="shared" si="73"/>
        <v>586546888.65800011</v>
      </c>
      <c r="BL62" s="356">
        <f t="shared" si="73"/>
        <v>633693619.36047447</v>
      </c>
      <c r="BM62" s="356">
        <f t="shared" si="73"/>
        <v>585294938.69897926</v>
      </c>
      <c r="BN62" s="356">
        <f t="shared" si="73"/>
        <v>568525524.9466604</v>
      </c>
      <c r="BO62" s="356">
        <f t="shared" si="73"/>
        <v>668982953.21524155</v>
      </c>
      <c r="BP62" s="356">
        <f t="shared" si="73"/>
        <v>657961784.37119937</v>
      </c>
      <c r="BQ62" s="356">
        <f t="shared" si="73"/>
        <v>718459110.43637347</v>
      </c>
      <c r="BR62" s="356">
        <f t="shared" si="73"/>
        <v>622547457.66530299</v>
      </c>
      <c r="BS62" s="356">
        <f t="shared" ref="BS62:CL62" si="74">BS41</f>
        <v>598832079.99610031</v>
      </c>
      <c r="BT62" s="356">
        <f t="shared" si="74"/>
        <v>444710144.65783364</v>
      </c>
      <c r="BU62" s="356">
        <f t="shared" si="74"/>
        <v>534369122.70084506</v>
      </c>
      <c r="BV62" s="356">
        <f t="shared" si="74"/>
        <v>512434460.79502743</v>
      </c>
      <c r="BW62" s="356">
        <f t="shared" si="74"/>
        <v>387945444.28138995</v>
      </c>
      <c r="BX62" s="356">
        <f t="shared" si="74"/>
        <v>373138227.37729454</v>
      </c>
      <c r="BY62" s="356">
        <f t="shared" si="74"/>
        <v>425903785.41244692</v>
      </c>
      <c r="BZ62" s="356">
        <f t="shared" si="74"/>
        <v>489750863.73656237</v>
      </c>
      <c r="CA62" s="356">
        <f t="shared" si="74"/>
        <v>511381207.91732126</v>
      </c>
      <c r="CB62" s="356">
        <f t="shared" si="74"/>
        <v>557570187.9169327</v>
      </c>
      <c r="CC62" s="356">
        <f t="shared" si="74"/>
        <v>598003174.12531328</v>
      </c>
      <c r="CD62" s="356">
        <f t="shared" si="74"/>
        <v>678696627.20882654</v>
      </c>
      <c r="CE62" s="356">
        <f t="shared" si="74"/>
        <v>788122163.39789069</v>
      </c>
      <c r="CF62" s="356">
        <f t="shared" si="74"/>
        <v>705680977.8397404</v>
      </c>
      <c r="CG62" s="356">
        <f t="shared" si="74"/>
        <v>600546829.18198907</v>
      </c>
      <c r="CH62" s="356">
        <f t="shared" si="74"/>
        <v>595086123.98263562</v>
      </c>
      <c r="CI62" s="356">
        <f t="shared" si="74"/>
        <v>643695091.35908139</v>
      </c>
      <c r="CJ62" s="356">
        <f t="shared" si="74"/>
        <v>718157824.88290548</v>
      </c>
      <c r="CK62" s="356">
        <f t="shared" si="74"/>
        <v>819008076.59619951</v>
      </c>
      <c r="CL62" s="356">
        <f t="shared" si="74"/>
        <v>879469757.7997849</v>
      </c>
      <c r="CM62" s="356">
        <f t="shared" si="72"/>
        <v>609458440.19497418</v>
      </c>
      <c r="CN62" s="347"/>
      <c r="CO62" s="347"/>
      <c r="CP62" s="347"/>
      <c r="CQ62" s="347"/>
      <c r="CR62" s="347"/>
      <c r="CS62" s="347"/>
      <c r="CT62" s="347"/>
      <c r="CU62" s="347"/>
      <c r="CV62" s="347"/>
      <c r="CW62" s="347"/>
      <c r="CX62" s="347"/>
      <c r="CY62" s="347"/>
      <c r="CZ62" s="347"/>
      <c r="DA62" s="347"/>
      <c r="DB62" s="347"/>
      <c r="DC62" s="347"/>
      <c r="DD62" s="347"/>
      <c r="DE62" s="347"/>
      <c r="DF62" s="347"/>
      <c r="DG62" s="347"/>
      <c r="DH62" s="347"/>
      <c r="DI62" s="347"/>
      <c r="DJ62" s="347"/>
      <c r="DK62" s="347"/>
      <c r="DL62" s="347"/>
      <c r="DM62" s="347"/>
      <c r="DN62" s="347"/>
      <c r="DO62" s="347"/>
      <c r="DP62" s="347"/>
      <c r="DQ62" s="347"/>
      <c r="DR62" s="347"/>
      <c r="DS62" s="347"/>
      <c r="DT62" s="347"/>
      <c r="DU62" s="347"/>
      <c r="DV62" s="347"/>
      <c r="DW62" s="347"/>
      <c r="DX62" s="347"/>
      <c r="DY62" s="347"/>
      <c r="DZ62" s="347"/>
      <c r="EA62" s="347"/>
      <c r="EB62" s="347"/>
      <c r="EC62" s="347"/>
      <c r="ED62" s="347"/>
      <c r="EE62" s="347"/>
      <c r="EF62" s="347"/>
      <c r="EG62" s="347"/>
      <c r="EH62" s="347"/>
      <c r="EI62" s="347"/>
      <c r="EJ62" s="347"/>
      <c r="EK62" s="347"/>
      <c r="EL62" s="347"/>
      <c r="EM62" s="347"/>
      <c r="EN62" s="347"/>
      <c r="EO62" s="347"/>
      <c r="EP62" s="347"/>
      <c r="EQ62" s="347"/>
      <c r="ER62" s="347"/>
      <c r="ES62" s="347"/>
      <c r="ET62" s="347"/>
      <c r="EU62" s="347"/>
      <c r="EV62" s="347"/>
      <c r="EW62" s="347"/>
      <c r="EX62" s="347"/>
      <c r="EY62" s="347"/>
      <c r="EZ62" s="347"/>
      <c r="FA62" s="347"/>
      <c r="FB62" s="347"/>
      <c r="FC62" s="347"/>
      <c r="FD62" s="347"/>
      <c r="FE62" s="347"/>
      <c r="FF62" s="347"/>
      <c r="FG62" s="347"/>
      <c r="FH62" s="347"/>
      <c r="FI62" s="347"/>
      <c r="FJ62" s="347"/>
      <c r="FK62" s="347"/>
      <c r="FL62" s="347"/>
      <c r="FM62" s="347"/>
      <c r="FN62" s="347"/>
      <c r="FO62" s="347"/>
      <c r="FP62" s="347"/>
      <c r="FQ62" s="347"/>
      <c r="FR62" s="347"/>
      <c r="FS62" s="347"/>
      <c r="FT62" s="347"/>
      <c r="FU62" s="347"/>
      <c r="FV62" s="347"/>
    </row>
    <row r="63" spans="1:178">
      <c r="A63" s="1402"/>
      <c r="B63" s="1402"/>
      <c r="C63" s="1402"/>
      <c r="D63" s="1402"/>
      <c r="E63" s="1403"/>
      <c r="F63" s="854" t="s">
        <v>215</v>
      </c>
      <c r="G63" s="963">
        <f t="shared" ref="G63:BR63" si="75">G45</f>
        <v>351619601.87425667</v>
      </c>
      <c r="H63" s="963">
        <f t="shared" si="75"/>
        <v>351619601.87425667</v>
      </c>
      <c r="I63" s="963">
        <f t="shared" si="75"/>
        <v>351619601.87425667</v>
      </c>
      <c r="J63" s="963">
        <f t="shared" si="75"/>
        <v>351619601.87425667</v>
      </c>
      <c r="K63" s="963">
        <f t="shared" si="75"/>
        <v>351619601.87425667</v>
      </c>
      <c r="L63" s="963">
        <f t="shared" si="75"/>
        <v>351619601.87425667</v>
      </c>
      <c r="M63" s="963">
        <f t="shared" si="75"/>
        <v>351619601.87425667</v>
      </c>
      <c r="N63" s="963">
        <f t="shared" si="75"/>
        <v>351619601.87425667</v>
      </c>
      <c r="O63" s="963">
        <f t="shared" si="75"/>
        <v>351619601.87425667</v>
      </c>
      <c r="P63" s="963">
        <f t="shared" si="75"/>
        <v>351619601.87425667</v>
      </c>
      <c r="Q63" s="963">
        <f t="shared" si="75"/>
        <v>351619601.87425667</v>
      </c>
      <c r="R63" s="963">
        <f t="shared" si="75"/>
        <v>351619601.87425667</v>
      </c>
      <c r="S63" s="963">
        <f t="shared" si="75"/>
        <v>351619601.87425667</v>
      </c>
      <c r="T63" s="963">
        <f t="shared" si="75"/>
        <v>351619601.87425667</v>
      </c>
      <c r="U63" s="963">
        <f t="shared" si="75"/>
        <v>351619601.87425667</v>
      </c>
      <c r="V63" s="963">
        <f t="shared" si="75"/>
        <v>351619601.87425667</v>
      </c>
      <c r="W63" s="963">
        <f t="shared" si="75"/>
        <v>351619601.87425667</v>
      </c>
      <c r="X63" s="963">
        <f t="shared" si="75"/>
        <v>351619601.87425667</v>
      </c>
      <c r="Y63" s="963">
        <f t="shared" si="75"/>
        <v>351619601.87425667</v>
      </c>
      <c r="Z63" s="963">
        <f t="shared" si="75"/>
        <v>351619601.87425667</v>
      </c>
      <c r="AA63" s="963">
        <f t="shared" si="75"/>
        <v>351619601.87425667</v>
      </c>
      <c r="AB63" s="963">
        <f t="shared" si="75"/>
        <v>351619601.87425667</v>
      </c>
      <c r="AC63" s="963">
        <f t="shared" si="75"/>
        <v>351619601.87425667</v>
      </c>
      <c r="AD63" s="963">
        <f t="shared" si="75"/>
        <v>351619601.87425667</v>
      </c>
      <c r="AE63" s="963">
        <f t="shared" si="75"/>
        <v>351619601.87425667</v>
      </c>
      <c r="AF63" s="963">
        <f t="shared" si="75"/>
        <v>351619601.87425667</v>
      </c>
      <c r="AG63" s="963">
        <f t="shared" si="75"/>
        <v>351619601.87425667</v>
      </c>
      <c r="AH63" s="963">
        <f t="shared" si="75"/>
        <v>351619601.87425667</v>
      </c>
      <c r="AI63" s="963">
        <f t="shared" si="75"/>
        <v>351619601.87425667</v>
      </c>
      <c r="AJ63" s="963">
        <f t="shared" si="75"/>
        <v>351619601.87425667</v>
      </c>
      <c r="AK63" s="963">
        <f t="shared" si="75"/>
        <v>351619601.87425667</v>
      </c>
      <c r="AL63" s="963">
        <f t="shared" si="75"/>
        <v>351619601.87425667</v>
      </c>
      <c r="AM63" s="963">
        <f t="shared" si="75"/>
        <v>351619601.87425667</v>
      </c>
      <c r="AN63" s="963">
        <f t="shared" si="75"/>
        <v>351619601.87425667</v>
      </c>
      <c r="AO63" s="963">
        <f t="shared" si="75"/>
        <v>351619601.87425667</v>
      </c>
      <c r="AP63" s="963">
        <f t="shared" si="75"/>
        <v>351619601.87425667</v>
      </c>
      <c r="AQ63" s="963">
        <f t="shared" si="75"/>
        <v>351619601.87425667</v>
      </c>
      <c r="AR63" s="963">
        <f t="shared" si="75"/>
        <v>351619601.87425667</v>
      </c>
      <c r="AS63" s="963">
        <f t="shared" si="75"/>
        <v>351619601.87425667</v>
      </c>
      <c r="AT63" s="963">
        <f t="shared" si="75"/>
        <v>351619601.87425667</v>
      </c>
      <c r="AU63" s="356">
        <f t="shared" si="75"/>
        <v>351619601.87425667</v>
      </c>
      <c r="AV63" s="356">
        <f t="shared" si="75"/>
        <v>351619601.87425667</v>
      </c>
      <c r="AW63" s="356">
        <f t="shared" si="75"/>
        <v>351619601.87425667</v>
      </c>
      <c r="AX63" s="356">
        <f t="shared" si="75"/>
        <v>351619601.87425667</v>
      </c>
      <c r="AY63" s="356">
        <f t="shared" si="75"/>
        <v>351619601.87425667</v>
      </c>
      <c r="AZ63" s="356">
        <f t="shared" si="75"/>
        <v>351619601.87425667</v>
      </c>
      <c r="BA63" s="356">
        <f t="shared" si="75"/>
        <v>351619601.87425667</v>
      </c>
      <c r="BB63" s="356">
        <f t="shared" si="75"/>
        <v>351619601.87425667</v>
      </c>
      <c r="BC63" s="356">
        <f t="shared" si="75"/>
        <v>351619601.87425667</v>
      </c>
      <c r="BD63" s="356">
        <f t="shared" si="75"/>
        <v>351619601.87425667</v>
      </c>
      <c r="BE63" s="356">
        <f t="shared" si="75"/>
        <v>351619601.87425667</v>
      </c>
      <c r="BF63" s="356">
        <f t="shared" si="75"/>
        <v>351619601.87425667</v>
      </c>
      <c r="BG63" s="356">
        <f t="shared" si="75"/>
        <v>351619601.87425667</v>
      </c>
      <c r="BH63" s="356">
        <f t="shared" si="75"/>
        <v>351619601.87425667</v>
      </c>
      <c r="BI63" s="356">
        <f t="shared" si="75"/>
        <v>351619601.87425667</v>
      </c>
      <c r="BJ63" s="356">
        <f t="shared" si="75"/>
        <v>351619601.87425667</v>
      </c>
      <c r="BK63" s="356">
        <f t="shared" si="75"/>
        <v>351619601.87425667</v>
      </c>
      <c r="BL63" s="356">
        <f t="shared" si="75"/>
        <v>351619601.87425667</v>
      </c>
      <c r="BM63" s="356">
        <f t="shared" si="75"/>
        <v>351619601.87425667</v>
      </c>
      <c r="BN63" s="356">
        <f t="shared" si="75"/>
        <v>351619601.87425667</v>
      </c>
      <c r="BO63" s="356">
        <f t="shared" si="75"/>
        <v>351619601.87425667</v>
      </c>
      <c r="BP63" s="356">
        <f t="shared" si="75"/>
        <v>351619601.87425667</v>
      </c>
      <c r="BQ63" s="356">
        <f t="shared" si="75"/>
        <v>351619601.87425667</v>
      </c>
      <c r="BR63" s="356">
        <f t="shared" si="75"/>
        <v>351619601.87425667</v>
      </c>
      <c r="BS63" s="356">
        <f t="shared" ref="BS63:CL63" si="76">BS45</f>
        <v>351619601.87425667</v>
      </c>
      <c r="BT63" s="356">
        <f t="shared" si="76"/>
        <v>351619601.87425667</v>
      </c>
      <c r="BU63" s="356">
        <f t="shared" si="76"/>
        <v>351619601.87425667</v>
      </c>
      <c r="BV63" s="356">
        <f t="shared" si="76"/>
        <v>351619601.87425667</v>
      </c>
      <c r="BW63" s="356">
        <f t="shared" si="76"/>
        <v>351619601.87425667</v>
      </c>
      <c r="BX63" s="356">
        <f t="shared" si="76"/>
        <v>351619601.87425667</v>
      </c>
      <c r="BY63" s="356">
        <f t="shared" si="76"/>
        <v>351619601.87425667</v>
      </c>
      <c r="BZ63" s="356">
        <f t="shared" si="76"/>
        <v>351619601.87425667</v>
      </c>
      <c r="CA63" s="356">
        <f t="shared" si="76"/>
        <v>351619601.87425667</v>
      </c>
      <c r="CB63" s="356">
        <f t="shared" si="76"/>
        <v>351619601.87425667</v>
      </c>
      <c r="CC63" s="356">
        <f t="shared" si="76"/>
        <v>351619601.87425667</v>
      </c>
      <c r="CD63" s="356">
        <f t="shared" si="76"/>
        <v>351619601.87425667</v>
      </c>
      <c r="CE63" s="356">
        <f t="shared" si="76"/>
        <v>351619601.87425667</v>
      </c>
      <c r="CF63" s="356">
        <f t="shared" si="76"/>
        <v>351619601.87425667</v>
      </c>
      <c r="CG63" s="356">
        <f t="shared" si="76"/>
        <v>351619601.87425667</v>
      </c>
      <c r="CH63" s="356">
        <f t="shared" si="76"/>
        <v>351619601.87425667</v>
      </c>
      <c r="CI63" s="356">
        <f t="shared" si="76"/>
        <v>351619601.87425667</v>
      </c>
      <c r="CJ63" s="356">
        <f t="shared" si="76"/>
        <v>351619601.87425667</v>
      </c>
      <c r="CK63" s="356">
        <f t="shared" si="76"/>
        <v>351619601.87425667</v>
      </c>
      <c r="CL63" s="356">
        <f t="shared" si="76"/>
        <v>351619601.87425667</v>
      </c>
      <c r="CM63" s="356">
        <f t="shared" si="72"/>
        <v>351619601.87425637</v>
      </c>
      <c r="CN63" s="347"/>
      <c r="CO63" s="347"/>
      <c r="CP63" s="347"/>
      <c r="CQ63" s="347"/>
      <c r="CR63" s="347"/>
      <c r="CS63" s="347"/>
      <c r="CT63" s="347"/>
      <c r="CU63" s="347"/>
      <c r="CV63" s="347"/>
      <c r="CW63" s="347"/>
      <c r="CX63" s="347"/>
      <c r="CY63" s="347"/>
      <c r="CZ63" s="347"/>
      <c r="DA63" s="347"/>
      <c r="DB63" s="347"/>
      <c r="DC63" s="347"/>
      <c r="DD63" s="347"/>
      <c r="DE63" s="347"/>
      <c r="DF63" s="347"/>
      <c r="DG63" s="347"/>
      <c r="DH63" s="347"/>
      <c r="DI63" s="347"/>
      <c r="DJ63" s="347"/>
      <c r="DK63" s="347"/>
      <c r="DL63" s="347"/>
      <c r="DM63" s="347"/>
      <c r="DN63" s="347"/>
      <c r="DO63" s="347"/>
      <c r="DP63" s="347"/>
      <c r="DQ63" s="347"/>
      <c r="DR63" s="347"/>
      <c r="DS63" s="347"/>
      <c r="DT63" s="347"/>
      <c r="DU63" s="347"/>
      <c r="DV63" s="347"/>
      <c r="DW63" s="347"/>
      <c r="DX63" s="347"/>
      <c r="DY63" s="347"/>
      <c r="DZ63" s="347"/>
      <c r="EA63" s="347"/>
      <c r="EB63" s="347"/>
      <c r="EC63" s="347"/>
      <c r="ED63" s="347"/>
      <c r="EE63" s="347"/>
      <c r="EF63" s="347"/>
      <c r="EG63" s="347"/>
      <c r="EH63" s="347"/>
      <c r="EI63" s="347"/>
      <c r="EJ63" s="347"/>
      <c r="EK63" s="347"/>
      <c r="EL63" s="347"/>
      <c r="EM63" s="347"/>
      <c r="EN63" s="347"/>
      <c r="EO63" s="347"/>
      <c r="EP63" s="347"/>
      <c r="EQ63" s="347"/>
      <c r="ER63" s="347"/>
      <c r="ES63" s="347"/>
      <c r="ET63" s="347"/>
      <c r="EU63" s="347"/>
      <c r="EV63" s="347"/>
      <c r="EW63" s="347"/>
      <c r="EX63" s="347"/>
      <c r="EY63" s="347"/>
      <c r="EZ63" s="347"/>
      <c r="FA63" s="347"/>
      <c r="FB63" s="347"/>
      <c r="FC63" s="347"/>
      <c r="FD63" s="347"/>
      <c r="FE63" s="347"/>
      <c r="FF63" s="347"/>
      <c r="FG63" s="347"/>
      <c r="FH63" s="347"/>
      <c r="FI63" s="347"/>
      <c r="FJ63" s="347"/>
      <c r="FK63" s="347"/>
      <c r="FL63" s="347"/>
      <c r="FM63" s="347"/>
      <c r="FN63" s="347"/>
      <c r="FO63" s="347"/>
      <c r="FP63" s="347"/>
      <c r="FQ63" s="347"/>
      <c r="FR63" s="347"/>
      <c r="FS63" s="347"/>
      <c r="FT63" s="347"/>
      <c r="FU63" s="347"/>
      <c r="FV63" s="347"/>
    </row>
    <row r="64" spans="1:178">
      <c r="A64" s="1402"/>
      <c r="B64" s="1402"/>
      <c r="C64" s="1402"/>
      <c r="D64" s="1402"/>
      <c r="E64" s="1403"/>
      <c r="F64" s="854" t="s">
        <v>216</v>
      </c>
      <c r="G64" s="963">
        <f t="shared" ref="G64:BR64" si="77">G44</f>
        <v>889886210.55624712</v>
      </c>
      <c r="H64" s="963">
        <f t="shared" si="77"/>
        <v>889886210.55624712</v>
      </c>
      <c r="I64" s="963">
        <f t="shared" si="77"/>
        <v>889886210.55624712</v>
      </c>
      <c r="J64" s="963">
        <f t="shared" si="77"/>
        <v>889886210.55624712</v>
      </c>
      <c r="K64" s="963">
        <f t="shared" si="77"/>
        <v>889886210.55624712</v>
      </c>
      <c r="L64" s="963">
        <f t="shared" si="77"/>
        <v>889886210.55624712</v>
      </c>
      <c r="M64" s="963">
        <f t="shared" si="77"/>
        <v>889886210.55624712</v>
      </c>
      <c r="N64" s="963">
        <f t="shared" si="77"/>
        <v>889886210.55624712</v>
      </c>
      <c r="O64" s="963">
        <f t="shared" si="77"/>
        <v>889886210.55624712</v>
      </c>
      <c r="P64" s="963">
        <f t="shared" si="77"/>
        <v>889886210.55624712</v>
      </c>
      <c r="Q64" s="963">
        <f t="shared" si="77"/>
        <v>889886210.55624712</v>
      </c>
      <c r="R64" s="963">
        <f t="shared" si="77"/>
        <v>889886210.55624712</v>
      </c>
      <c r="S64" s="963">
        <f t="shared" si="77"/>
        <v>889886210.55624712</v>
      </c>
      <c r="T64" s="963">
        <f t="shared" si="77"/>
        <v>889886210.55624712</v>
      </c>
      <c r="U64" s="963">
        <f t="shared" si="77"/>
        <v>889886210.55624712</v>
      </c>
      <c r="V64" s="963">
        <f t="shared" si="77"/>
        <v>889886210.55624712</v>
      </c>
      <c r="W64" s="963">
        <f t="shared" si="77"/>
        <v>889886210.55624712</v>
      </c>
      <c r="X64" s="963">
        <f t="shared" si="77"/>
        <v>889886210.55624712</v>
      </c>
      <c r="Y64" s="963">
        <f t="shared" si="77"/>
        <v>889886210.55624712</v>
      </c>
      <c r="Z64" s="963">
        <f t="shared" si="77"/>
        <v>889886210.55624712</v>
      </c>
      <c r="AA64" s="963">
        <f t="shared" si="77"/>
        <v>889886210.55624712</v>
      </c>
      <c r="AB64" s="963">
        <f t="shared" si="77"/>
        <v>889886210.55624712</v>
      </c>
      <c r="AC64" s="963">
        <f t="shared" si="77"/>
        <v>889886210.55624712</v>
      </c>
      <c r="AD64" s="963">
        <f t="shared" si="77"/>
        <v>889886210.55624712</v>
      </c>
      <c r="AE64" s="963">
        <f t="shared" si="77"/>
        <v>889886210.55624712</v>
      </c>
      <c r="AF64" s="963">
        <f t="shared" si="77"/>
        <v>889886210.55624712</v>
      </c>
      <c r="AG64" s="963">
        <f t="shared" si="77"/>
        <v>889886210.55624712</v>
      </c>
      <c r="AH64" s="963">
        <f t="shared" si="77"/>
        <v>889886210.55624712</v>
      </c>
      <c r="AI64" s="963">
        <f t="shared" si="77"/>
        <v>889886210.55624712</v>
      </c>
      <c r="AJ64" s="963">
        <f t="shared" si="77"/>
        <v>889886210.55624712</v>
      </c>
      <c r="AK64" s="963">
        <f t="shared" si="77"/>
        <v>889886210.55624712</v>
      </c>
      <c r="AL64" s="963">
        <f t="shared" si="77"/>
        <v>889886210.55624712</v>
      </c>
      <c r="AM64" s="963">
        <f t="shared" si="77"/>
        <v>889886210.55624712</v>
      </c>
      <c r="AN64" s="963">
        <f t="shared" si="77"/>
        <v>889886210.55624712</v>
      </c>
      <c r="AO64" s="963">
        <f t="shared" si="77"/>
        <v>889886210.55624712</v>
      </c>
      <c r="AP64" s="963">
        <f t="shared" si="77"/>
        <v>889886210.55624712</v>
      </c>
      <c r="AQ64" s="963">
        <f t="shared" si="77"/>
        <v>889886210.55624712</v>
      </c>
      <c r="AR64" s="963">
        <f t="shared" si="77"/>
        <v>889886210.55624712</v>
      </c>
      <c r="AS64" s="963">
        <f t="shared" si="77"/>
        <v>889886210.55624712</v>
      </c>
      <c r="AT64" s="963">
        <f t="shared" si="77"/>
        <v>889886210.55624712</v>
      </c>
      <c r="AU64" s="356">
        <f t="shared" si="77"/>
        <v>889886210.55624712</v>
      </c>
      <c r="AV64" s="356">
        <f t="shared" si="77"/>
        <v>889886210.55624712</v>
      </c>
      <c r="AW64" s="356">
        <f t="shared" si="77"/>
        <v>889886210.55624712</v>
      </c>
      <c r="AX64" s="356">
        <f t="shared" si="77"/>
        <v>889886210.55624712</v>
      </c>
      <c r="AY64" s="356">
        <f t="shared" si="77"/>
        <v>889886210.55624712</v>
      </c>
      <c r="AZ64" s="356">
        <f t="shared" si="77"/>
        <v>889886210.55624712</v>
      </c>
      <c r="BA64" s="356">
        <f t="shared" si="77"/>
        <v>889886210.55624712</v>
      </c>
      <c r="BB64" s="356">
        <f t="shared" si="77"/>
        <v>889886210.55624712</v>
      </c>
      <c r="BC64" s="356">
        <f t="shared" si="77"/>
        <v>889886210.55624712</v>
      </c>
      <c r="BD64" s="356">
        <f t="shared" si="77"/>
        <v>889886210.55624712</v>
      </c>
      <c r="BE64" s="356">
        <f t="shared" si="77"/>
        <v>889886210.55624712</v>
      </c>
      <c r="BF64" s="356">
        <f t="shared" si="77"/>
        <v>889886210.55624712</v>
      </c>
      <c r="BG64" s="356">
        <f t="shared" si="77"/>
        <v>889886210.55624712</v>
      </c>
      <c r="BH64" s="356">
        <f t="shared" si="77"/>
        <v>889886210.55624712</v>
      </c>
      <c r="BI64" s="356">
        <f t="shared" si="77"/>
        <v>889886210.55624712</v>
      </c>
      <c r="BJ64" s="356">
        <f t="shared" si="77"/>
        <v>889886210.55624712</v>
      </c>
      <c r="BK64" s="356">
        <f t="shared" si="77"/>
        <v>889886210.55624712</v>
      </c>
      <c r="BL64" s="356">
        <f t="shared" si="77"/>
        <v>889886210.55624712</v>
      </c>
      <c r="BM64" s="356">
        <f t="shared" si="77"/>
        <v>889886210.55624712</v>
      </c>
      <c r="BN64" s="356">
        <f t="shared" si="77"/>
        <v>889886210.55624712</v>
      </c>
      <c r="BO64" s="356">
        <f t="shared" si="77"/>
        <v>889886210.55624712</v>
      </c>
      <c r="BP64" s="356">
        <f t="shared" si="77"/>
        <v>889886210.55624712</v>
      </c>
      <c r="BQ64" s="356">
        <f t="shared" si="77"/>
        <v>889886210.55624712</v>
      </c>
      <c r="BR64" s="356">
        <f t="shared" si="77"/>
        <v>889886210.55624712</v>
      </c>
      <c r="BS64" s="356">
        <f t="shared" ref="BS64:CL64" si="78">BS44</f>
        <v>889886210.55624712</v>
      </c>
      <c r="BT64" s="356">
        <f t="shared" si="78"/>
        <v>889886210.55624712</v>
      </c>
      <c r="BU64" s="356">
        <f t="shared" si="78"/>
        <v>889886210.55624712</v>
      </c>
      <c r="BV64" s="356">
        <f t="shared" si="78"/>
        <v>889886210.55624712</v>
      </c>
      <c r="BW64" s="356">
        <f t="shared" si="78"/>
        <v>889886210.55624712</v>
      </c>
      <c r="BX64" s="356">
        <f t="shared" si="78"/>
        <v>889886210.55624712</v>
      </c>
      <c r="BY64" s="356">
        <f t="shared" si="78"/>
        <v>889886210.55624712</v>
      </c>
      <c r="BZ64" s="356">
        <f t="shared" si="78"/>
        <v>889886210.55624712</v>
      </c>
      <c r="CA64" s="356">
        <f t="shared" si="78"/>
        <v>889886210.55624712</v>
      </c>
      <c r="CB64" s="356">
        <f t="shared" si="78"/>
        <v>889886210.55624712</v>
      </c>
      <c r="CC64" s="356">
        <f t="shared" si="78"/>
        <v>889886210.55624712</v>
      </c>
      <c r="CD64" s="356">
        <f t="shared" si="78"/>
        <v>889886210.55624712</v>
      </c>
      <c r="CE64" s="356">
        <f t="shared" si="78"/>
        <v>889886210.55624712</v>
      </c>
      <c r="CF64" s="356">
        <f t="shared" si="78"/>
        <v>889886210.55624712</v>
      </c>
      <c r="CG64" s="356">
        <f t="shared" si="78"/>
        <v>889886210.55624712</v>
      </c>
      <c r="CH64" s="356">
        <f t="shared" si="78"/>
        <v>889886210.55624712</v>
      </c>
      <c r="CI64" s="356">
        <f t="shared" si="78"/>
        <v>889886210.55624712</v>
      </c>
      <c r="CJ64" s="356">
        <f t="shared" si="78"/>
        <v>889886210.55624712</v>
      </c>
      <c r="CK64" s="356">
        <f t="shared" si="78"/>
        <v>889886210.55624712</v>
      </c>
      <c r="CL64" s="356">
        <f t="shared" si="78"/>
        <v>889886210.55624712</v>
      </c>
      <c r="CM64" s="356">
        <f t="shared" si="72"/>
        <v>889886210.55624557</v>
      </c>
      <c r="CN64" s="347"/>
      <c r="CO64" s="347"/>
      <c r="CP64" s="347"/>
      <c r="CQ64" s="347"/>
      <c r="CR64" s="347"/>
      <c r="CS64" s="347"/>
      <c r="CT64" s="347"/>
      <c r="CU64" s="347"/>
      <c r="CV64" s="347"/>
      <c r="CW64" s="347"/>
      <c r="CX64" s="347"/>
      <c r="CY64" s="347"/>
      <c r="CZ64" s="347"/>
      <c r="DA64" s="347"/>
      <c r="DB64" s="347"/>
      <c r="DC64" s="347"/>
      <c r="DD64" s="347"/>
      <c r="DE64" s="347"/>
      <c r="DF64" s="347"/>
      <c r="DG64" s="347"/>
      <c r="DH64" s="347"/>
      <c r="DI64" s="347"/>
      <c r="DJ64" s="347"/>
      <c r="DK64" s="347"/>
      <c r="DL64" s="347"/>
      <c r="DM64" s="347"/>
      <c r="DN64" s="347"/>
      <c r="DO64" s="347"/>
      <c r="DP64" s="347"/>
      <c r="DQ64" s="347"/>
      <c r="DR64" s="347"/>
      <c r="DS64" s="347"/>
      <c r="DT64" s="347"/>
      <c r="DU64" s="347"/>
      <c r="DV64" s="347"/>
      <c r="DW64" s="347"/>
      <c r="DX64" s="347"/>
      <c r="DY64" s="347"/>
      <c r="DZ64" s="347"/>
      <c r="EA64" s="347"/>
      <c r="EB64" s="347"/>
      <c r="EC64" s="347"/>
      <c r="ED64" s="347"/>
      <c r="EE64" s="347"/>
      <c r="EF64" s="347"/>
      <c r="EG64" s="347"/>
      <c r="EH64" s="347"/>
      <c r="EI64" s="347"/>
      <c r="EJ64" s="347"/>
      <c r="EK64" s="347"/>
      <c r="EL64" s="347"/>
      <c r="EM64" s="347"/>
      <c r="EN64" s="347"/>
      <c r="EO64" s="347"/>
      <c r="EP64" s="347"/>
      <c r="EQ64" s="347"/>
      <c r="ER64" s="347"/>
      <c r="ES64" s="347"/>
      <c r="ET64" s="347"/>
      <c r="EU64" s="347"/>
      <c r="EV64" s="347"/>
      <c r="EW64" s="347"/>
      <c r="EX64" s="347"/>
      <c r="EY64" s="347"/>
      <c r="EZ64" s="347"/>
      <c r="FA64" s="347"/>
      <c r="FB64" s="347"/>
      <c r="FC64" s="347"/>
      <c r="FD64" s="347"/>
      <c r="FE64" s="347"/>
      <c r="FF64" s="347"/>
      <c r="FG64" s="347"/>
      <c r="FH64" s="347"/>
      <c r="FI64" s="347"/>
      <c r="FJ64" s="347"/>
      <c r="FK64" s="347"/>
      <c r="FL64" s="347"/>
      <c r="FM64" s="347"/>
      <c r="FN64" s="347"/>
      <c r="FO64" s="347"/>
      <c r="FP64" s="347"/>
      <c r="FQ64" s="347"/>
      <c r="FR64" s="347"/>
      <c r="FS64" s="347"/>
      <c r="FT64" s="347"/>
      <c r="FU64" s="347"/>
      <c r="FV64" s="347"/>
    </row>
    <row r="65" spans="1:178">
      <c r="A65" s="1402"/>
      <c r="B65" s="1402"/>
      <c r="C65" s="1402"/>
      <c r="D65" s="1402"/>
      <c r="E65" s="1403"/>
      <c r="F65" s="854" t="s">
        <v>217</v>
      </c>
      <c r="G65" s="963">
        <f t="shared" ref="G65:AS65" si="79">SUM(G60:G64)</f>
        <v>1846429798.6675501</v>
      </c>
      <c r="H65" s="963">
        <f t="shared" si="79"/>
        <v>1846429798.6675501</v>
      </c>
      <c r="I65" s="963">
        <f t="shared" si="79"/>
        <v>1846429798.6675501</v>
      </c>
      <c r="J65" s="963">
        <f t="shared" si="79"/>
        <v>1846431685.3520951</v>
      </c>
      <c r="K65" s="963">
        <f t="shared" si="79"/>
        <v>1846869104.1797223</v>
      </c>
      <c r="L65" s="963">
        <f t="shared" si="79"/>
        <v>1846869733.0745707</v>
      </c>
      <c r="M65" s="963">
        <f t="shared" si="79"/>
        <v>1846869733.0745707</v>
      </c>
      <c r="N65" s="963">
        <f t="shared" si="79"/>
        <v>1848098303.5414219</v>
      </c>
      <c r="O65" s="963">
        <f t="shared" si="79"/>
        <v>1846870361.969419</v>
      </c>
      <c r="P65" s="963">
        <f t="shared" si="79"/>
        <v>1848100661.8971033</v>
      </c>
      <c r="Q65" s="963">
        <f t="shared" si="79"/>
        <v>1849328603.4691076</v>
      </c>
      <c r="R65" s="963">
        <f t="shared" si="79"/>
        <v>1850556545.0411124</v>
      </c>
      <c r="S65" s="963">
        <f t="shared" si="79"/>
        <v>1851785115.5079632</v>
      </c>
      <c r="T65" s="963">
        <f t="shared" si="79"/>
        <v>1853015175.281261</v>
      </c>
      <c r="U65" s="963">
        <f t="shared" si="79"/>
        <v>1854243345.0450902</v>
      </c>
      <c r="V65" s="963">
        <f t="shared" si="79"/>
        <v>1855572116.6529245</v>
      </c>
      <c r="W65" s="963">
        <f t="shared" si="79"/>
        <v>1856763606.0440903</v>
      </c>
      <c r="X65" s="963">
        <f t="shared" si="79"/>
        <v>1857955095.4352541</v>
      </c>
      <c r="Y65" s="963">
        <f t="shared" si="79"/>
        <v>1859146584.8264198</v>
      </c>
      <c r="Z65" s="963">
        <f t="shared" si="79"/>
        <v>1860338074.2175856</v>
      </c>
      <c r="AA65" s="963">
        <f t="shared" si="79"/>
        <v>1861529563.6087494</v>
      </c>
      <c r="AB65" s="963">
        <f t="shared" si="79"/>
        <v>1862721052.9999151</v>
      </c>
      <c r="AC65" s="963">
        <f t="shared" si="79"/>
        <v>1863912542.3910809</v>
      </c>
      <c r="AD65" s="963">
        <f t="shared" si="79"/>
        <v>1865104031.7822447</v>
      </c>
      <c r="AE65" s="963">
        <f t="shared" si="79"/>
        <v>1866297181.8105302</v>
      </c>
      <c r="AF65" s="963">
        <f t="shared" si="79"/>
        <v>1867487010.5645742</v>
      </c>
      <c r="AG65" s="963">
        <f t="shared" si="79"/>
        <v>1868678918.0906496</v>
      </c>
      <c r="AH65" s="963">
        <f t="shared" si="79"/>
        <v>1869869989.3469057</v>
      </c>
      <c r="AI65" s="963">
        <f t="shared" si="79"/>
        <v>1871061478.7380695</v>
      </c>
      <c r="AJ65" s="963">
        <f t="shared" si="79"/>
        <v>1872252968.1292353</v>
      </c>
      <c r="AK65" s="963">
        <f t="shared" si="79"/>
        <v>1873444457.520401</v>
      </c>
      <c r="AL65" s="963">
        <f t="shared" si="79"/>
        <v>1874635946.9115648</v>
      </c>
      <c r="AM65" s="963">
        <f t="shared" si="79"/>
        <v>1875827436.3027306</v>
      </c>
      <c r="AN65" s="963">
        <f t="shared" si="79"/>
        <v>1877018925.6938944</v>
      </c>
      <c r="AO65" s="963">
        <f t="shared" si="79"/>
        <v>1878210415.0850601</v>
      </c>
      <c r="AP65" s="963">
        <f t="shared" si="79"/>
        <v>1879401904.4762254</v>
      </c>
      <c r="AQ65" s="963">
        <f t="shared" si="79"/>
        <v>1880593393.8673897</v>
      </c>
      <c r="AR65" s="963">
        <f t="shared" si="79"/>
        <v>1881784883.2585554</v>
      </c>
      <c r="AS65" s="963">
        <f t="shared" si="79"/>
        <v>1882976372.6497211</v>
      </c>
      <c r="AT65" s="963">
        <f>SUM(AT60:AT64)</f>
        <v>1748178487.9003136</v>
      </c>
      <c r="AU65" s="356">
        <f>SUM(AU60:AU64)</f>
        <v>1854503325.4206877</v>
      </c>
      <c r="AV65" s="356">
        <f t="shared" ref="AV65:CL65" si="80">SUM(AV60:AV64)</f>
        <v>1857658930.3321114</v>
      </c>
      <c r="AW65" s="356">
        <f t="shared" si="80"/>
        <v>1837429029.7813249</v>
      </c>
      <c r="AX65" s="356">
        <f t="shared" si="80"/>
        <v>1887059941.1729898</v>
      </c>
      <c r="AY65" s="356">
        <f t="shared" si="80"/>
        <v>1939450596.1634855</v>
      </c>
      <c r="AZ65" s="356">
        <f t="shared" si="80"/>
        <v>1954498149.2334948</v>
      </c>
      <c r="BA65" s="356">
        <f t="shared" si="80"/>
        <v>1964081755.9714751</v>
      </c>
      <c r="BB65" s="356">
        <f t="shared" si="80"/>
        <v>1953388296.2325692</v>
      </c>
      <c r="BC65" s="356">
        <f t="shared" si="80"/>
        <v>2002636326.3942423</v>
      </c>
      <c r="BD65" s="356">
        <f t="shared" si="80"/>
        <v>1963077968.2024341</v>
      </c>
      <c r="BE65" s="356">
        <f t="shared" si="80"/>
        <v>1922111554.2905655</v>
      </c>
      <c r="BF65" s="356">
        <f t="shared" si="80"/>
        <v>1915180354.8454094</v>
      </c>
      <c r="BG65" s="356">
        <f t="shared" si="80"/>
        <v>1966548838.6118045</v>
      </c>
      <c r="BH65" s="356">
        <f t="shared" si="80"/>
        <v>1895705532.8508406</v>
      </c>
      <c r="BI65" s="356">
        <f t="shared" si="80"/>
        <v>1827645160.7442727</v>
      </c>
      <c r="BJ65" s="356">
        <f t="shared" si="80"/>
        <v>1815742705.3775163</v>
      </c>
      <c r="BK65" s="356">
        <f t="shared" si="80"/>
        <v>1847364998.2920341</v>
      </c>
      <c r="BL65" s="356">
        <f t="shared" si="80"/>
        <v>1894511728.9945087</v>
      </c>
      <c r="BM65" s="356">
        <f t="shared" si="80"/>
        <v>1846113048.3330135</v>
      </c>
      <c r="BN65" s="356">
        <f t="shared" si="80"/>
        <v>1829343634.5806947</v>
      </c>
      <c r="BO65" s="356">
        <f t="shared" si="80"/>
        <v>1929801062.8492756</v>
      </c>
      <c r="BP65" s="356">
        <f t="shared" si="80"/>
        <v>1918779894.0052333</v>
      </c>
      <c r="BQ65" s="356">
        <f t="shared" si="80"/>
        <v>1979277220.0704074</v>
      </c>
      <c r="BR65" s="356">
        <f t="shared" si="80"/>
        <v>1883365567.2993369</v>
      </c>
      <c r="BS65" s="356">
        <f t="shared" si="80"/>
        <v>1859650189.6301346</v>
      </c>
      <c r="BT65" s="356">
        <f t="shared" si="80"/>
        <v>1705528254.2918677</v>
      </c>
      <c r="BU65" s="356">
        <f t="shared" si="80"/>
        <v>1795187232.3348794</v>
      </c>
      <c r="BV65" s="356">
        <f t="shared" si="80"/>
        <v>1773252570.4290614</v>
      </c>
      <c r="BW65" s="356">
        <f t="shared" si="80"/>
        <v>1648763553.9154241</v>
      </c>
      <c r="BX65" s="356">
        <f t="shared" si="80"/>
        <v>1633956337.0113287</v>
      </c>
      <c r="BY65" s="356">
        <f t="shared" si="80"/>
        <v>1686721895.0464811</v>
      </c>
      <c r="BZ65" s="356">
        <f t="shared" si="80"/>
        <v>1750568973.3705964</v>
      </c>
      <c r="CA65" s="356">
        <f t="shared" si="80"/>
        <v>1772199317.5513554</v>
      </c>
      <c r="CB65" s="356">
        <f t="shared" si="80"/>
        <v>1818388297.5509667</v>
      </c>
      <c r="CC65" s="356">
        <f t="shared" si="80"/>
        <v>1858821283.7593474</v>
      </c>
      <c r="CD65" s="356">
        <f t="shared" si="80"/>
        <v>1939514736.8428607</v>
      </c>
      <c r="CE65" s="356">
        <f t="shared" si="80"/>
        <v>2048940273.0319247</v>
      </c>
      <c r="CF65" s="356">
        <f t="shared" si="80"/>
        <v>1966499087.4737744</v>
      </c>
      <c r="CG65" s="356">
        <f t="shared" si="80"/>
        <v>1861364938.8160233</v>
      </c>
      <c r="CH65" s="356">
        <f t="shared" si="80"/>
        <v>1855904233.6166697</v>
      </c>
      <c r="CI65" s="356">
        <f t="shared" si="80"/>
        <v>1904513200.9931154</v>
      </c>
      <c r="CJ65" s="356">
        <f t="shared" si="80"/>
        <v>1978975934.5169396</v>
      </c>
      <c r="CK65" s="356">
        <f t="shared" si="80"/>
        <v>2079826186.2302337</v>
      </c>
      <c r="CL65" s="356">
        <f t="shared" si="80"/>
        <v>2140287867.4338188</v>
      </c>
      <c r="CM65" s="356">
        <f t="shared" si="72"/>
        <v>1870276549.8290079</v>
      </c>
      <c r="CN65" s="347"/>
      <c r="CO65" s="347"/>
      <c r="CP65" s="347"/>
      <c r="CQ65" s="347"/>
      <c r="CR65" s="347"/>
      <c r="CS65" s="347"/>
      <c r="CT65" s="347"/>
      <c r="CU65" s="347"/>
      <c r="CV65" s="347"/>
      <c r="CW65" s="347"/>
      <c r="CX65" s="347"/>
      <c r="CY65" s="347"/>
      <c r="CZ65" s="347"/>
      <c r="DA65" s="347"/>
      <c r="DB65" s="347"/>
      <c r="DC65" s="347"/>
      <c r="DD65" s="347"/>
      <c r="DE65" s="347"/>
      <c r="DF65" s="347"/>
      <c r="DG65" s="347"/>
      <c r="DH65" s="347"/>
      <c r="DI65" s="347"/>
      <c r="DJ65" s="347"/>
      <c r="DK65" s="347"/>
      <c r="DL65" s="347"/>
      <c r="DM65" s="347"/>
      <c r="DN65" s="347"/>
      <c r="DO65" s="347"/>
      <c r="DP65" s="347"/>
      <c r="DQ65" s="347"/>
      <c r="DR65" s="347"/>
      <c r="DS65" s="347"/>
      <c r="DT65" s="347"/>
      <c r="DU65" s="347"/>
      <c r="DV65" s="347"/>
      <c r="DW65" s="347"/>
      <c r="DX65" s="347"/>
      <c r="DY65" s="347"/>
      <c r="DZ65" s="347"/>
      <c r="EA65" s="347"/>
      <c r="EB65" s="347"/>
      <c r="EC65" s="347"/>
      <c r="ED65" s="347"/>
      <c r="EE65" s="347"/>
      <c r="EF65" s="347"/>
      <c r="EG65" s="347"/>
      <c r="EH65" s="347"/>
      <c r="EI65" s="347"/>
      <c r="EJ65" s="347"/>
      <c r="EK65" s="347"/>
      <c r="EL65" s="347"/>
      <c r="EM65" s="347"/>
      <c r="EN65" s="347"/>
      <c r="EO65" s="347"/>
      <c r="EP65" s="347"/>
      <c r="EQ65" s="347"/>
      <c r="ER65" s="347"/>
      <c r="ES65" s="347"/>
      <c r="ET65" s="347"/>
      <c r="EU65" s="347"/>
      <c r="EV65" s="347"/>
      <c r="EW65" s="347"/>
      <c r="EX65" s="347"/>
      <c r="EY65" s="347"/>
      <c r="EZ65" s="347"/>
      <c r="FA65" s="347"/>
      <c r="FB65" s="347"/>
      <c r="FC65" s="347"/>
      <c r="FD65" s="347"/>
      <c r="FE65" s="347"/>
      <c r="FF65" s="347"/>
      <c r="FG65" s="347"/>
      <c r="FH65" s="347"/>
      <c r="FI65" s="347"/>
      <c r="FJ65" s="347"/>
      <c r="FK65" s="347"/>
      <c r="FL65" s="347"/>
      <c r="FM65" s="347"/>
      <c r="FN65" s="347"/>
      <c r="FO65" s="347"/>
      <c r="FP65" s="347"/>
      <c r="FQ65" s="347"/>
      <c r="FR65" s="347"/>
      <c r="FS65" s="347"/>
      <c r="FT65" s="347"/>
      <c r="FU65" s="347"/>
      <c r="FV65" s="347"/>
    </row>
    <row r="66" spans="1:178">
      <c r="A66" s="1402"/>
      <c r="B66" s="1402"/>
      <c r="C66" s="1402"/>
      <c r="D66" s="1402"/>
      <c r="E66" s="1403"/>
      <c r="F66" s="854" t="s">
        <v>218</v>
      </c>
      <c r="G66" s="963">
        <f t="shared" ref="G66:BR66" si="81">(0.101511101973684*G17*0.85*G3/0.685)+(0.20964*G16*0.5/0.82)</f>
        <v>264232975.94423348</v>
      </c>
      <c r="H66" s="963">
        <f t="shared" si="81"/>
        <v>220436242.69847563</v>
      </c>
      <c r="I66" s="963">
        <f t="shared" si="81"/>
        <v>202131881.7784602</v>
      </c>
      <c r="J66" s="963">
        <f t="shared" si="81"/>
        <v>154646000.29732379</v>
      </c>
      <c r="K66" s="963">
        <f t="shared" si="81"/>
        <v>163562824.52519771</v>
      </c>
      <c r="L66" s="963">
        <f t="shared" si="81"/>
        <v>183044397.51130563</v>
      </c>
      <c r="M66" s="963">
        <f t="shared" si="81"/>
        <v>169053554.78005236</v>
      </c>
      <c r="N66" s="963">
        <f t="shared" si="81"/>
        <v>173707247.67726973</v>
      </c>
      <c r="O66" s="963">
        <f t="shared" si="81"/>
        <v>151434070.91700709</v>
      </c>
      <c r="P66" s="963">
        <f t="shared" si="81"/>
        <v>147268854.23512062</v>
      </c>
      <c r="Q66" s="963">
        <f t="shared" si="81"/>
        <v>139177885.25787273</v>
      </c>
      <c r="R66" s="963">
        <f t="shared" si="81"/>
        <v>122160724.51553436</v>
      </c>
      <c r="S66" s="963">
        <f t="shared" si="81"/>
        <v>137210657.34900051</v>
      </c>
      <c r="T66" s="963">
        <f t="shared" si="81"/>
        <v>153089883.89205441</v>
      </c>
      <c r="U66" s="963">
        <f t="shared" si="81"/>
        <v>179285849.60908931</v>
      </c>
      <c r="V66" s="963">
        <f t="shared" si="81"/>
        <v>136266255.52706578</v>
      </c>
      <c r="W66" s="963">
        <f t="shared" si="81"/>
        <v>113797444.4438038</v>
      </c>
      <c r="X66" s="963">
        <f t="shared" si="81"/>
        <v>113136425.00813374</v>
      </c>
      <c r="Y66" s="963">
        <f t="shared" si="81"/>
        <v>124613594.3248117</v>
      </c>
      <c r="Z66" s="963">
        <f t="shared" si="81"/>
        <v>127380516.38739513</v>
      </c>
      <c r="AA66" s="963">
        <f t="shared" si="81"/>
        <v>129819853.59690313</v>
      </c>
      <c r="AB66" s="963">
        <f t="shared" si="81"/>
        <v>115675207.61946824</v>
      </c>
      <c r="AC66" s="963">
        <f t="shared" si="81"/>
        <v>111685692.08737122</v>
      </c>
      <c r="AD66" s="963">
        <f t="shared" si="81"/>
        <v>115277426.01216237</v>
      </c>
      <c r="AE66" s="963">
        <f t="shared" si="81"/>
        <v>132791516.19265868</v>
      </c>
      <c r="AF66" s="963">
        <f t="shared" si="81"/>
        <v>154804048.3734228</v>
      </c>
      <c r="AG66" s="963">
        <f t="shared" si="81"/>
        <v>150715087.43949929</v>
      </c>
      <c r="AH66" s="963">
        <f t="shared" si="81"/>
        <v>173230696.35891491</v>
      </c>
      <c r="AI66" s="963">
        <f t="shared" si="81"/>
        <v>199601277.03148586</v>
      </c>
      <c r="AJ66" s="963">
        <f t="shared" si="81"/>
        <v>184590871.08520877</v>
      </c>
      <c r="AK66" s="963">
        <f t="shared" si="81"/>
        <v>162051863.24771637</v>
      </c>
      <c r="AL66" s="963">
        <f t="shared" si="81"/>
        <v>145099347.10106361</v>
      </c>
      <c r="AM66" s="963">
        <f t="shared" si="81"/>
        <v>145157844.39625564</v>
      </c>
      <c r="AN66" s="963">
        <f t="shared" si="81"/>
        <v>129890050.35113358</v>
      </c>
      <c r="AO66" s="963">
        <f t="shared" si="81"/>
        <v>157237535.85341159</v>
      </c>
      <c r="AP66" s="963">
        <f t="shared" si="81"/>
        <v>181121981.4803209</v>
      </c>
      <c r="AQ66" s="963">
        <f t="shared" si="81"/>
        <v>218642146.61649442</v>
      </c>
      <c r="AR66" s="963">
        <f t="shared" si="81"/>
        <v>218063023.39409319</v>
      </c>
      <c r="AS66" s="963">
        <f t="shared" si="81"/>
        <v>221379820.0314818</v>
      </c>
      <c r="AT66" s="963">
        <f t="shared" si="81"/>
        <v>219788693.60225835</v>
      </c>
      <c r="AU66" s="356">
        <f t="shared" si="81"/>
        <v>198214891.13543454</v>
      </c>
      <c r="AV66" s="356">
        <f t="shared" si="81"/>
        <v>182718957.63906354</v>
      </c>
      <c r="AW66" s="356">
        <f t="shared" si="81"/>
        <v>182859351.14752448</v>
      </c>
      <c r="AX66" s="356">
        <f t="shared" si="81"/>
        <v>197349131.16659239</v>
      </c>
      <c r="AY66" s="356">
        <f t="shared" si="81"/>
        <v>222532216.74676496</v>
      </c>
      <c r="AZ66" s="356">
        <f t="shared" si="81"/>
        <v>222900749.70647481</v>
      </c>
      <c r="BA66" s="356">
        <f t="shared" si="81"/>
        <v>236963499.47064087</v>
      </c>
      <c r="BB66" s="356">
        <f t="shared" si="81"/>
        <v>253091203.75508586</v>
      </c>
      <c r="BC66" s="356">
        <f t="shared" si="81"/>
        <v>281286900.0376485</v>
      </c>
      <c r="BD66" s="356">
        <f t="shared" si="81"/>
        <v>225076849.08761859</v>
      </c>
      <c r="BE66" s="356">
        <f t="shared" si="81"/>
        <v>184315933.79780623</v>
      </c>
      <c r="BF66" s="356">
        <f t="shared" si="81"/>
        <v>178027474.56466207</v>
      </c>
      <c r="BG66" s="356">
        <f t="shared" si="81"/>
        <v>183157687.35300383</v>
      </c>
      <c r="BH66" s="356">
        <f t="shared" si="81"/>
        <v>198975355.97293106</v>
      </c>
      <c r="BI66" s="356">
        <f t="shared" si="81"/>
        <v>209013491.82788485</v>
      </c>
      <c r="BJ66" s="356">
        <f t="shared" si="81"/>
        <v>214272398.66564912</v>
      </c>
      <c r="BK66" s="356">
        <f t="shared" si="81"/>
        <v>174687279.00919664</v>
      </c>
      <c r="BL66" s="356">
        <f t="shared" si="81"/>
        <v>150978325.26786345</v>
      </c>
      <c r="BM66" s="356">
        <f t="shared" si="81"/>
        <v>153961687.32265744</v>
      </c>
      <c r="BN66" s="356">
        <f t="shared" si="81"/>
        <v>145467880.06077343</v>
      </c>
      <c r="BO66" s="356">
        <f t="shared" si="81"/>
        <v>174201751.45910275</v>
      </c>
      <c r="BP66" s="356">
        <f t="shared" si="81"/>
        <v>180104128.54397947</v>
      </c>
      <c r="BQ66" s="356">
        <f t="shared" si="81"/>
        <v>183257132.7548303</v>
      </c>
      <c r="BR66" s="356">
        <f t="shared" si="81"/>
        <v>235559564.38603196</v>
      </c>
      <c r="BS66" s="356">
        <f t="shared" ref="BS66:CL66" si="82">(0.101511101973684*BS17*0.85*BS3/0.685)+(0.20964*BS16*0.5/0.82)</f>
        <v>212312739.27671582</v>
      </c>
      <c r="BT66" s="356">
        <f t="shared" si="82"/>
        <v>188217703.38711518</v>
      </c>
      <c r="BU66" s="356">
        <f t="shared" si="82"/>
        <v>102484067.55366354</v>
      </c>
      <c r="BV66" s="356">
        <f t="shared" si="82"/>
        <v>150668289.60334563</v>
      </c>
      <c r="BW66" s="356">
        <f t="shared" si="82"/>
        <v>155125783.496979</v>
      </c>
      <c r="BX66" s="356">
        <f t="shared" si="82"/>
        <v>157717213.67398632</v>
      </c>
      <c r="BY66" s="356">
        <f t="shared" si="82"/>
        <v>158869610.38926944</v>
      </c>
      <c r="BZ66" s="356">
        <f t="shared" si="82"/>
        <v>156869002.89370173</v>
      </c>
      <c r="CA66" s="356">
        <f t="shared" si="82"/>
        <v>161624832.99281445</v>
      </c>
      <c r="CB66" s="356">
        <f t="shared" si="82"/>
        <v>186468634.26087323</v>
      </c>
      <c r="CC66" s="356">
        <f t="shared" si="82"/>
        <v>193646252.38093632</v>
      </c>
      <c r="CD66" s="356">
        <f t="shared" si="82"/>
        <v>235126684.40161085</v>
      </c>
      <c r="CE66" s="356">
        <f t="shared" si="82"/>
        <v>258315012.2157349</v>
      </c>
      <c r="CF66" s="356">
        <f t="shared" si="82"/>
        <v>266188748.14858329</v>
      </c>
      <c r="CG66" s="356">
        <f t="shared" si="82"/>
        <v>244059221.37743512</v>
      </c>
      <c r="CH66" s="356">
        <f t="shared" si="82"/>
        <v>211236389.04518232</v>
      </c>
      <c r="CI66" s="356">
        <f t="shared" si="82"/>
        <v>228697831.66000581</v>
      </c>
      <c r="CJ66" s="356">
        <f t="shared" si="82"/>
        <v>270102217.19693071</v>
      </c>
      <c r="CK66" s="356">
        <f t="shared" si="82"/>
        <v>285568902.04570568</v>
      </c>
      <c r="CL66" s="356">
        <f t="shared" si="82"/>
        <v>286522407.95733589</v>
      </c>
      <c r="CM66" s="356">
        <f t="shared" si="72"/>
        <v>182393531.58794859</v>
      </c>
      <c r="CN66" s="347"/>
      <c r="CO66" s="347"/>
      <c r="CP66" s="347"/>
      <c r="CQ66" s="347"/>
      <c r="CR66" s="347"/>
      <c r="CS66" s="347"/>
      <c r="CT66" s="347"/>
      <c r="CU66" s="347"/>
      <c r="CV66" s="347"/>
      <c r="CW66" s="347"/>
      <c r="CX66" s="347"/>
      <c r="CY66" s="347"/>
      <c r="CZ66" s="347"/>
      <c r="DA66" s="347"/>
      <c r="DB66" s="347"/>
      <c r="DC66" s="347"/>
      <c r="DD66" s="347"/>
      <c r="DE66" s="347"/>
      <c r="DF66" s="347"/>
      <c r="DG66" s="347"/>
      <c r="DH66" s="347"/>
      <c r="DI66" s="347"/>
      <c r="DJ66" s="347"/>
      <c r="DK66" s="347"/>
      <c r="DL66" s="347"/>
      <c r="DM66" s="347"/>
      <c r="DN66" s="347"/>
      <c r="DO66" s="347"/>
      <c r="DP66" s="347"/>
      <c r="DQ66" s="347"/>
      <c r="DR66" s="347"/>
      <c r="DS66" s="347"/>
      <c r="DT66" s="347"/>
      <c r="DU66" s="347"/>
      <c r="DV66" s="347"/>
      <c r="DW66" s="347"/>
      <c r="DX66" s="347"/>
      <c r="DY66" s="347"/>
      <c r="DZ66" s="347"/>
      <c r="EA66" s="347"/>
      <c r="EB66" s="347"/>
      <c r="EC66" s="347"/>
      <c r="ED66" s="347"/>
      <c r="EE66" s="347"/>
      <c r="EF66" s="347"/>
      <c r="EG66" s="347"/>
      <c r="EH66" s="347"/>
      <c r="EI66" s="347"/>
      <c r="EJ66" s="347"/>
      <c r="EK66" s="347"/>
      <c r="EL66" s="347"/>
      <c r="EM66" s="347"/>
      <c r="EN66" s="347"/>
      <c r="EO66" s="347"/>
      <c r="EP66" s="347"/>
      <c r="EQ66" s="347"/>
      <c r="ER66" s="347"/>
      <c r="ES66" s="347"/>
      <c r="ET66" s="347"/>
      <c r="EU66" s="347"/>
      <c r="EV66" s="347"/>
      <c r="EW66" s="347"/>
      <c r="EX66" s="347"/>
      <c r="EY66" s="347"/>
      <c r="EZ66" s="347"/>
      <c r="FA66" s="347"/>
      <c r="FB66" s="347"/>
      <c r="FC66" s="347"/>
      <c r="FD66" s="347"/>
      <c r="FE66" s="347"/>
      <c r="FF66" s="347"/>
      <c r="FG66" s="347"/>
      <c r="FH66" s="347"/>
      <c r="FI66" s="347"/>
      <c r="FJ66" s="347"/>
      <c r="FK66" s="347"/>
      <c r="FL66" s="347"/>
      <c r="FM66" s="347"/>
      <c r="FN66" s="347"/>
      <c r="FO66" s="347"/>
      <c r="FP66" s="347"/>
      <c r="FQ66" s="347"/>
      <c r="FR66" s="347"/>
      <c r="FS66" s="347"/>
      <c r="FT66" s="347"/>
      <c r="FU66" s="347"/>
      <c r="FV66" s="347"/>
    </row>
    <row r="67" spans="1:178">
      <c r="A67" s="1402"/>
      <c r="B67" s="1402"/>
      <c r="C67" s="1402"/>
      <c r="D67" s="1402"/>
      <c r="E67" s="1403"/>
      <c r="F67" s="854" t="s">
        <v>219</v>
      </c>
      <c r="G67" s="963">
        <f t="shared" ref="G67:BR67" si="83">G46+G47+G48+G49+G65+G66</f>
        <v>12538181327.404411</v>
      </c>
      <c r="H67" s="963">
        <f t="shared" si="83"/>
        <v>11432040733.157852</v>
      </c>
      <c r="I67" s="963">
        <f t="shared" si="83"/>
        <v>10155293203.920736</v>
      </c>
      <c r="J67" s="963">
        <f t="shared" si="83"/>
        <v>8604564459.0706902</v>
      </c>
      <c r="K67" s="963">
        <f t="shared" si="83"/>
        <v>9627746549.7967758</v>
      </c>
      <c r="L67" s="963">
        <f t="shared" si="83"/>
        <v>9849314988.0175991</v>
      </c>
      <c r="M67" s="963">
        <f t="shared" si="83"/>
        <v>9927919234.9788055</v>
      </c>
      <c r="N67" s="963">
        <f t="shared" si="83"/>
        <v>10282467842.944366</v>
      </c>
      <c r="O67" s="963">
        <f t="shared" si="83"/>
        <v>9809945808.2391167</v>
      </c>
      <c r="P67" s="963">
        <f t="shared" si="83"/>
        <v>9093602459.7765102</v>
      </c>
      <c r="Q67" s="963">
        <f t="shared" si="83"/>
        <v>8565285242.2536926</v>
      </c>
      <c r="R67" s="963">
        <f t="shared" si="83"/>
        <v>8566153191.152894</v>
      </c>
      <c r="S67" s="963">
        <f t="shared" si="83"/>
        <v>8889961735.0320244</v>
      </c>
      <c r="T67" s="963">
        <f t="shared" si="83"/>
        <v>9179068939.0361481</v>
      </c>
      <c r="U67" s="963">
        <f t="shared" si="83"/>
        <v>9102796425.7232037</v>
      </c>
      <c r="V67" s="963">
        <f t="shared" si="83"/>
        <v>7872213500.5714054</v>
      </c>
      <c r="W67" s="963">
        <f t="shared" si="83"/>
        <v>7411670672.2733326</v>
      </c>
      <c r="X67" s="963">
        <f t="shared" si="83"/>
        <v>7712857539.1869135</v>
      </c>
      <c r="Y67" s="963">
        <f t="shared" si="83"/>
        <v>8046349568.6193428</v>
      </c>
      <c r="Z67" s="963">
        <f t="shared" si="83"/>
        <v>8277909319.2388506</v>
      </c>
      <c r="AA67" s="963">
        <f t="shared" si="83"/>
        <v>8429678642.2628059</v>
      </c>
      <c r="AB67" s="963">
        <f t="shared" si="83"/>
        <v>7894747083.9940844</v>
      </c>
      <c r="AC67" s="963">
        <f t="shared" si="83"/>
        <v>7664255873.0257387</v>
      </c>
      <c r="AD67" s="963">
        <f t="shared" si="83"/>
        <v>7955295708.9686737</v>
      </c>
      <c r="AE67" s="963">
        <f t="shared" si="83"/>
        <v>8532561509.6374807</v>
      </c>
      <c r="AF67" s="963">
        <f t="shared" si="83"/>
        <v>8855933816.6968498</v>
      </c>
      <c r="AG67" s="963">
        <f t="shared" si="83"/>
        <v>9174600986.7124329</v>
      </c>
      <c r="AH67" s="963">
        <f t="shared" si="83"/>
        <v>9845746020.8317089</v>
      </c>
      <c r="AI67" s="963">
        <f t="shared" si="83"/>
        <v>10221851714.245966</v>
      </c>
      <c r="AJ67" s="963">
        <f t="shared" si="83"/>
        <v>9482612534.6324387</v>
      </c>
      <c r="AK67" s="963">
        <f t="shared" si="83"/>
        <v>9166172437.6048946</v>
      </c>
      <c r="AL67" s="963">
        <f t="shared" si="83"/>
        <v>8610264531.0163918</v>
      </c>
      <c r="AM67" s="963">
        <f t="shared" si="83"/>
        <v>8325254109.5539865</v>
      </c>
      <c r="AN67" s="963">
        <f t="shared" si="83"/>
        <v>8196814244.2031736</v>
      </c>
      <c r="AO67" s="963">
        <f t="shared" si="83"/>
        <v>8912301825.1600342</v>
      </c>
      <c r="AP67" s="963">
        <f t="shared" si="83"/>
        <v>9635143315.775301</v>
      </c>
      <c r="AQ67" s="963">
        <f t="shared" si="83"/>
        <v>10434591560.02043</v>
      </c>
      <c r="AR67" s="963">
        <f t="shared" si="83"/>
        <v>10945978494.216923</v>
      </c>
      <c r="AS67" s="963">
        <f t="shared" si="83"/>
        <v>10945040893.178991</v>
      </c>
      <c r="AT67" s="963">
        <f t="shared" si="83"/>
        <v>10862962304.2586</v>
      </c>
      <c r="AU67" s="356">
        <f t="shared" si="83"/>
        <v>10358325462.810946</v>
      </c>
      <c r="AV67" s="356">
        <f t="shared" si="83"/>
        <v>10299637862.212833</v>
      </c>
      <c r="AW67" s="356">
        <f t="shared" si="83"/>
        <v>10682414903.415691</v>
      </c>
      <c r="AX67" s="356">
        <f t="shared" si="83"/>
        <v>11710783273.974342</v>
      </c>
      <c r="AY67" s="356">
        <f t="shared" si="83"/>
        <v>11841279061.31879</v>
      </c>
      <c r="AZ67" s="356">
        <f t="shared" si="83"/>
        <v>12074872106.533108</v>
      </c>
      <c r="BA67" s="356">
        <f t="shared" si="83"/>
        <v>12383354897.838888</v>
      </c>
      <c r="BB67" s="356">
        <f t="shared" si="83"/>
        <v>13131520032.44462</v>
      </c>
      <c r="BC67" s="356">
        <f t="shared" si="83"/>
        <v>13643684628.166948</v>
      </c>
      <c r="BD67" s="356">
        <f t="shared" si="83"/>
        <v>11080253363.179781</v>
      </c>
      <c r="BE67" s="356">
        <f t="shared" si="83"/>
        <v>9926148509.265028</v>
      </c>
      <c r="BF67" s="356">
        <f t="shared" si="83"/>
        <v>9864865976.3475227</v>
      </c>
      <c r="BG67" s="356">
        <f t="shared" si="83"/>
        <v>10481312609.628038</v>
      </c>
      <c r="BH67" s="356">
        <f t="shared" si="83"/>
        <v>10804736175.634045</v>
      </c>
      <c r="BI67" s="356">
        <f t="shared" si="83"/>
        <v>11232058251.102541</v>
      </c>
      <c r="BJ67" s="356">
        <f t="shared" si="83"/>
        <v>11003838983.835314</v>
      </c>
      <c r="BK67" s="356">
        <f t="shared" si="83"/>
        <v>9729988974.0594788</v>
      </c>
      <c r="BL67" s="356">
        <f t="shared" si="83"/>
        <v>9760020629.9449959</v>
      </c>
      <c r="BM67" s="356">
        <f t="shared" si="83"/>
        <v>9470699460.679884</v>
      </c>
      <c r="BN67" s="356">
        <f t="shared" si="83"/>
        <v>9650205409.9867992</v>
      </c>
      <c r="BO67" s="356">
        <f t="shared" si="83"/>
        <v>10166059380.134167</v>
      </c>
      <c r="BP67" s="356">
        <f t="shared" si="83"/>
        <v>10565005827.083958</v>
      </c>
      <c r="BQ67" s="356">
        <f t="shared" si="83"/>
        <v>10928821430.955002</v>
      </c>
      <c r="BR67" s="356">
        <f t="shared" si="83"/>
        <v>11391322485.12499</v>
      </c>
      <c r="BS67" s="356">
        <f t="shared" ref="BS67:CM67" si="84">BS46+BS47+BS48+BS49+BS65+BS66</f>
        <v>10452968339.200661</v>
      </c>
      <c r="BT67" s="356">
        <f t="shared" si="84"/>
        <v>8062782249.7833481</v>
      </c>
      <c r="BU67" s="356">
        <f t="shared" si="84"/>
        <v>5394480200.2164249</v>
      </c>
      <c r="BV67" s="356">
        <f t="shared" si="84"/>
        <v>6930002869.4157143</v>
      </c>
      <c r="BW67" s="356">
        <f t="shared" si="84"/>
        <v>8342904461.5996561</v>
      </c>
      <c r="BX67" s="356">
        <f t="shared" si="84"/>
        <v>8713196011.391592</v>
      </c>
      <c r="BY67" s="356">
        <f t="shared" si="84"/>
        <v>8693698917.8000584</v>
      </c>
      <c r="BZ67" s="356">
        <f t="shared" si="84"/>
        <v>8723924919.7502308</v>
      </c>
      <c r="CA67" s="356">
        <f t="shared" si="84"/>
        <v>8664043189.4304409</v>
      </c>
      <c r="CB67" s="356">
        <f t="shared" si="84"/>
        <v>8987833175.1511078</v>
      </c>
      <c r="CC67" s="356">
        <f t="shared" si="84"/>
        <v>9700868775.8014851</v>
      </c>
      <c r="CD67" s="356">
        <f t="shared" si="84"/>
        <v>11039063317.036308</v>
      </c>
      <c r="CE67" s="356">
        <f t="shared" si="84"/>
        <v>11976473068.875536</v>
      </c>
      <c r="CF67" s="356">
        <f t="shared" si="84"/>
        <v>12230349273.868994</v>
      </c>
      <c r="CG67" s="356">
        <f t="shared" si="84"/>
        <v>11699654299.024073</v>
      </c>
      <c r="CH67" s="356">
        <f t="shared" si="84"/>
        <v>11490038448.81661</v>
      </c>
      <c r="CI67" s="356">
        <f t="shared" si="84"/>
        <v>12281751302.723944</v>
      </c>
      <c r="CJ67" s="356">
        <f t="shared" si="84"/>
        <v>13411273088.18354</v>
      </c>
      <c r="CK67" s="356">
        <f t="shared" si="84"/>
        <v>13258511870.237072</v>
      </c>
      <c r="CL67" s="356">
        <f t="shared" si="84"/>
        <v>13689058382.220303</v>
      </c>
      <c r="CM67" s="356">
        <f t="shared" si="84"/>
        <v>9940014716.6975727</v>
      </c>
      <c r="CN67" s="347"/>
      <c r="CO67" s="347"/>
      <c r="CP67" s="347"/>
      <c r="CQ67" s="347"/>
      <c r="CR67" s="347"/>
      <c r="CS67" s="347"/>
      <c r="CT67" s="347"/>
      <c r="CU67" s="347"/>
      <c r="CV67" s="347"/>
      <c r="CW67" s="347"/>
      <c r="CX67" s="347"/>
      <c r="CY67" s="347"/>
      <c r="CZ67" s="347"/>
      <c r="DA67" s="347"/>
      <c r="DB67" s="347"/>
      <c r="DC67" s="347"/>
      <c r="DD67" s="347"/>
      <c r="DE67" s="347"/>
      <c r="DF67" s="347"/>
      <c r="DG67" s="347"/>
      <c r="DH67" s="347"/>
      <c r="DI67" s="347"/>
      <c r="DJ67" s="347"/>
      <c r="DK67" s="347"/>
      <c r="DL67" s="347"/>
      <c r="DM67" s="347"/>
      <c r="DN67" s="347"/>
      <c r="DO67" s="347"/>
      <c r="DP67" s="347"/>
      <c r="DQ67" s="347"/>
      <c r="DR67" s="347"/>
      <c r="DS67" s="347"/>
      <c r="DT67" s="347"/>
      <c r="DU67" s="347"/>
      <c r="DV67" s="347"/>
      <c r="DW67" s="347"/>
      <c r="DX67" s="347"/>
      <c r="DY67" s="347"/>
      <c r="DZ67" s="347"/>
      <c r="EA67" s="347"/>
      <c r="EB67" s="347"/>
      <c r="EC67" s="347"/>
      <c r="ED67" s="347"/>
      <c r="EE67" s="347"/>
      <c r="EF67" s="347"/>
      <c r="EG67" s="347"/>
      <c r="EH67" s="347"/>
      <c r="EI67" s="347"/>
      <c r="EJ67" s="347"/>
      <c r="EK67" s="347"/>
      <c r="EL67" s="347"/>
      <c r="EM67" s="347"/>
      <c r="EN67" s="347"/>
      <c r="EO67" s="347"/>
      <c r="EP67" s="347"/>
      <c r="EQ67" s="347"/>
      <c r="ER67" s="347"/>
      <c r="ES67" s="347"/>
      <c r="ET67" s="347"/>
      <c r="EU67" s="347"/>
      <c r="EV67" s="347"/>
      <c r="EW67" s="347"/>
      <c r="EX67" s="347"/>
      <c r="EY67" s="347"/>
      <c r="EZ67" s="347"/>
      <c r="FA67" s="347"/>
      <c r="FB67" s="347"/>
      <c r="FC67" s="347"/>
      <c r="FD67" s="347"/>
      <c r="FE67" s="347"/>
      <c r="FF67" s="347"/>
      <c r="FG67" s="347"/>
      <c r="FH67" s="347"/>
      <c r="FI67" s="347"/>
      <c r="FJ67" s="347"/>
      <c r="FK67" s="347"/>
      <c r="FL67" s="347"/>
      <c r="FM67" s="347"/>
      <c r="FN67" s="347"/>
      <c r="FO67" s="347"/>
      <c r="FP67" s="347"/>
      <c r="FQ67" s="347"/>
      <c r="FR67" s="347"/>
      <c r="FS67" s="347"/>
      <c r="FT67" s="347"/>
      <c r="FU67" s="347"/>
      <c r="FV67" s="347"/>
    </row>
    <row r="68" spans="1:178" ht="63.75" customHeight="1">
      <c r="A68" s="1402"/>
      <c r="B68" s="1402"/>
      <c r="C68" s="1402"/>
      <c r="D68" s="1402"/>
      <c r="E68" s="1403"/>
      <c r="F68" s="894" t="s">
        <v>220</v>
      </c>
      <c r="G68" s="969">
        <f t="shared" ref="G68:BR68" si="85">G67-G54-G55</f>
        <v>8452328463.476882</v>
      </c>
      <c r="H68" s="969">
        <f t="shared" si="85"/>
        <v>7618239832.4264164</v>
      </c>
      <c r="I68" s="969">
        <f t="shared" si="85"/>
        <v>6571777683.000329</v>
      </c>
      <c r="J68" s="969">
        <f t="shared" si="85"/>
        <v>5309616971.0548286</v>
      </c>
      <c r="K68" s="969">
        <f t="shared" si="85"/>
        <v>6169898325.5444832</v>
      </c>
      <c r="L68" s="969">
        <f t="shared" si="85"/>
        <v>6300098398.5430136</v>
      </c>
      <c r="M68" s="969">
        <f t="shared" si="85"/>
        <v>6403262608.9929199</v>
      </c>
      <c r="N68" s="969">
        <f t="shared" si="85"/>
        <v>6646320730.5358982</v>
      </c>
      <c r="O68" s="969">
        <f t="shared" si="85"/>
        <v>6351332718.3814287</v>
      </c>
      <c r="P68" s="969">
        <f t="shared" si="85"/>
        <v>5721492374.0584545</v>
      </c>
      <c r="Q68" s="969">
        <f t="shared" si="85"/>
        <v>5346343053.2504139</v>
      </c>
      <c r="R68" s="969">
        <f t="shared" si="85"/>
        <v>5455113629.0041037</v>
      </c>
      <c r="S68" s="969">
        <f t="shared" si="85"/>
        <v>5687956515.1752129</v>
      </c>
      <c r="T68" s="969">
        <f t="shared" si="85"/>
        <v>5923649019.1710339</v>
      </c>
      <c r="U68" s="969">
        <f t="shared" si="85"/>
        <v>5936666023.465867</v>
      </c>
      <c r="V68" s="969">
        <f t="shared" si="85"/>
        <v>4879485911.3921309</v>
      </c>
      <c r="W68" s="969">
        <f t="shared" si="85"/>
        <v>4670504990.2032118</v>
      </c>
      <c r="X68" s="969">
        <f t="shared" si="85"/>
        <v>4903365250.9294872</v>
      </c>
      <c r="Y68" s="969">
        <f t="shared" si="85"/>
        <v>5083201894.924284</v>
      </c>
      <c r="Z68" s="969">
        <f t="shared" si="85"/>
        <v>5279208209.7895222</v>
      </c>
      <c r="AA68" s="969">
        <f t="shared" si="85"/>
        <v>5384356319.397459</v>
      </c>
      <c r="AB68" s="969">
        <f t="shared" si="85"/>
        <v>4915509809.1261368</v>
      </c>
      <c r="AC68" s="969">
        <f t="shared" si="85"/>
        <v>4715787492.1141062</v>
      </c>
      <c r="AD68" s="969">
        <f t="shared" si="85"/>
        <v>4993483555.1140366</v>
      </c>
      <c r="AE68" s="969">
        <f t="shared" si="85"/>
        <v>5449412233.1635838</v>
      </c>
      <c r="AF68" s="969">
        <f t="shared" si="85"/>
        <v>5701605032.6627331</v>
      </c>
      <c r="AG68" s="969">
        <f t="shared" si="85"/>
        <v>5909137682.7451363</v>
      </c>
      <c r="AH68" s="969">
        <f t="shared" si="85"/>
        <v>6386190653.5791311</v>
      </c>
      <c r="AI68" s="969">
        <f t="shared" si="85"/>
        <v>6548227488.4865875</v>
      </c>
      <c r="AJ68" s="969">
        <f t="shared" si="85"/>
        <v>5986623866.6500645</v>
      </c>
      <c r="AK68" s="969">
        <f t="shared" si="85"/>
        <v>5639718597.6814661</v>
      </c>
      <c r="AL68" s="969">
        <f t="shared" si="85"/>
        <v>5247071737.9941511</v>
      </c>
      <c r="AM68" s="969">
        <f t="shared" si="85"/>
        <v>5046058568.9387331</v>
      </c>
      <c r="AN68" s="969">
        <f t="shared" si="85"/>
        <v>4923666004.7273693</v>
      </c>
      <c r="AO68" s="969">
        <f t="shared" si="85"/>
        <v>5560926849.104414</v>
      </c>
      <c r="AP68" s="969">
        <f t="shared" si="85"/>
        <v>6145988390.2679453</v>
      </c>
      <c r="AQ68" s="969">
        <f t="shared" si="85"/>
        <v>6756633578.0230093</v>
      </c>
      <c r="AR68" s="969">
        <f t="shared" si="85"/>
        <v>7257975528.037282</v>
      </c>
      <c r="AS68" s="969">
        <f t="shared" si="85"/>
        <v>7163181189.7268238</v>
      </c>
      <c r="AT68" s="969">
        <f t="shared" si="85"/>
        <v>7022901764.166748</v>
      </c>
      <c r="AU68" s="893">
        <f t="shared" si="85"/>
        <v>6504312890.1800079</v>
      </c>
      <c r="AV68" s="893">
        <f t="shared" si="85"/>
        <v>6407857542.0062037</v>
      </c>
      <c r="AW68" s="893">
        <f t="shared" si="85"/>
        <v>6685156876.3327045</v>
      </c>
      <c r="AX68" s="893">
        <f t="shared" si="85"/>
        <v>7495212460.763546</v>
      </c>
      <c r="AY68" s="893">
        <f t="shared" si="85"/>
        <v>7211855366.2406807</v>
      </c>
      <c r="AZ68" s="893">
        <f t="shared" si="85"/>
        <v>7432911983.644413</v>
      </c>
      <c r="BA68" s="893">
        <f t="shared" si="85"/>
        <v>7675430002.8482084</v>
      </c>
      <c r="BB68" s="893">
        <f t="shared" si="85"/>
        <v>8140317290.3412743</v>
      </c>
      <c r="BC68" s="893">
        <f t="shared" si="85"/>
        <v>8605657937.018713</v>
      </c>
      <c r="BD68" s="893">
        <f t="shared" si="85"/>
        <v>6768200538.9220142</v>
      </c>
      <c r="BE68" s="893">
        <f t="shared" si="85"/>
        <v>6266288668.623642</v>
      </c>
      <c r="BF68" s="893">
        <f t="shared" si="85"/>
        <v>6382609470.6052046</v>
      </c>
      <c r="BG68" s="893">
        <f t="shared" si="85"/>
        <v>6896577525.8575516</v>
      </c>
      <c r="BH68" s="893">
        <f t="shared" si="85"/>
        <v>7070381355.8196344</v>
      </c>
      <c r="BI68" s="893">
        <f t="shared" si="85"/>
        <v>7421109264.301693</v>
      </c>
      <c r="BJ68" s="893">
        <f t="shared" si="85"/>
        <v>7251356785.6394463</v>
      </c>
      <c r="BK68" s="893">
        <f t="shared" si="85"/>
        <v>6183261180.5033207</v>
      </c>
      <c r="BL68" s="893">
        <f t="shared" si="85"/>
        <v>6268446016.9565964</v>
      </c>
      <c r="BM68" s="893">
        <f t="shared" si="85"/>
        <v>5920266781.9875345</v>
      </c>
      <c r="BN68" s="893">
        <f t="shared" si="85"/>
        <v>6026504841.241168</v>
      </c>
      <c r="BO68" s="893">
        <f t="shared" si="85"/>
        <v>6322739449.4370918</v>
      </c>
      <c r="BP68" s="893">
        <f t="shared" si="85"/>
        <v>6765691246.4472933</v>
      </c>
      <c r="BQ68" s="893">
        <f t="shared" si="85"/>
        <v>7269488343.2898235</v>
      </c>
      <c r="BR68" s="893">
        <f t="shared" si="85"/>
        <v>7464702749.1132507</v>
      </c>
      <c r="BS68" s="893">
        <f t="shared" ref="BS68:CL68" si="86">BS67-BS54-BS55</f>
        <v>6688879475.7454891</v>
      </c>
      <c r="BT68" s="893">
        <f t="shared" si="86"/>
        <v>4929272149.7185078</v>
      </c>
      <c r="BU68" s="893">
        <f t="shared" si="86"/>
        <v>3249887773.088892</v>
      </c>
      <c r="BV68" s="893">
        <f t="shared" si="86"/>
        <v>5033430997.7866268</v>
      </c>
      <c r="BW68" s="893">
        <f t="shared" si="86"/>
        <v>6059017452.1353598</v>
      </c>
      <c r="BX68" s="893">
        <f t="shared" si="86"/>
        <v>6104670196.2041521</v>
      </c>
      <c r="BY68" s="893">
        <f t="shared" si="86"/>
        <v>5993301346.2095184</v>
      </c>
      <c r="BZ68" s="893">
        <f t="shared" si="86"/>
        <v>5884384602.6647129</v>
      </c>
      <c r="CA68" s="893">
        <f t="shared" si="86"/>
        <v>5744820312.441349</v>
      </c>
      <c r="CB68" s="893">
        <f t="shared" si="86"/>
        <v>5841260826.1464052</v>
      </c>
      <c r="CC68" s="893">
        <f t="shared" si="86"/>
        <v>6094355513.4485912</v>
      </c>
      <c r="CD68" s="893">
        <f t="shared" si="86"/>
        <v>7126370215.7991486</v>
      </c>
      <c r="CE68" s="893">
        <f t="shared" si="86"/>
        <v>8078440084.7717609</v>
      </c>
      <c r="CF68" s="893">
        <f t="shared" si="86"/>
        <v>8104839891.3863621</v>
      </c>
      <c r="CG68" s="893">
        <f t="shared" si="86"/>
        <v>7329969970.4951897</v>
      </c>
      <c r="CH68" s="893">
        <f t="shared" si="86"/>
        <v>7194540217.7940912</v>
      </c>
      <c r="CI68" s="893">
        <f t="shared" si="86"/>
        <v>7725608686.1198349</v>
      </c>
      <c r="CJ68" s="893">
        <f t="shared" si="86"/>
        <v>8473262082.7726068</v>
      </c>
      <c r="CK68" s="893">
        <f t="shared" si="86"/>
        <v>8022412399.3098545</v>
      </c>
      <c r="CL68" s="893">
        <f t="shared" si="86"/>
        <v>8422597453.605155</v>
      </c>
      <c r="CM68" s="893">
        <f>AVERAGE(G68:CL68)</f>
        <v>6357166394.771327</v>
      </c>
      <c r="CN68" s="347"/>
      <c r="CO68" s="347"/>
      <c r="CP68" s="347"/>
      <c r="CQ68" s="347"/>
      <c r="CR68" s="347"/>
      <c r="CS68" s="347"/>
      <c r="CT68" s="347"/>
      <c r="CU68" s="347"/>
      <c r="CV68" s="347"/>
      <c r="CW68" s="347"/>
      <c r="CX68" s="347"/>
      <c r="CY68" s="347"/>
      <c r="CZ68" s="347"/>
      <c r="DA68" s="347"/>
      <c r="DB68" s="347"/>
      <c r="DC68" s="347"/>
      <c r="DD68" s="347"/>
      <c r="DE68" s="347"/>
      <c r="DF68" s="347"/>
      <c r="DG68" s="347"/>
      <c r="DH68" s="347"/>
      <c r="DI68" s="347"/>
      <c r="DJ68" s="347"/>
      <c r="DK68" s="347"/>
      <c r="DL68" s="347"/>
      <c r="DM68" s="347"/>
      <c r="DN68" s="347"/>
      <c r="DO68" s="347"/>
      <c r="DP68" s="347"/>
      <c r="DQ68" s="347"/>
      <c r="DR68" s="347"/>
      <c r="DS68" s="347"/>
      <c r="DT68" s="347"/>
      <c r="DU68" s="347"/>
      <c r="DV68" s="347"/>
      <c r="DW68" s="347"/>
      <c r="DX68" s="347"/>
      <c r="DY68" s="347"/>
      <c r="DZ68" s="347"/>
      <c r="EA68" s="347"/>
      <c r="EB68" s="347"/>
      <c r="EC68" s="347"/>
      <c r="ED68" s="347"/>
      <c r="EE68" s="347"/>
      <c r="EF68" s="347"/>
      <c r="EG68" s="347"/>
      <c r="EH68" s="347"/>
      <c r="EI68" s="347"/>
      <c r="EJ68" s="347"/>
      <c r="EK68" s="347"/>
      <c r="EL68" s="347"/>
      <c r="EM68" s="347"/>
      <c r="EN68" s="347"/>
      <c r="EO68" s="347"/>
      <c r="EP68" s="347"/>
      <c r="EQ68" s="347"/>
      <c r="ER68" s="347"/>
      <c r="ES68" s="347"/>
      <c r="ET68" s="347"/>
      <c r="EU68" s="347"/>
      <c r="EV68" s="347"/>
      <c r="EW68" s="347"/>
      <c r="EX68" s="347"/>
      <c r="EY68" s="347"/>
      <c r="EZ68" s="347"/>
      <c r="FA68" s="347"/>
      <c r="FB68" s="347"/>
      <c r="FC68" s="347"/>
      <c r="FD68" s="347"/>
      <c r="FE68" s="347"/>
      <c r="FF68" s="347"/>
      <c r="FG68" s="347"/>
      <c r="FH68" s="347"/>
      <c r="FI68" s="347"/>
      <c r="FJ68" s="347"/>
      <c r="FK68" s="347"/>
      <c r="FL68" s="347"/>
      <c r="FM68" s="347"/>
      <c r="FN68" s="347"/>
      <c r="FO68" s="347"/>
      <c r="FP68" s="347"/>
      <c r="FQ68" s="347"/>
      <c r="FR68" s="347"/>
      <c r="FS68" s="347"/>
      <c r="FT68" s="347"/>
      <c r="FU68" s="347"/>
      <c r="FV68" s="347"/>
    </row>
    <row r="69" spans="1:178">
      <c r="A69" s="347"/>
      <c r="B69" s="347"/>
      <c r="C69" s="347"/>
      <c r="D69" s="347"/>
      <c r="E69" s="347"/>
      <c r="F69" s="970" t="s">
        <v>425</v>
      </c>
      <c r="G69" s="971">
        <f t="shared" ref="G69:BR69" si="87">G68*G52/G16</f>
        <v>50571.94698088344</v>
      </c>
      <c r="H69" s="971">
        <f t="shared" si="87"/>
        <v>46194.713659985609</v>
      </c>
      <c r="I69" s="971">
        <f t="shared" si="87"/>
        <v>40378.58178435154</v>
      </c>
      <c r="J69" s="971">
        <f t="shared" si="87"/>
        <v>33186.192874945787</v>
      </c>
      <c r="K69" s="971">
        <f t="shared" si="87"/>
        <v>38000.525326687442</v>
      </c>
      <c r="L69" s="971">
        <f t="shared" si="87"/>
        <v>38773.531264644327</v>
      </c>
      <c r="M69" s="971">
        <f t="shared" si="87"/>
        <v>39323.408530038439</v>
      </c>
      <c r="N69" s="971">
        <f t="shared" si="87"/>
        <v>40692.105789366025</v>
      </c>
      <c r="O69" s="971">
        <f t="shared" si="87"/>
        <v>38905.348066115628</v>
      </c>
      <c r="P69" s="971">
        <f t="shared" si="87"/>
        <v>35361.933937100228</v>
      </c>
      <c r="Q69" s="971">
        <f t="shared" si="87"/>
        <v>33340.059418133562</v>
      </c>
      <c r="R69" s="971">
        <f t="shared" si="87"/>
        <v>34003.563959380124</v>
      </c>
      <c r="S69" s="971">
        <f t="shared" si="87"/>
        <v>35280.732227382781</v>
      </c>
      <c r="T69" s="971">
        <f t="shared" si="87"/>
        <v>36636.195715803748</v>
      </c>
      <c r="U69" s="971">
        <f t="shared" si="87"/>
        <v>36499.802106892072</v>
      </c>
      <c r="V69" s="971">
        <f t="shared" si="87"/>
        <v>30523.782133219851</v>
      </c>
      <c r="W69" s="971">
        <f t="shared" si="87"/>
        <v>29448.149730169753</v>
      </c>
      <c r="X69" s="971">
        <f t="shared" si="87"/>
        <v>30666.887609644768</v>
      </c>
      <c r="Y69" s="971">
        <f t="shared" si="87"/>
        <v>31316.695017338829</v>
      </c>
      <c r="Z69" s="971">
        <f t="shared" si="87"/>
        <v>32419.0758583198</v>
      </c>
      <c r="AA69" s="971">
        <f t="shared" si="87"/>
        <v>33007.546040129484</v>
      </c>
      <c r="AB69" s="971">
        <f t="shared" si="87"/>
        <v>30386.156595833134</v>
      </c>
      <c r="AC69" s="971">
        <f t="shared" si="87"/>
        <v>29256.721109268743</v>
      </c>
      <c r="AD69" s="971">
        <f t="shared" si="87"/>
        <v>30827.993972366225</v>
      </c>
      <c r="AE69" s="971">
        <f t="shared" si="87"/>
        <v>33158.673502536432</v>
      </c>
      <c r="AF69" s="971">
        <f t="shared" si="87"/>
        <v>34616.397427827425</v>
      </c>
      <c r="AG69" s="971">
        <f t="shared" si="87"/>
        <v>35744.06379571923</v>
      </c>
      <c r="AH69" s="971">
        <f t="shared" si="87"/>
        <v>38432.183028484666</v>
      </c>
      <c r="AI69" s="971">
        <f t="shared" si="87"/>
        <v>39283.118673827317</v>
      </c>
      <c r="AJ69" s="971">
        <f t="shared" si="87"/>
        <v>36091.155924122701</v>
      </c>
      <c r="AK69" s="971">
        <f t="shared" si="87"/>
        <v>34071.901117088019</v>
      </c>
      <c r="AL69" s="971">
        <f t="shared" si="87"/>
        <v>31890.032049188088</v>
      </c>
      <c r="AM69" s="971">
        <f t="shared" si="87"/>
        <v>30791.692907444674</v>
      </c>
      <c r="AN69" s="971">
        <f t="shared" si="87"/>
        <v>30053.246911919028</v>
      </c>
      <c r="AO69" s="971">
        <f t="shared" si="87"/>
        <v>33679.190729676011</v>
      </c>
      <c r="AP69" s="971">
        <f t="shared" si="87"/>
        <v>36996.76407483143</v>
      </c>
      <c r="AQ69" s="971">
        <f t="shared" si="87"/>
        <v>40630.171781793702</v>
      </c>
      <c r="AR69" s="971">
        <f t="shared" si="87"/>
        <v>43442.418276779797</v>
      </c>
      <c r="AS69" s="971">
        <f t="shared" si="87"/>
        <v>42881.290059757077</v>
      </c>
      <c r="AT69" s="971">
        <f t="shared" si="87"/>
        <v>42006.7300266397</v>
      </c>
      <c r="AU69" s="972">
        <f t="shared" si="87"/>
        <v>39105.66070127584</v>
      </c>
      <c r="AV69" s="972">
        <f t="shared" si="87"/>
        <v>38490.605395190963</v>
      </c>
      <c r="AW69" s="972">
        <f t="shared" si="87"/>
        <v>40097.114392236857</v>
      </c>
      <c r="AX69" s="972">
        <f t="shared" si="87"/>
        <v>44682.349592852275</v>
      </c>
      <c r="AY69" s="972">
        <f t="shared" si="87"/>
        <v>43033.82125663913</v>
      </c>
      <c r="AZ69" s="972">
        <f t="shared" si="87"/>
        <v>44298.757207386894</v>
      </c>
      <c r="BA69" s="972">
        <f t="shared" si="87"/>
        <v>45704.305094063966</v>
      </c>
      <c r="BB69" s="972">
        <f t="shared" si="87"/>
        <v>48323.638406232538</v>
      </c>
      <c r="BC69" s="972">
        <f t="shared" si="87"/>
        <v>51163.112443953389</v>
      </c>
      <c r="BD69" s="972">
        <f t="shared" si="87"/>
        <v>40835.490769153781</v>
      </c>
      <c r="BE69" s="972">
        <f t="shared" si="87"/>
        <v>38182.322802812108</v>
      </c>
      <c r="BF69" s="972">
        <f t="shared" si="87"/>
        <v>38869.205045626288</v>
      </c>
      <c r="BG69" s="972">
        <f t="shared" si="87"/>
        <v>41729.123107549625</v>
      </c>
      <c r="BH69" s="972">
        <f t="shared" si="87"/>
        <v>42613.22280210771</v>
      </c>
      <c r="BI69" s="972">
        <f t="shared" si="87"/>
        <v>44698.070705867089</v>
      </c>
      <c r="BJ69" s="972">
        <f t="shared" si="87"/>
        <v>43779.464827355943</v>
      </c>
      <c r="BK69" s="972">
        <f t="shared" si="87"/>
        <v>37739.371159890332</v>
      </c>
      <c r="BL69" s="972">
        <f t="shared" si="87"/>
        <v>38194.402142739171</v>
      </c>
      <c r="BM69" s="972">
        <f t="shared" si="87"/>
        <v>36229.978710587427</v>
      </c>
      <c r="BN69" s="972">
        <f t="shared" si="87"/>
        <v>36765.229297694219</v>
      </c>
      <c r="BO69" s="972">
        <f t="shared" si="87"/>
        <v>38272.791084594537</v>
      </c>
      <c r="BP69" s="972">
        <f t="shared" si="87"/>
        <v>40826.572542522277</v>
      </c>
      <c r="BQ69" s="972">
        <f t="shared" si="87"/>
        <v>43740.400439390964</v>
      </c>
      <c r="BR69" s="972">
        <f t="shared" si="87"/>
        <v>44811.982806402841</v>
      </c>
      <c r="BS69" s="972">
        <f t="shared" ref="BS69:CL69" si="88">BS68*BS52/BS16</f>
        <v>40430.521693536291</v>
      </c>
      <c r="BT69" s="972">
        <f t="shared" si="88"/>
        <v>30677.403589276364</v>
      </c>
      <c r="BU69" s="972">
        <f t="shared" si="88"/>
        <v>21289.444702088884</v>
      </c>
      <c r="BV69" s="972">
        <f t="shared" si="88"/>
        <v>31578.620514009872</v>
      </c>
      <c r="BW69" s="972">
        <f t="shared" si="88"/>
        <v>37003.406941034096</v>
      </c>
      <c r="BX69" s="972">
        <f t="shared" si="88"/>
        <v>37079.251350952436</v>
      </c>
      <c r="BY69" s="972">
        <f t="shared" si="88"/>
        <v>36439.720328138072</v>
      </c>
      <c r="BZ69" s="972">
        <f t="shared" si="88"/>
        <v>35799.000223840478</v>
      </c>
      <c r="CA69" s="972">
        <f t="shared" si="88"/>
        <v>34700.503193690303</v>
      </c>
      <c r="CB69" s="972">
        <f t="shared" si="88"/>
        <v>35265.76487833538</v>
      </c>
      <c r="CC69" s="972">
        <f t="shared" si="88"/>
        <v>36540.311332665318</v>
      </c>
      <c r="CD69" s="972">
        <f t="shared" si="88"/>
        <v>42362.544605097282</v>
      </c>
      <c r="CE69" s="972">
        <f t="shared" si="88"/>
        <v>47817.580642244371</v>
      </c>
      <c r="CF69" s="972">
        <f t="shared" si="88"/>
        <v>47893.548442297964</v>
      </c>
      <c r="CG69" s="972">
        <f t="shared" si="88"/>
        <v>43398.011673987909</v>
      </c>
      <c r="CH69" s="972">
        <f t="shared" si="88"/>
        <v>42571.611553312614</v>
      </c>
      <c r="CI69" s="972">
        <f t="shared" si="88"/>
        <v>45558.333989302715</v>
      </c>
      <c r="CJ69" s="972">
        <f t="shared" si="88"/>
        <v>49803.931694872343</v>
      </c>
      <c r="CK69" s="972">
        <f t="shared" si="88"/>
        <v>47252.091377743534</v>
      </c>
      <c r="CL69" s="972">
        <f t="shared" si="88"/>
        <v>49527.425387193056</v>
      </c>
      <c r="CM69" s="972">
        <f>AVERAGE(G69:CL69)</f>
        <v>38499.365486230745</v>
      </c>
      <c r="CN69" s="347"/>
      <c r="CO69" s="347"/>
      <c r="CP69" s="347"/>
      <c r="CQ69" s="347"/>
      <c r="CR69" s="347"/>
      <c r="CS69" s="347"/>
      <c r="CT69" s="347"/>
      <c r="CU69" s="347"/>
      <c r="CV69" s="347"/>
      <c r="CW69" s="347"/>
      <c r="CX69" s="347"/>
      <c r="CY69" s="347"/>
      <c r="CZ69" s="347"/>
      <c r="DA69" s="347"/>
      <c r="DB69" s="347"/>
      <c r="DC69" s="347"/>
      <c r="DD69" s="347"/>
      <c r="DE69" s="347"/>
      <c r="DF69" s="347"/>
      <c r="DG69" s="347"/>
      <c r="DH69" s="347"/>
      <c r="DI69" s="347"/>
      <c r="DJ69" s="347"/>
      <c r="DK69" s="347"/>
      <c r="DL69" s="347"/>
      <c r="DM69" s="347"/>
      <c r="DN69" s="347"/>
      <c r="DO69" s="347"/>
      <c r="DP69" s="347"/>
      <c r="DQ69" s="347"/>
      <c r="DR69" s="347"/>
      <c r="DS69" s="347"/>
      <c r="DT69" s="347"/>
      <c r="DU69" s="347"/>
      <c r="DV69" s="347"/>
      <c r="DW69" s="347"/>
      <c r="DX69" s="347"/>
      <c r="DY69" s="347"/>
      <c r="DZ69" s="347"/>
      <c r="EA69" s="347"/>
      <c r="EB69" s="347"/>
      <c r="EC69" s="347"/>
      <c r="ED69" s="347"/>
      <c r="EE69" s="347"/>
      <c r="EF69" s="347"/>
      <c r="EG69" s="347"/>
      <c r="EH69" s="347"/>
      <c r="EI69" s="347"/>
      <c r="EJ69" s="347"/>
      <c r="EK69" s="347"/>
      <c r="EL69" s="347"/>
      <c r="EM69" s="347"/>
      <c r="EN69" s="347"/>
      <c r="EO69" s="347"/>
      <c r="EP69" s="347"/>
      <c r="EQ69" s="347"/>
      <c r="ER69" s="347"/>
      <c r="ES69" s="347"/>
      <c r="ET69" s="347"/>
      <c r="EU69" s="347"/>
      <c r="EV69" s="347"/>
      <c r="EW69" s="347"/>
      <c r="EX69" s="347"/>
      <c r="EY69" s="347"/>
      <c r="EZ69" s="347"/>
      <c r="FA69" s="347"/>
      <c r="FB69" s="347"/>
      <c r="FC69" s="347"/>
      <c r="FD69" s="347"/>
      <c r="FE69" s="347"/>
      <c r="FF69" s="347"/>
      <c r="FG69" s="347"/>
      <c r="FH69" s="347"/>
      <c r="FI69" s="347"/>
      <c r="FJ69" s="347"/>
      <c r="FK69" s="347"/>
      <c r="FL69" s="347"/>
      <c r="FM69" s="347"/>
      <c r="FN69" s="347"/>
      <c r="FO69" s="347"/>
      <c r="FP69" s="347"/>
      <c r="FQ69" s="347"/>
      <c r="FR69" s="347"/>
      <c r="FS69" s="347"/>
      <c r="FT69" s="347"/>
      <c r="FU69" s="347"/>
      <c r="FV69" s="347"/>
    </row>
    <row r="70" spans="1:178">
      <c r="A70" s="347"/>
      <c r="B70" s="347"/>
      <c r="C70" s="347"/>
      <c r="D70" s="347"/>
      <c r="E70" s="347"/>
      <c r="F70" s="970" t="s">
        <v>426</v>
      </c>
      <c r="G70" s="971">
        <f t="shared" ref="G70:BR70" si="89">G53*G68/G17</f>
        <v>64421.68080723504</v>
      </c>
      <c r="H70" s="971">
        <f t="shared" si="89"/>
        <v>56464.381703655279</v>
      </c>
      <c r="I70" s="971">
        <f t="shared" si="89"/>
        <v>47327.326212640197</v>
      </c>
      <c r="J70" s="971">
        <f t="shared" si="89"/>
        <v>36769.833614462979</v>
      </c>
      <c r="K70" s="971">
        <f t="shared" si="89"/>
        <v>44195.24243621785</v>
      </c>
      <c r="L70" s="971">
        <f t="shared" si="89"/>
        <v>45203.268861315017</v>
      </c>
      <c r="M70" s="971">
        <f t="shared" si="89"/>
        <v>46165.344108726713</v>
      </c>
      <c r="N70" s="971">
        <f t="shared" si="89"/>
        <v>48241.123728962499</v>
      </c>
      <c r="O70" s="971">
        <f t="shared" si="89"/>
        <v>46049.634699764239</v>
      </c>
      <c r="P70" s="971">
        <f t="shared" si="89"/>
        <v>40661.991401617088</v>
      </c>
      <c r="Q70" s="971">
        <f t="shared" si="89"/>
        <v>37221.614958342252</v>
      </c>
      <c r="R70" s="971">
        <f t="shared" si="89"/>
        <v>38017.481570770738</v>
      </c>
      <c r="S70" s="971">
        <f t="shared" si="89"/>
        <v>40094.741376216327</v>
      </c>
      <c r="T70" s="971">
        <f t="shared" si="89"/>
        <v>42033.929730676609</v>
      </c>
      <c r="U70" s="971">
        <f t="shared" si="89"/>
        <v>42692.195452129199</v>
      </c>
      <c r="V70" s="971">
        <f t="shared" si="89"/>
        <v>33723.291159799308</v>
      </c>
      <c r="W70" s="971">
        <f t="shared" si="89"/>
        <v>31674.582462660597</v>
      </c>
      <c r="X70" s="971">
        <f t="shared" si="89"/>
        <v>33904.692075406769</v>
      </c>
      <c r="Y70" s="971">
        <f t="shared" si="89"/>
        <v>36387.30591677854</v>
      </c>
      <c r="Z70" s="971">
        <f t="shared" si="89"/>
        <v>38064.800531915433</v>
      </c>
      <c r="AA70" s="971">
        <f t="shared" si="89"/>
        <v>38972.276079778807</v>
      </c>
      <c r="AB70" s="971">
        <f t="shared" si="89"/>
        <v>34919.268521143851</v>
      </c>
      <c r="AC70" s="971">
        <f t="shared" si="89"/>
        <v>33226.029685531939</v>
      </c>
      <c r="AD70" s="971">
        <f t="shared" si="89"/>
        <v>35577.995836735114</v>
      </c>
      <c r="AE70" s="971">
        <f t="shared" si="89"/>
        <v>40089.364070914547</v>
      </c>
      <c r="AF70" s="971">
        <f t="shared" si="89"/>
        <v>42145.088553587957</v>
      </c>
      <c r="AG70" s="971">
        <f t="shared" si="89"/>
        <v>44024.393179145918</v>
      </c>
      <c r="AH70" s="971">
        <f t="shared" si="89"/>
        <v>48093.954239392537</v>
      </c>
      <c r="AI70" s="971">
        <f t="shared" si="89"/>
        <v>49638.293893898306</v>
      </c>
      <c r="AJ70" s="971">
        <f t="shared" si="89"/>
        <v>44918.985846468066</v>
      </c>
      <c r="AK70" s="971">
        <f t="shared" si="89"/>
        <v>42127.942003355573</v>
      </c>
      <c r="AL70" s="971">
        <f t="shared" si="89"/>
        <v>38698.490974762579</v>
      </c>
      <c r="AM70" s="971">
        <f t="shared" si="89"/>
        <v>36894.131944776454</v>
      </c>
      <c r="AN70" s="971">
        <f t="shared" si="89"/>
        <v>35977.322381355887</v>
      </c>
      <c r="AO70" s="971">
        <f t="shared" si="89"/>
        <v>41322.037414907623</v>
      </c>
      <c r="AP70" s="971">
        <f t="shared" si="89"/>
        <v>46258.600445443015</v>
      </c>
      <c r="AQ70" s="971">
        <f t="shared" si="89"/>
        <v>50965.505517275793</v>
      </c>
      <c r="AR70" s="971">
        <f t="shared" si="89"/>
        <v>55275.498841194625</v>
      </c>
      <c r="AS70" s="971">
        <f t="shared" si="89"/>
        <v>54537.226937933519</v>
      </c>
      <c r="AT70" s="971">
        <f t="shared" si="89"/>
        <v>53559.993250542429</v>
      </c>
      <c r="AU70" s="972">
        <f t="shared" si="89"/>
        <v>49081.059072572789</v>
      </c>
      <c r="AV70" s="972">
        <f t="shared" si="89"/>
        <v>48444.89544363357</v>
      </c>
      <c r="AW70" s="972">
        <f t="shared" si="89"/>
        <v>50695.712927267406</v>
      </c>
      <c r="AX70" s="972">
        <f t="shared" si="89"/>
        <v>57551.993417926285</v>
      </c>
      <c r="AY70" s="972">
        <f t="shared" si="89"/>
        <v>55270.071064654898</v>
      </c>
      <c r="AZ70" s="972">
        <f t="shared" si="89"/>
        <v>57105.425958782384</v>
      </c>
      <c r="BA70" s="972">
        <f t="shared" si="89"/>
        <v>59072.51379738433</v>
      </c>
      <c r="BB70" s="972">
        <f t="shared" si="89"/>
        <v>63038.904951499884</v>
      </c>
      <c r="BC70" s="972">
        <f t="shared" si="89"/>
        <v>66441.47660913119</v>
      </c>
      <c r="BD70" s="972">
        <f t="shared" si="89"/>
        <v>50698.548113183868</v>
      </c>
      <c r="BE70" s="972">
        <f t="shared" si="89"/>
        <v>45960.275009722922</v>
      </c>
      <c r="BF70" s="972">
        <f t="shared" si="89"/>
        <v>46870.555990955749</v>
      </c>
      <c r="BG70" s="972">
        <f t="shared" si="89"/>
        <v>51349.50357993169</v>
      </c>
      <c r="BH70" s="972">
        <f t="shared" si="89"/>
        <v>53080.689031592148</v>
      </c>
      <c r="BI70" s="972">
        <f t="shared" si="89"/>
        <v>55789.406839554227</v>
      </c>
      <c r="BJ70" s="972">
        <f t="shared" si="89"/>
        <v>54242.370009372455</v>
      </c>
      <c r="BK70" s="972">
        <f t="shared" si="89"/>
        <v>45187.046002827316</v>
      </c>
      <c r="BL70" s="972">
        <f t="shared" si="89"/>
        <v>45978.879392169416</v>
      </c>
      <c r="BM70" s="972">
        <f t="shared" si="89"/>
        <v>43015.182440095741</v>
      </c>
      <c r="BN70" s="972">
        <f t="shared" si="89"/>
        <v>44086.830848349506</v>
      </c>
      <c r="BO70" s="972">
        <f t="shared" si="89"/>
        <v>47035.709170126931</v>
      </c>
      <c r="BP70" s="972">
        <f t="shared" si="89"/>
        <v>50663.51992991149</v>
      </c>
      <c r="BQ70" s="972">
        <f t="shared" si="89"/>
        <v>54765.523272946142</v>
      </c>
      <c r="BR70" s="972">
        <f t="shared" si="89"/>
        <v>56504.974101956417</v>
      </c>
      <c r="BS70" s="972">
        <f t="shared" ref="BS70:CL70" si="90">BS53*BS68/BS17</f>
        <v>49912.329642027471</v>
      </c>
      <c r="BT70" s="972">
        <f t="shared" si="90"/>
        <v>34479.12626242805</v>
      </c>
      <c r="BU70" s="972">
        <f t="shared" si="90"/>
        <v>19956.958819054104</v>
      </c>
      <c r="BV70" s="972">
        <f t="shared" si="90"/>
        <v>34547.656140532003</v>
      </c>
      <c r="BW70" s="972">
        <f t="shared" si="90"/>
        <v>44220.755074468732</v>
      </c>
      <c r="BX70" s="972">
        <f t="shared" si="90"/>
        <v>45083.482606701356</v>
      </c>
      <c r="BY70" s="972">
        <f t="shared" si="90"/>
        <v>44164.705299648405</v>
      </c>
      <c r="BZ70" s="972">
        <f t="shared" si="90"/>
        <v>43305.997814505456</v>
      </c>
      <c r="CA70" s="972">
        <f t="shared" si="90"/>
        <v>42929.634712804247</v>
      </c>
      <c r="CB70" s="972">
        <f t="shared" si="90"/>
        <v>43695.366353012047</v>
      </c>
      <c r="CC70" s="972">
        <f t="shared" si="90"/>
        <v>46249.957571459126</v>
      </c>
      <c r="CD70" s="972">
        <f t="shared" si="90"/>
        <v>55035.45043839312</v>
      </c>
      <c r="CE70" s="972">
        <f t="shared" si="90"/>
        <v>62921.685810998802</v>
      </c>
      <c r="CF70" s="972">
        <f t="shared" si="90"/>
        <v>63336.806031965585</v>
      </c>
      <c r="CG70" s="972">
        <f t="shared" si="90"/>
        <v>57063.935791320284</v>
      </c>
      <c r="CH70" s="972">
        <f t="shared" si="90"/>
        <v>56073.719727093288</v>
      </c>
      <c r="CI70" s="972">
        <f t="shared" si="90"/>
        <v>60619.109742699104</v>
      </c>
      <c r="CJ70" s="972">
        <f t="shared" si="90"/>
        <v>66911.780556464873</v>
      </c>
      <c r="CK70" s="972">
        <f t="shared" si="90"/>
        <v>63095.421151884788</v>
      </c>
      <c r="CL70" s="972">
        <f t="shared" si="90"/>
        <v>66456.147889177562</v>
      </c>
      <c r="CM70" s="972">
        <f>AVERAGE(G70:CL70)</f>
        <v>47244.380438566972</v>
      </c>
      <c r="CN70" s="347"/>
      <c r="CO70" s="347"/>
      <c r="CP70" s="347"/>
      <c r="CQ70" s="347"/>
      <c r="CR70" s="347"/>
      <c r="CS70" s="347"/>
      <c r="CT70" s="347"/>
      <c r="CU70" s="347"/>
      <c r="CV70" s="347"/>
      <c r="CW70" s="347"/>
      <c r="CX70" s="347"/>
      <c r="CY70" s="347"/>
      <c r="CZ70" s="347"/>
      <c r="DA70" s="347"/>
      <c r="DB70" s="347"/>
      <c r="DC70" s="347"/>
      <c r="DD70" s="347"/>
      <c r="DE70" s="347"/>
      <c r="DF70" s="347"/>
      <c r="DG70" s="347"/>
      <c r="DH70" s="347"/>
      <c r="DI70" s="347"/>
      <c r="DJ70" s="347"/>
      <c r="DK70" s="347"/>
      <c r="DL70" s="347"/>
      <c r="DM70" s="347"/>
      <c r="DN70" s="347"/>
      <c r="DO70" s="347"/>
      <c r="DP70" s="347"/>
      <c r="DQ70" s="347"/>
      <c r="DR70" s="347"/>
      <c r="DS70" s="347"/>
      <c r="DT70" s="347"/>
      <c r="DU70" s="347"/>
      <c r="DV70" s="347"/>
      <c r="DW70" s="347"/>
      <c r="DX70" s="347"/>
      <c r="DY70" s="347"/>
      <c r="DZ70" s="347"/>
      <c r="EA70" s="347"/>
      <c r="EB70" s="347"/>
      <c r="EC70" s="347"/>
      <c r="ED70" s="347"/>
      <c r="EE70" s="347"/>
      <c r="EF70" s="347"/>
      <c r="EG70" s="347"/>
      <c r="EH70" s="347"/>
      <c r="EI70" s="347"/>
      <c r="EJ70" s="347"/>
      <c r="EK70" s="347"/>
      <c r="EL70" s="347"/>
      <c r="EM70" s="347"/>
      <c r="EN70" s="347"/>
      <c r="EO70" s="347"/>
      <c r="EP70" s="347"/>
      <c r="EQ70" s="347"/>
      <c r="ER70" s="347"/>
      <c r="ES70" s="347"/>
      <c r="ET70" s="347"/>
      <c r="EU70" s="347"/>
      <c r="EV70" s="347"/>
      <c r="EW70" s="347"/>
      <c r="EX70" s="347"/>
      <c r="EY70" s="347"/>
      <c r="EZ70" s="347"/>
      <c r="FA70" s="347"/>
      <c r="FB70" s="347"/>
      <c r="FC70" s="347"/>
      <c r="FD70" s="347"/>
      <c r="FE70" s="347"/>
      <c r="FF70" s="347"/>
      <c r="FG70" s="347"/>
      <c r="FH70" s="347"/>
      <c r="FI70" s="347"/>
      <c r="FJ70" s="347"/>
      <c r="FK70" s="347"/>
      <c r="FL70" s="347"/>
      <c r="FM70" s="347"/>
      <c r="FN70" s="347"/>
      <c r="FO70" s="347"/>
      <c r="FP70" s="347"/>
      <c r="FQ70" s="347"/>
      <c r="FR70" s="347"/>
      <c r="FS70" s="347"/>
      <c r="FT70" s="347"/>
      <c r="FU70" s="347"/>
      <c r="FV70" s="347"/>
    </row>
    <row r="71" spans="1:178">
      <c r="F71" s="323"/>
      <c r="G71" s="323"/>
      <c r="H71" s="323"/>
      <c r="I71" s="323"/>
      <c r="J71" s="323"/>
      <c r="K71" s="323"/>
      <c r="L71" s="323"/>
      <c r="M71" s="323"/>
      <c r="N71" s="323"/>
      <c r="O71" s="323"/>
      <c r="P71" s="323"/>
      <c r="Q71" s="323"/>
      <c r="R71" s="323"/>
      <c r="S71" s="352"/>
      <c r="T71" s="352"/>
      <c r="U71" s="352"/>
      <c r="V71" s="352"/>
      <c r="W71" s="352"/>
      <c r="X71" s="352"/>
      <c r="Y71" s="352"/>
      <c r="Z71" s="352"/>
      <c r="AA71" s="352"/>
      <c r="AB71" s="352"/>
      <c r="AC71" s="352"/>
      <c r="AD71" s="352"/>
      <c r="AE71" s="352"/>
      <c r="AF71" s="352"/>
      <c r="AG71" s="352"/>
      <c r="AH71" s="352"/>
      <c r="AI71" s="352"/>
      <c r="AJ71" s="352"/>
      <c r="AK71" s="352"/>
      <c r="AL71" s="352"/>
      <c r="AM71" s="352"/>
      <c r="AN71" s="352"/>
      <c r="AO71" s="352"/>
      <c r="AP71" s="352"/>
      <c r="AQ71" s="352"/>
      <c r="AR71" s="352"/>
      <c r="AS71" s="352"/>
      <c r="AT71" s="353"/>
      <c r="AU71" s="973"/>
      <c r="AV71" s="973"/>
      <c r="AW71" s="973"/>
      <c r="AX71" s="973"/>
      <c r="AY71" s="973"/>
      <c r="AZ71" s="973"/>
      <c r="BA71" s="973"/>
      <c r="BB71" s="973"/>
      <c r="BC71" s="973"/>
      <c r="BD71" s="973"/>
      <c r="BE71" s="973"/>
      <c r="BF71" s="973"/>
      <c r="BG71" s="973"/>
      <c r="BH71" s="973"/>
      <c r="BI71" s="973"/>
      <c r="BJ71" s="973"/>
      <c r="BK71" s="973"/>
      <c r="BL71" s="973"/>
      <c r="BM71" s="973"/>
      <c r="BN71" s="973"/>
      <c r="BO71" s="973"/>
      <c r="BP71" s="973"/>
      <c r="BQ71" s="973"/>
      <c r="BR71" s="973"/>
      <c r="BS71" s="973"/>
      <c r="BT71" s="973"/>
      <c r="BU71" s="973"/>
      <c r="BV71" s="973"/>
      <c r="BW71" s="973"/>
      <c r="BX71" s="973"/>
      <c r="BY71" s="973"/>
      <c r="BZ71" s="973"/>
      <c r="CA71" s="973"/>
      <c r="CB71" s="973"/>
      <c r="CC71" s="973"/>
      <c r="CD71" s="973"/>
      <c r="CE71" s="973"/>
      <c r="CF71" s="973"/>
      <c r="CG71" s="973"/>
      <c r="CH71" s="973"/>
      <c r="CI71" s="973"/>
      <c r="CJ71" s="973"/>
      <c r="CK71" s="973"/>
      <c r="CL71" s="973"/>
      <c r="CM71" s="356"/>
    </row>
    <row r="72" spans="1:178">
      <c r="F72" s="359" t="s">
        <v>270</v>
      </c>
      <c r="G72" s="359">
        <v>93308.112500000003</v>
      </c>
      <c r="H72" s="359">
        <v>89338.57</v>
      </c>
      <c r="I72" s="359">
        <v>84521.437916666662</v>
      </c>
      <c r="J72" s="359">
        <v>72138.256250000006</v>
      </c>
      <c r="K72" s="359">
        <v>69542.803749999992</v>
      </c>
      <c r="L72" s="359">
        <v>77202.935599999997</v>
      </c>
      <c r="M72" s="359">
        <v>85561.224749999994</v>
      </c>
      <c r="N72" s="359">
        <v>87810.504000000001</v>
      </c>
      <c r="O72" s="359">
        <v>82223.356874999998</v>
      </c>
      <c r="P72" s="359">
        <v>81008.455999999991</v>
      </c>
      <c r="Q72" s="359">
        <v>77755.603250000015</v>
      </c>
      <c r="R72" s="359">
        <v>75270.07650000001</v>
      </c>
      <c r="S72" s="521">
        <v>79308</v>
      </c>
      <c r="T72" s="521">
        <v>87844.5</v>
      </c>
      <c r="U72" s="521">
        <v>84301.2</v>
      </c>
      <c r="V72" s="521">
        <v>71658</v>
      </c>
      <c r="W72" s="521">
        <v>73467</v>
      </c>
      <c r="X72" s="521">
        <v>79317</v>
      </c>
      <c r="Y72" s="521">
        <v>83124</v>
      </c>
      <c r="Z72" s="521">
        <v>80424</v>
      </c>
      <c r="AA72" s="521">
        <v>78174</v>
      </c>
      <c r="AB72" s="521">
        <v>79992</v>
      </c>
      <c r="AC72" s="521">
        <v>80892</v>
      </c>
      <c r="AD72" s="521">
        <v>80892</v>
      </c>
      <c r="AE72" s="521">
        <v>79920</v>
      </c>
      <c r="AF72" s="521">
        <v>79920</v>
      </c>
      <c r="AG72" s="521">
        <v>79020</v>
      </c>
      <c r="AH72" s="521">
        <v>80838</v>
      </c>
      <c r="AI72" s="521">
        <v>80838</v>
      </c>
      <c r="AJ72" s="521">
        <v>81738</v>
      </c>
      <c r="AK72" s="521">
        <v>80838</v>
      </c>
      <c r="AL72" s="521">
        <v>80838</v>
      </c>
      <c r="AM72" s="521">
        <v>80838</v>
      </c>
      <c r="AN72" s="521">
        <v>80478</v>
      </c>
      <c r="AO72" s="521">
        <v>73638</v>
      </c>
      <c r="AP72" s="521">
        <v>73638</v>
      </c>
      <c r="AQ72" s="521">
        <v>73638</v>
      </c>
      <c r="AR72" s="521">
        <v>75069</v>
      </c>
      <c r="AS72" s="521">
        <v>74097</v>
      </c>
      <c r="AT72" s="522">
        <v>77120</v>
      </c>
      <c r="AU72" s="523">
        <v>78330</v>
      </c>
      <c r="AV72" s="523">
        <v>78330</v>
      </c>
      <c r="AW72" s="523">
        <v>79710</v>
      </c>
      <c r="AX72" s="523">
        <v>81840</v>
      </c>
      <c r="AY72" s="523">
        <v>82290</v>
      </c>
      <c r="AZ72" s="523">
        <v>81605</v>
      </c>
      <c r="BA72" s="523">
        <v>80450</v>
      </c>
      <c r="BB72" s="523">
        <v>82290</v>
      </c>
      <c r="BC72" s="523">
        <v>84860</v>
      </c>
      <c r="BD72" s="523">
        <v>82790</v>
      </c>
      <c r="BE72" s="523">
        <v>75410</v>
      </c>
      <c r="BF72" s="523">
        <v>75535</v>
      </c>
      <c r="BG72" s="523">
        <v>75515</v>
      </c>
      <c r="BH72" s="523">
        <v>76895</v>
      </c>
      <c r="BI72" s="523">
        <v>76895</v>
      </c>
      <c r="BJ72" s="523">
        <v>73118.75</v>
      </c>
      <c r="BK72" s="523">
        <v>69505.666666666672</v>
      </c>
      <c r="BL72" s="523">
        <v>68825</v>
      </c>
      <c r="BM72" s="523">
        <v>69518</v>
      </c>
      <c r="BN72" s="523">
        <v>66726.666666666672</v>
      </c>
      <c r="BO72" s="523">
        <v>68260</v>
      </c>
      <c r="BP72" s="523">
        <v>65340</v>
      </c>
      <c r="BQ72" s="523">
        <v>64110</v>
      </c>
      <c r="BR72" s="523">
        <v>65725</v>
      </c>
      <c r="BS72" s="523">
        <v>66420</v>
      </c>
      <c r="BT72" s="523">
        <v>66430</v>
      </c>
      <c r="BU72" s="523">
        <v>62745</v>
      </c>
      <c r="BV72" s="523">
        <v>59985</v>
      </c>
      <c r="BW72" s="523">
        <v>63743.333333333336</v>
      </c>
      <c r="BX72" s="523">
        <v>67265</v>
      </c>
      <c r="BY72" s="523">
        <v>67680</v>
      </c>
      <c r="BZ72" s="523">
        <v>68533.333333333328</v>
      </c>
      <c r="CA72" s="523">
        <v>71170</v>
      </c>
      <c r="CB72" s="523">
        <v>74566.666666666672</v>
      </c>
      <c r="CC72" s="523">
        <v>80425</v>
      </c>
      <c r="CD72" s="523">
        <v>79965</v>
      </c>
      <c r="CE72" s="523">
        <v>83513.333333333328</v>
      </c>
      <c r="CF72" s="523">
        <v>94750</v>
      </c>
      <c r="CG72" s="523">
        <v>97356.666666666672</v>
      </c>
      <c r="CH72" s="523">
        <v>88703.333333333328</v>
      </c>
      <c r="CI72" s="523">
        <v>85010</v>
      </c>
      <c r="CJ72" s="523">
        <v>87430</v>
      </c>
      <c r="CK72" s="523">
        <v>92103.333333333328</v>
      </c>
      <c r="CL72" s="523">
        <v>94270</v>
      </c>
      <c r="CM72" s="524">
        <f>AVERAGE(G72:CL72)</f>
        <v>77898.572865773807</v>
      </c>
    </row>
    <row r="73" spans="1:178">
      <c r="F73" s="357" t="s">
        <v>271</v>
      </c>
      <c r="G73" s="357">
        <v>94825.01304374999</v>
      </c>
      <c r="H73" s="357">
        <v>89531.853532499998</v>
      </c>
      <c r="I73" s="357">
        <v>85012.567467500005</v>
      </c>
      <c r="J73" s="357">
        <v>73145.637585937497</v>
      </c>
      <c r="K73" s="357">
        <v>69337.815106875001</v>
      </c>
      <c r="L73" s="357">
        <v>76428.891031799998</v>
      </c>
      <c r="M73" s="357">
        <v>85421.754279000001</v>
      </c>
      <c r="N73" s="357">
        <v>87695.729944499995</v>
      </c>
      <c r="O73" s="357">
        <v>84411.261556875004</v>
      </c>
      <c r="P73" s="357">
        <v>83437.817375999992</v>
      </c>
      <c r="Q73" s="357">
        <v>79078.185913500012</v>
      </c>
      <c r="R73" s="357">
        <v>76465.631594250022</v>
      </c>
      <c r="S73" s="525">
        <v>81045</v>
      </c>
      <c r="T73" s="525">
        <v>88461.9</v>
      </c>
      <c r="U73" s="525">
        <v>84411.9</v>
      </c>
      <c r="V73" s="525">
        <v>73836</v>
      </c>
      <c r="W73" s="525">
        <v>75195</v>
      </c>
      <c r="X73" s="525">
        <v>78795</v>
      </c>
      <c r="Y73" s="525">
        <v>81990</v>
      </c>
      <c r="Z73" s="525">
        <v>80190</v>
      </c>
      <c r="AA73" s="525">
        <v>78840</v>
      </c>
      <c r="AB73" s="525">
        <v>80235</v>
      </c>
      <c r="AC73" s="525">
        <v>80235</v>
      </c>
      <c r="AD73" s="525">
        <v>80235</v>
      </c>
      <c r="AE73" s="525">
        <v>78345</v>
      </c>
      <c r="AF73" s="525">
        <v>78345</v>
      </c>
      <c r="AG73" s="525">
        <v>76545</v>
      </c>
      <c r="AH73" s="525">
        <v>78399</v>
      </c>
      <c r="AI73" s="525">
        <v>78399</v>
      </c>
      <c r="AJ73" s="525">
        <v>78399</v>
      </c>
      <c r="AK73" s="525">
        <v>77499</v>
      </c>
      <c r="AL73" s="525">
        <v>77499</v>
      </c>
      <c r="AM73" s="525">
        <v>77499</v>
      </c>
      <c r="AN73" s="525">
        <v>74799</v>
      </c>
      <c r="AO73" s="525">
        <v>71199</v>
      </c>
      <c r="AP73" s="525">
        <v>71199</v>
      </c>
      <c r="AQ73" s="525">
        <v>72549</v>
      </c>
      <c r="AR73" s="525">
        <v>73008</v>
      </c>
      <c r="AS73" s="525">
        <v>74358</v>
      </c>
      <c r="AT73" s="526">
        <v>80539.58795362903</v>
      </c>
      <c r="AU73" s="527">
        <v>86934.170866935485</v>
      </c>
      <c r="AV73" s="527">
        <v>89341.653225806454</v>
      </c>
      <c r="AW73" s="527">
        <v>91140.766129032243</v>
      </c>
      <c r="AX73" s="527">
        <v>96099.868951612909</v>
      </c>
      <c r="AY73" s="527">
        <v>97828.508064516122</v>
      </c>
      <c r="AZ73" s="527">
        <v>97836.572580645152</v>
      </c>
      <c r="BA73" s="527">
        <v>97190.645161290318</v>
      </c>
      <c r="BB73" s="527">
        <v>97364.107862903213</v>
      </c>
      <c r="BC73" s="527">
        <v>98086.408770161288</v>
      </c>
      <c r="BD73" s="527">
        <v>93706.549059139783</v>
      </c>
      <c r="BE73" s="527">
        <v>83380.277217741939</v>
      </c>
      <c r="BF73" s="527">
        <v>81038.145161290318</v>
      </c>
      <c r="BG73" s="527">
        <v>79961.224798387091</v>
      </c>
      <c r="BH73" s="527">
        <v>79961.224798387091</v>
      </c>
      <c r="BI73" s="527">
        <v>79961.224798387091</v>
      </c>
      <c r="BJ73" s="527">
        <v>77660.846774193546</v>
      </c>
      <c r="BK73" s="527">
        <v>72853.889616935485</v>
      </c>
      <c r="BL73" s="527">
        <v>70820.866935483864</v>
      </c>
      <c r="BM73" s="527">
        <v>71429.147177419349</v>
      </c>
      <c r="BN73" s="527">
        <v>70584.057459677424</v>
      </c>
      <c r="BO73" s="527">
        <v>70105.042002688162</v>
      </c>
      <c r="BP73" s="527">
        <v>67182.930947580651</v>
      </c>
      <c r="BQ73" s="527">
        <v>66724.662298387091</v>
      </c>
      <c r="BR73" s="527">
        <v>67824.059979838712</v>
      </c>
      <c r="BS73" s="527">
        <v>68500.904737903227</v>
      </c>
      <c r="BT73" s="527">
        <v>68724.480846774197</v>
      </c>
      <c r="BU73" s="527">
        <v>66429.480846774182</v>
      </c>
      <c r="BV73" s="527">
        <v>63588.351814516129</v>
      </c>
      <c r="BW73" s="527">
        <v>66402.384072580651</v>
      </c>
      <c r="BX73" s="527">
        <v>70905.260416666657</v>
      </c>
      <c r="BY73" s="527">
        <v>72930.645161290318</v>
      </c>
      <c r="BZ73" s="527">
        <v>74167.31182795699</v>
      </c>
      <c r="CA73" s="527">
        <v>76190.645161290318</v>
      </c>
      <c r="CB73" s="527">
        <v>78563.440860215051</v>
      </c>
      <c r="CC73" s="527">
        <v>82576.774193548394</v>
      </c>
      <c r="CD73" s="527">
        <v>83057.285786290318</v>
      </c>
      <c r="CE73" s="527">
        <v>87461.036626344096</v>
      </c>
      <c r="CF73" s="527">
        <v>95744.682459677424</v>
      </c>
      <c r="CG73" s="527">
        <v>100247.4932795699</v>
      </c>
      <c r="CH73" s="527">
        <v>93822.923387096787</v>
      </c>
      <c r="CI73" s="527">
        <v>89059.213709677409</v>
      </c>
      <c r="CJ73" s="527">
        <v>89672.547043010738</v>
      </c>
      <c r="CK73" s="527">
        <v>92655.342741935485</v>
      </c>
      <c r="CL73" s="527">
        <v>93595.342741935485</v>
      </c>
      <c r="CM73" s="524">
        <f t="shared" ref="CM73:CM74" si="91">AVERAGE(G73:CL73)</f>
        <v>80549.463627852514</v>
      </c>
    </row>
    <row r="74" spans="1:178">
      <c r="F74" s="358" t="s">
        <v>272</v>
      </c>
      <c r="G74" s="358">
        <v>91404.880812874995</v>
      </c>
      <c r="H74" s="358">
        <v>87094.764578674993</v>
      </c>
      <c r="I74" s="358">
        <v>77256.38140569166</v>
      </c>
      <c r="J74" s="358">
        <v>61325.996379656252</v>
      </c>
      <c r="K74" s="358">
        <v>64119.948843824997</v>
      </c>
      <c r="L74" s="358">
        <v>77013.163535779997</v>
      </c>
      <c r="M74" s="358">
        <v>83162.763292252494</v>
      </c>
      <c r="N74" s="358">
        <v>86773.900204894991</v>
      </c>
      <c r="O74" s="358">
        <v>81044.034106035004</v>
      </c>
      <c r="P74" s="358">
        <v>74891.803732367989</v>
      </c>
      <c r="Q74" s="358">
        <v>68413.046297037508</v>
      </c>
      <c r="R74" s="358">
        <v>66765.586722307518</v>
      </c>
      <c r="S74" s="529">
        <v>73130.399999999994</v>
      </c>
      <c r="T74" s="529">
        <v>75137.399999999994</v>
      </c>
      <c r="U74" s="529">
        <v>70196.399999999994</v>
      </c>
      <c r="V74" s="529">
        <v>67642.2</v>
      </c>
      <c r="W74" s="529">
        <v>66744</v>
      </c>
      <c r="X74" s="529">
        <v>71694.899999999994</v>
      </c>
      <c r="Y74" s="529">
        <v>73773</v>
      </c>
      <c r="Z74" s="529">
        <v>70695</v>
      </c>
      <c r="AA74" s="529">
        <v>66735</v>
      </c>
      <c r="AB74" s="529">
        <v>72495</v>
      </c>
      <c r="AC74" s="529">
        <v>71613</v>
      </c>
      <c r="AD74" s="529">
        <v>71172</v>
      </c>
      <c r="AE74" s="529">
        <v>69300</v>
      </c>
      <c r="AF74" s="529">
        <v>71055</v>
      </c>
      <c r="AG74" s="529">
        <v>71055</v>
      </c>
      <c r="AH74" s="529">
        <v>75069</v>
      </c>
      <c r="AI74" s="529">
        <v>75069</v>
      </c>
      <c r="AJ74" s="529">
        <v>78147</v>
      </c>
      <c r="AK74" s="529">
        <v>74601</v>
      </c>
      <c r="AL74" s="529">
        <v>73314</v>
      </c>
      <c r="AM74" s="529">
        <v>73314</v>
      </c>
      <c r="AN74" s="529">
        <v>71992.800000000003</v>
      </c>
      <c r="AO74" s="529">
        <v>74170.8</v>
      </c>
      <c r="AP74" s="529">
        <v>75970.8</v>
      </c>
      <c r="AQ74" s="529">
        <v>79579.8</v>
      </c>
      <c r="AR74" s="529">
        <v>78679.8</v>
      </c>
      <c r="AS74" s="529">
        <v>78679.8</v>
      </c>
      <c r="AT74" s="530">
        <v>82316.144548146898</v>
      </c>
      <c r="AU74" s="531">
        <v>87120.247838398529</v>
      </c>
      <c r="AV74" s="531">
        <v>88230.55929702321</v>
      </c>
      <c r="AW74" s="531">
        <v>88137.702676638582</v>
      </c>
      <c r="AX74" s="531">
        <v>90726.081075997456</v>
      </c>
      <c r="AY74" s="531">
        <v>93640.936364928682</v>
      </c>
      <c r="AZ74" s="531">
        <v>92952.565226764884</v>
      </c>
      <c r="BA74" s="531">
        <v>90410.936364928682</v>
      </c>
      <c r="BB74" s="531">
        <v>92250.936364928682</v>
      </c>
      <c r="BC74" s="531">
        <v>94825.936364928682</v>
      </c>
      <c r="BD74" s="531">
        <v>91827.603031595354</v>
      </c>
      <c r="BE74" s="531">
        <v>79800.936364928682</v>
      </c>
      <c r="BF74" s="531">
        <v>79925.936364928668</v>
      </c>
      <c r="BG74" s="531">
        <v>82092.565226764898</v>
      </c>
      <c r="BH74" s="531">
        <v>83705.936364928682</v>
      </c>
      <c r="BI74" s="531">
        <v>86337.244991853178</v>
      </c>
      <c r="BJ74" s="531">
        <v>88343.09322299331</v>
      </c>
      <c r="BK74" s="531">
        <v>84371.0867978694</v>
      </c>
      <c r="BL74" s="531">
        <v>82533.667556645247</v>
      </c>
      <c r="BM74" s="531">
        <v>83915.296418481477</v>
      </c>
      <c r="BN74" s="531">
        <v>85998.353851846667</v>
      </c>
      <c r="BO74" s="531">
        <v>83680.839372426868</v>
      </c>
      <c r="BP74" s="531">
        <v>78296.420131202744</v>
      </c>
      <c r="BQ74" s="531">
        <v>74908.667556645261</v>
      </c>
      <c r="BR74" s="531">
        <v>75368.667556645261</v>
      </c>
      <c r="BS74" s="531">
        <v>74755.334223311933</v>
      </c>
      <c r="BT74" s="531">
        <v>71698.667556645261</v>
      </c>
      <c r="BU74" s="531">
        <v>67093.667556645261</v>
      </c>
      <c r="BV74" s="531">
        <v>66173.667556645261</v>
      </c>
      <c r="BW74" s="531">
        <v>70296.297866503111</v>
      </c>
      <c r="BX74" s="531">
        <v>73811.225510968739</v>
      </c>
      <c r="BY74" s="531">
        <v>73104.932138219243</v>
      </c>
      <c r="BZ74" s="531">
        <v>73109.932138219243</v>
      </c>
      <c r="CA74" s="531">
        <v>76518.265471552571</v>
      </c>
      <c r="CB74" s="531">
        <v>82074.932138219243</v>
      </c>
      <c r="CC74" s="531">
        <v>90244.932138219243</v>
      </c>
      <c r="CD74" s="531">
        <v>93047.449038505991</v>
      </c>
      <c r="CE74" s="531">
        <v>98603.920574120828</v>
      </c>
      <c r="CF74" s="531">
        <v>112597.05572119531</v>
      </c>
      <c r="CG74" s="531">
        <v>112518.32981716725</v>
      </c>
      <c r="CH74" s="531">
        <v>106216.66315050058</v>
      </c>
      <c r="CI74" s="531">
        <v>98978.114255042339</v>
      </c>
      <c r="CJ74" s="531">
        <v>99434.349797459188</v>
      </c>
      <c r="CK74" s="531">
        <v>103781.54397226339</v>
      </c>
      <c r="CL74" s="531">
        <v>105181.5439722634</v>
      </c>
      <c r="CM74" s="524">
        <f t="shared" si="91"/>
        <v>80729.185183779831</v>
      </c>
    </row>
    <row r="75" spans="1:178">
      <c r="F75" s="348"/>
      <c r="G75" s="349"/>
      <c r="H75" s="349"/>
      <c r="I75" s="349"/>
      <c r="J75" s="349"/>
      <c r="K75" s="349"/>
      <c r="L75" s="349"/>
      <c r="M75" s="349"/>
      <c r="N75" s="349"/>
      <c r="O75" s="349"/>
      <c r="P75" s="349"/>
      <c r="Q75" s="349"/>
      <c r="R75" s="349"/>
      <c r="S75" s="349"/>
      <c r="T75" s="349"/>
      <c r="U75" s="349"/>
      <c r="V75" s="349"/>
      <c r="W75" s="349"/>
      <c r="X75" s="349"/>
      <c r="Y75" s="349"/>
      <c r="Z75" s="349"/>
      <c r="AA75" s="349"/>
      <c r="AB75" s="349"/>
      <c r="AC75" s="349"/>
      <c r="AD75" s="349"/>
      <c r="AE75" s="349"/>
      <c r="AF75" s="349"/>
      <c r="AG75" s="349"/>
      <c r="AH75" s="349"/>
      <c r="AI75" s="349"/>
      <c r="AJ75" s="349"/>
      <c r="AK75" s="349"/>
      <c r="AL75" s="349"/>
      <c r="AM75" s="349"/>
      <c r="AN75" s="349"/>
      <c r="AO75" s="349"/>
      <c r="AP75" s="349"/>
      <c r="AQ75" s="349"/>
      <c r="AR75" s="349"/>
      <c r="AS75" s="349"/>
      <c r="AT75" s="326"/>
      <c r="AU75" s="843"/>
      <c r="AV75" s="843"/>
      <c r="AW75" s="843"/>
      <c r="AX75" s="843"/>
      <c r="AY75" s="843"/>
      <c r="AZ75" s="843"/>
      <c r="BA75" s="843"/>
      <c r="BB75" s="843"/>
      <c r="BC75" s="843"/>
      <c r="BD75" s="843"/>
      <c r="BE75" s="843"/>
      <c r="BF75" s="843"/>
      <c r="BG75" s="843"/>
      <c r="BH75" s="843"/>
      <c r="BI75" s="843"/>
      <c r="BJ75" s="843"/>
      <c r="BK75" s="843"/>
      <c r="BL75" s="843"/>
      <c r="BM75" s="843"/>
      <c r="BN75" s="843"/>
      <c r="BO75" s="843"/>
      <c r="BP75" s="843"/>
      <c r="BQ75" s="843"/>
      <c r="BR75" s="843"/>
      <c r="BS75" s="843"/>
      <c r="BT75" s="843"/>
      <c r="BU75" s="843"/>
      <c r="BV75" s="843"/>
      <c r="BW75" s="843"/>
      <c r="BX75" s="843"/>
      <c r="BY75" s="843"/>
      <c r="BZ75" s="843"/>
      <c r="CA75" s="843"/>
      <c r="CB75" s="843"/>
      <c r="CC75" s="843"/>
      <c r="CD75" s="843"/>
      <c r="CE75" s="843"/>
      <c r="CF75" s="843"/>
      <c r="CG75" s="843"/>
      <c r="CH75" s="843"/>
      <c r="CI75" s="843"/>
      <c r="CJ75" s="843"/>
      <c r="CK75" s="843"/>
      <c r="CL75" s="843"/>
      <c r="CM75" s="315"/>
    </row>
    <row r="76" spans="1:178" ht="15">
      <c r="A76" s="324"/>
      <c r="F76" s="1392" t="s">
        <v>547</v>
      </c>
      <c r="G76" s="1392"/>
      <c r="H76" s="1393"/>
      <c r="I76" s="1393"/>
      <c r="J76" s="1393"/>
      <c r="K76" s="1393"/>
    </row>
    <row r="77" spans="1:178" ht="15" customHeight="1">
      <c r="F77" s="974" t="s">
        <v>548</v>
      </c>
      <c r="G77" s="975">
        <f>'[10]Opex PVC'!B64</f>
        <v>161200</v>
      </c>
    </row>
    <row r="78" spans="1:178" ht="15" customHeight="1">
      <c r="F78" s="976" t="s">
        <v>549</v>
      </c>
      <c r="G78" s="67">
        <v>91750</v>
      </c>
    </row>
    <row r="79" spans="1:178">
      <c r="F79" s="976" t="s">
        <v>550</v>
      </c>
      <c r="G79" s="67">
        <f>'[10]Products Output'!B14*0.35*1000</f>
        <v>30786.6363372333</v>
      </c>
    </row>
    <row r="80" spans="1:178">
      <c r="F80" s="976" t="s">
        <v>551</v>
      </c>
      <c r="G80" s="67">
        <f>'[10]Products Output'!B14*0.65*1000</f>
        <v>57175.181769147566</v>
      </c>
    </row>
    <row r="81" spans="6:7">
      <c r="F81" s="976"/>
      <c r="G81" s="67"/>
    </row>
    <row r="82" spans="6:7">
      <c r="F82" s="976"/>
      <c r="G82" s="977"/>
    </row>
    <row r="83" spans="6:7">
      <c r="F83" s="894"/>
      <c r="G83" s="978"/>
    </row>
  </sheetData>
  <mergeCells count="13">
    <mergeCell ref="A2:A6"/>
    <mergeCell ref="A7:A11"/>
    <mergeCell ref="A12:A15"/>
    <mergeCell ref="E12:E15"/>
    <mergeCell ref="A16:A22"/>
    <mergeCell ref="E16:E22"/>
    <mergeCell ref="F76:K76"/>
    <mergeCell ref="A23:A33"/>
    <mergeCell ref="A34:A40"/>
    <mergeCell ref="E34:E40"/>
    <mergeCell ref="A42:A43"/>
    <mergeCell ref="A56:A57"/>
    <mergeCell ref="A59:E68"/>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E909B-7493-428C-AB74-EF731189183E}">
  <sheetPr codeName="Sheet38"/>
  <dimension ref="A1:FW75"/>
  <sheetViews>
    <sheetView showGridLines="0" topLeftCell="C25" zoomScaleNormal="100" workbookViewId="0">
      <selection activeCell="F13" sqref="F13:F14"/>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75.28515625" style="324" customWidth="1"/>
    <col min="7" max="7" width="16.28515625" style="324" bestFit="1" customWidth="1"/>
    <col min="8" max="8" width="17.140625" style="324" customWidth="1"/>
    <col min="9" max="9" width="16.7109375" style="324" customWidth="1"/>
    <col min="10" max="10" width="16.140625" style="324" customWidth="1"/>
    <col min="11" max="11" width="15.85546875" style="324" customWidth="1"/>
    <col min="12" max="12" width="15.5703125" style="324" customWidth="1"/>
    <col min="13" max="13" width="15.85546875" style="324" customWidth="1"/>
    <col min="14" max="16" width="16.5703125" style="324" customWidth="1"/>
    <col min="17" max="17" width="14.5703125" style="324" customWidth="1"/>
    <col min="18" max="18" width="17.28515625" style="324" customWidth="1"/>
    <col min="19" max="19" width="16.7109375" style="324" customWidth="1"/>
    <col min="20" max="20" width="16.28515625" style="324" customWidth="1"/>
    <col min="21" max="21" width="16.5703125" style="324" customWidth="1"/>
    <col min="22" max="22" width="17.85546875" style="324" customWidth="1"/>
    <col min="23" max="42" width="16.28515625" style="324" customWidth="1"/>
    <col min="43" max="43" width="15.42578125" style="324" customWidth="1"/>
    <col min="44" max="45" width="16.28515625" style="324" customWidth="1"/>
    <col min="46" max="46" width="18.7109375" style="351" bestFit="1" customWidth="1"/>
    <col min="47" max="90" width="15.85546875" style="1" bestFit="1" customWidth="1"/>
    <col min="91" max="91" width="25.85546875" style="347"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ht="21" customHeight="1">
      <c r="A1" s="845" t="s">
        <v>420</v>
      </c>
      <c r="B1" s="845" t="s">
        <v>401</v>
      </c>
      <c r="C1" s="846" t="s">
        <v>166</v>
      </c>
      <c r="D1" s="846" t="s">
        <v>196</v>
      </c>
      <c r="E1" s="845" t="s">
        <v>396</v>
      </c>
      <c r="F1" s="847" t="s">
        <v>4</v>
      </c>
      <c r="G1" s="848">
        <v>41913</v>
      </c>
      <c r="H1" s="848">
        <v>41944</v>
      </c>
      <c r="I1" s="848">
        <v>41974</v>
      </c>
      <c r="J1" s="848">
        <v>42005</v>
      </c>
      <c r="K1" s="848">
        <v>42036</v>
      </c>
      <c r="L1" s="848">
        <v>42064</v>
      </c>
      <c r="M1" s="848">
        <v>42095</v>
      </c>
      <c r="N1" s="848">
        <v>42125</v>
      </c>
      <c r="O1" s="848">
        <v>42156</v>
      </c>
      <c r="P1" s="848">
        <v>42186</v>
      </c>
      <c r="Q1" s="848">
        <v>42217</v>
      </c>
      <c r="R1" s="848">
        <v>42248</v>
      </c>
      <c r="S1" s="848">
        <v>42278</v>
      </c>
      <c r="T1" s="848">
        <v>42309</v>
      </c>
      <c r="U1" s="848">
        <v>42339</v>
      </c>
      <c r="V1" s="848">
        <v>42370</v>
      </c>
      <c r="W1" s="848">
        <v>42401</v>
      </c>
      <c r="X1" s="848">
        <v>42430</v>
      </c>
      <c r="Y1" s="848">
        <v>42461</v>
      </c>
      <c r="Z1" s="848">
        <v>42491</v>
      </c>
      <c r="AA1" s="848">
        <v>42522</v>
      </c>
      <c r="AB1" s="848">
        <v>42552</v>
      </c>
      <c r="AC1" s="848">
        <v>42583</v>
      </c>
      <c r="AD1" s="848">
        <v>42614</v>
      </c>
      <c r="AE1" s="848">
        <v>42644</v>
      </c>
      <c r="AF1" s="848">
        <v>42675</v>
      </c>
      <c r="AG1" s="848">
        <v>42705</v>
      </c>
      <c r="AH1" s="848">
        <v>42736</v>
      </c>
      <c r="AI1" s="848">
        <v>42767</v>
      </c>
      <c r="AJ1" s="848">
        <v>42795</v>
      </c>
      <c r="AK1" s="848">
        <v>42826</v>
      </c>
      <c r="AL1" s="848">
        <v>42856</v>
      </c>
      <c r="AM1" s="848">
        <v>42887</v>
      </c>
      <c r="AN1" s="848">
        <v>42917</v>
      </c>
      <c r="AO1" s="848">
        <v>42948</v>
      </c>
      <c r="AP1" s="848">
        <v>42979</v>
      </c>
      <c r="AQ1" s="848">
        <v>43009</v>
      </c>
      <c r="AR1" s="848">
        <v>43040</v>
      </c>
      <c r="AS1" s="848">
        <v>43070</v>
      </c>
      <c r="AT1" s="848">
        <v>43101</v>
      </c>
      <c r="AU1" s="848">
        <v>43132</v>
      </c>
      <c r="AV1" s="848">
        <v>43160</v>
      </c>
      <c r="AW1" s="848">
        <v>43191</v>
      </c>
      <c r="AX1" s="848">
        <v>43221</v>
      </c>
      <c r="AY1" s="848">
        <v>43252</v>
      </c>
      <c r="AZ1" s="848">
        <v>43282</v>
      </c>
      <c r="BA1" s="848">
        <v>43313</v>
      </c>
      <c r="BB1" s="848">
        <v>43344</v>
      </c>
      <c r="BC1" s="848">
        <v>43374</v>
      </c>
      <c r="BD1" s="848">
        <v>43405</v>
      </c>
      <c r="BE1" s="848">
        <v>43435</v>
      </c>
      <c r="BF1" s="848">
        <v>43466</v>
      </c>
      <c r="BG1" s="848">
        <v>43497</v>
      </c>
      <c r="BH1" s="848">
        <v>43525</v>
      </c>
      <c r="BI1" s="848">
        <v>43556</v>
      </c>
      <c r="BJ1" s="848">
        <v>43586</v>
      </c>
      <c r="BK1" s="848">
        <v>43617</v>
      </c>
      <c r="BL1" s="848">
        <v>43647</v>
      </c>
      <c r="BM1" s="848">
        <v>43678</v>
      </c>
      <c r="BN1" s="848">
        <v>43709</v>
      </c>
      <c r="BO1" s="848">
        <v>43739</v>
      </c>
      <c r="BP1" s="848">
        <v>43770</v>
      </c>
      <c r="BQ1" s="848">
        <v>43800</v>
      </c>
      <c r="BR1" s="848">
        <v>43831</v>
      </c>
      <c r="BS1" s="848">
        <v>43862</v>
      </c>
      <c r="BT1" s="848">
        <v>43891</v>
      </c>
      <c r="BU1" s="848">
        <v>43922</v>
      </c>
      <c r="BV1" s="848">
        <v>43952</v>
      </c>
      <c r="BW1" s="848">
        <v>43983</v>
      </c>
      <c r="BX1" s="848">
        <v>44013</v>
      </c>
      <c r="BY1" s="848">
        <v>44044</v>
      </c>
      <c r="BZ1" s="848">
        <v>44075</v>
      </c>
      <c r="CA1" s="848">
        <v>44105</v>
      </c>
      <c r="CB1" s="848">
        <v>44136</v>
      </c>
      <c r="CC1" s="848">
        <v>44166</v>
      </c>
      <c r="CD1" s="848">
        <v>44197</v>
      </c>
      <c r="CE1" s="848">
        <v>44228</v>
      </c>
      <c r="CF1" s="848">
        <v>44256</v>
      </c>
      <c r="CG1" s="848">
        <v>44287</v>
      </c>
      <c r="CH1" s="848">
        <v>44317</v>
      </c>
      <c r="CI1" s="848">
        <v>44348</v>
      </c>
      <c r="CJ1" s="848">
        <v>44378</v>
      </c>
      <c r="CK1" s="848">
        <v>44409</v>
      </c>
      <c r="CL1" s="848">
        <v>44440</v>
      </c>
      <c r="CM1" s="849" t="s">
        <v>514</v>
      </c>
      <c r="CN1" s="347"/>
      <c r="CO1" s="347"/>
      <c r="CP1" s="347"/>
      <c r="CQ1" s="347"/>
      <c r="CR1" s="347"/>
      <c r="CS1" s="347"/>
      <c r="CT1" s="347"/>
      <c r="CU1" s="347"/>
      <c r="CV1" s="347"/>
      <c r="CW1" s="347"/>
      <c r="CX1" s="347"/>
      <c r="CY1" s="347"/>
      <c r="CZ1" s="347"/>
      <c r="DA1" s="347"/>
      <c r="DB1" s="347"/>
      <c r="DC1" s="347"/>
      <c r="DD1" s="347"/>
      <c r="DE1" s="347"/>
      <c r="DF1" s="347"/>
      <c r="DG1" s="347"/>
      <c r="DH1" s="347"/>
      <c r="DI1" s="347"/>
      <c r="DJ1" s="347"/>
      <c r="DK1" s="347"/>
      <c r="DL1" s="347"/>
      <c r="DM1" s="347"/>
      <c r="DN1" s="347"/>
      <c r="DO1" s="347"/>
      <c r="DP1" s="347"/>
      <c r="DQ1" s="347"/>
      <c r="DR1" s="347"/>
      <c r="DS1" s="347"/>
      <c r="DT1" s="347"/>
      <c r="DU1" s="347"/>
      <c r="DV1" s="347"/>
      <c r="DW1" s="347"/>
      <c r="DX1" s="347"/>
      <c r="DY1" s="347"/>
      <c r="DZ1" s="347"/>
      <c r="EA1" s="347"/>
      <c r="EB1" s="347"/>
      <c r="EC1" s="347"/>
      <c r="ED1" s="347"/>
      <c r="EE1" s="347"/>
      <c r="EF1" s="347"/>
      <c r="EG1" s="347"/>
      <c r="EH1" s="347"/>
      <c r="EI1" s="347"/>
      <c r="EJ1" s="347"/>
      <c r="EK1" s="347"/>
      <c r="EL1" s="347"/>
      <c r="EM1" s="347"/>
      <c r="EN1" s="347"/>
      <c r="EO1" s="347"/>
      <c r="EP1" s="347"/>
      <c r="EQ1" s="347"/>
      <c r="ER1" s="347"/>
      <c r="ES1" s="347"/>
      <c r="ET1" s="347"/>
      <c r="EU1" s="347"/>
      <c r="EV1" s="347"/>
      <c r="EW1" s="347"/>
      <c r="EX1" s="347"/>
      <c r="EY1" s="347"/>
      <c r="EZ1" s="347"/>
      <c r="FA1" s="347"/>
      <c r="FB1" s="347"/>
      <c r="FC1" s="347"/>
      <c r="FD1" s="347"/>
      <c r="FE1" s="347"/>
      <c r="FF1" s="347"/>
      <c r="FG1" s="347"/>
      <c r="FH1" s="347"/>
      <c r="FI1" s="347"/>
      <c r="FJ1" s="347"/>
      <c r="FK1" s="347"/>
      <c r="FL1" s="347"/>
      <c r="FM1" s="347"/>
      <c r="FN1" s="347"/>
      <c r="FO1" s="347"/>
      <c r="FP1" s="347"/>
      <c r="FQ1" s="347"/>
      <c r="FR1" s="347"/>
      <c r="FS1" s="347"/>
      <c r="FT1" s="347"/>
      <c r="FU1" s="347"/>
      <c r="FV1" s="347"/>
    </row>
    <row r="2" spans="1:178">
      <c r="A2" s="1399" t="s">
        <v>445</v>
      </c>
      <c r="B2" s="313" t="s">
        <v>400</v>
      </c>
      <c r="C2" s="583" t="s">
        <v>151</v>
      </c>
      <c r="D2" s="583"/>
      <c r="E2" s="850" t="s">
        <v>464</v>
      </c>
      <c r="F2" s="851" t="s">
        <v>168</v>
      </c>
      <c r="G2" s="851">
        <v>26532.757774575486</v>
      </c>
      <c r="H2" s="851">
        <v>27538.553651570412</v>
      </c>
      <c r="I2" s="851">
        <v>28993.109070287312</v>
      </c>
      <c r="J2" s="851">
        <v>26638.108618821272</v>
      </c>
      <c r="K2" s="851">
        <v>25987.682939534854</v>
      </c>
      <c r="L2" s="851">
        <v>26186.436136518663</v>
      </c>
      <c r="M2" s="851">
        <v>25667.003775591307</v>
      </c>
      <c r="N2" s="851">
        <v>25845.072172532211</v>
      </c>
      <c r="O2" s="851">
        <v>25797.372344387091</v>
      </c>
      <c r="P2" s="851">
        <v>25656.501958812332</v>
      </c>
      <c r="Q2" s="851">
        <v>26333.40463914162</v>
      </c>
      <c r="R2" s="851">
        <v>26165.279396752732</v>
      </c>
      <c r="S2" s="598">
        <v>25666.025923460737</v>
      </c>
      <c r="T2" s="598">
        <v>24899.180889438954</v>
      </c>
      <c r="U2" s="598">
        <v>23880.586166248431</v>
      </c>
      <c r="V2" s="598">
        <v>24411.700702863644</v>
      </c>
      <c r="W2" s="598">
        <v>24257.001940080365</v>
      </c>
      <c r="X2" s="598">
        <v>22868.375878670595</v>
      </c>
      <c r="Y2" s="598">
        <v>21911.066739021626</v>
      </c>
      <c r="Z2" s="598">
        <v>22200.733682426511</v>
      </c>
      <c r="AA2" s="598">
        <v>22204.945784979776</v>
      </c>
      <c r="AB2" s="598">
        <v>24136.999651818103</v>
      </c>
      <c r="AC2" s="598">
        <v>23625.007726584867</v>
      </c>
      <c r="AD2" s="598">
        <v>23954.932396815879</v>
      </c>
      <c r="AE2" s="598">
        <v>23156.266311160871</v>
      </c>
      <c r="AF2" s="598">
        <v>23092.4420426506</v>
      </c>
      <c r="AG2" s="598">
        <v>24011.42218155443</v>
      </c>
      <c r="AH2" s="598">
        <v>25537.09773798829</v>
      </c>
      <c r="AI2" s="598">
        <v>24094.833182933955</v>
      </c>
      <c r="AJ2" s="598">
        <v>22184.430958909365</v>
      </c>
      <c r="AK2" s="598">
        <v>22965.192311160296</v>
      </c>
      <c r="AL2" s="598">
        <v>22907.081265541587</v>
      </c>
      <c r="AM2" s="598">
        <v>23103.549710953474</v>
      </c>
      <c r="AN2" s="598">
        <v>22706.754148270244</v>
      </c>
      <c r="AO2" s="598">
        <v>22463.707960719952</v>
      </c>
      <c r="AP2" s="598">
        <v>22558.914567701315</v>
      </c>
      <c r="AQ2" s="598">
        <v>23408.05811496501</v>
      </c>
      <c r="AR2" s="598">
        <v>22931.207281310824</v>
      </c>
      <c r="AS2" s="598">
        <v>23341.626818591918</v>
      </c>
      <c r="AT2" s="852">
        <v>22626.398787992621</v>
      </c>
      <c r="AU2" s="598">
        <v>24652.879594262893</v>
      </c>
      <c r="AV2" s="598">
        <v>22754.103545353588</v>
      </c>
      <c r="AW2" s="598">
        <v>23394.296752409726</v>
      </c>
      <c r="AX2" s="598">
        <v>24078.056544339099</v>
      </c>
      <c r="AY2" s="598">
        <v>24316.438633911333</v>
      </c>
      <c r="AZ2" s="598">
        <v>24753.999020581345</v>
      </c>
      <c r="BA2" s="598">
        <v>24741.737413414776</v>
      </c>
      <c r="BB2" s="598">
        <v>25562.042696335113</v>
      </c>
      <c r="BC2" s="598">
        <v>26646.238960953415</v>
      </c>
      <c r="BD2" s="598">
        <v>26439.926430104657</v>
      </c>
      <c r="BE2" s="598">
        <v>29613.63340573421</v>
      </c>
      <c r="BF2" s="598">
        <v>27397.137223547619</v>
      </c>
      <c r="BG2" s="598">
        <v>25900.188741819948</v>
      </c>
      <c r="BH2" s="598">
        <v>25181.001935040003</v>
      </c>
      <c r="BI2" s="598">
        <v>25504.644461517979</v>
      </c>
      <c r="BJ2" s="598">
        <v>25303.495922054404</v>
      </c>
      <c r="BK2" s="598">
        <v>25290.442419167994</v>
      </c>
      <c r="BL2" s="598">
        <v>24484.327470695331</v>
      </c>
      <c r="BM2" s="598">
        <v>24754.820494311622</v>
      </c>
      <c r="BN2" s="598">
        <v>24932.817564447443</v>
      </c>
      <c r="BO2" s="598">
        <v>24429.903521937635</v>
      </c>
      <c r="BP2" s="598">
        <v>25001.12858800892</v>
      </c>
      <c r="BQ2" s="598">
        <v>24620.992049650831</v>
      </c>
      <c r="BR2" s="598">
        <v>23913.876071032319</v>
      </c>
      <c r="BS2" s="598">
        <v>23440.799970106109</v>
      </c>
      <c r="BT2" s="598">
        <v>24067.163617845239</v>
      </c>
      <c r="BU2" s="598">
        <v>22191.876283052297</v>
      </c>
      <c r="BV2" s="598">
        <v>22482.805339731309</v>
      </c>
      <c r="BW2" s="598">
        <v>22300.363486427781</v>
      </c>
      <c r="BX2" s="598">
        <v>21616.913899096671</v>
      </c>
      <c r="BY2" s="598">
        <v>22305.949514621501</v>
      </c>
      <c r="BZ2" s="598">
        <v>23807.872193244646</v>
      </c>
      <c r="CA2" s="598">
        <v>21583.729460977393</v>
      </c>
      <c r="CB2" s="598">
        <v>23735.727310311726</v>
      </c>
      <c r="CC2" s="598">
        <v>23368.786714535316</v>
      </c>
      <c r="CD2" s="598">
        <v>22276.08823195671</v>
      </c>
      <c r="CE2" s="598">
        <v>22954.152918779349</v>
      </c>
      <c r="CF2" s="598">
        <v>23100.627864737675</v>
      </c>
      <c r="CG2" s="598">
        <v>22895.16877505945</v>
      </c>
      <c r="CH2" s="598">
        <v>23300.029611459526</v>
      </c>
      <c r="CI2" s="598">
        <v>23695.585610401336</v>
      </c>
      <c r="CJ2" s="598">
        <v>25278.910518610683</v>
      </c>
      <c r="CK2" s="598">
        <v>26109.479405397575</v>
      </c>
      <c r="CL2" s="851">
        <v>26840.930556194784</v>
      </c>
      <c r="CM2" s="598">
        <f t="shared" ref="CM2:CM65" si="0">AVERAGE(G2:CL2)</f>
        <v>24326.998977220468</v>
      </c>
      <c r="CN2" s="853" t="s">
        <v>197</v>
      </c>
      <c r="CO2" s="853"/>
      <c r="CP2" s="853"/>
      <c r="CQ2" s="853"/>
      <c r="CR2" s="853"/>
      <c r="CS2" s="853"/>
      <c r="CT2" s="853"/>
      <c r="CU2" s="853"/>
      <c r="CV2" s="853"/>
      <c r="CW2" s="853"/>
      <c r="CX2" s="853"/>
      <c r="CY2" s="853"/>
      <c r="CZ2" s="853"/>
      <c r="DA2" s="853"/>
      <c r="DB2" s="853"/>
      <c r="DC2" s="853"/>
      <c r="DD2" s="853"/>
      <c r="DE2" s="853"/>
      <c r="DF2" s="853"/>
      <c r="DG2" s="853"/>
      <c r="DH2" s="853"/>
      <c r="DI2" s="853"/>
      <c r="DJ2" s="853"/>
      <c r="DK2" s="853"/>
      <c r="DL2" s="853"/>
      <c r="DM2" s="853"/>
      <c r="DN2" s="853"/>
      <c r="DO2" s="853"/>
      <c r="DP2" s="853"/>
      <c r="DQ2" s="853"/>
      <c r="DR2" s="853"/>
      <c r="DS2" s="853"/>
      <c r="DT2" s="853"/>
      <c r="DU2" s="853"/>
      <c r="DV2" s="853"/>
      <c r="DW2" s="853"/>
      <c r="DX2" s="853"/>
      <c r="DY2" s="853"/>
      <c r="DZ2" s="853"/>
      <c r="EA2" s="853"/>
      <c r="EB2" s="853"/>
      <c r="EC2" s="347"/>
      <c r="ED2" s="347"/>
      <c r="EE2" s="347"/>
      <c r="EF2" s="347"/>
      <c r="EG2" s="347"/>
      <c r="EH2" s="347"/>
      <c r="EI2" s="347"/>
      <c r="EJ2" s="347"/>
      <c r="EK2" s="347"/>
      <c r="EL2" s="347"/>
      <c r="EM2" s="347"/>
      <c r="EN2" s="347"/>
      <c r="EO2" s="347"/>
      <c r="EP2" s="347"/>
      <c r="EQ2" s="347"/>
      <c r="ER2" s="347"/>
      <c r="ES2" s="347"/>
      <c r="ET2" s="347"/>
      <c r="EU2" s="347"/>
      <c r="EV2" s="347"/>
      <c r="EW2" s="347"/>
      <c r="EX2" s="347"/>
      <c r="EY2" s="347"/>
      <c r="EZ2" s="347"/>
      <c r="FA2" s="347"/>
      <c r="FB2" s="347"/>
      <c r="FC2" s="347"/>
      <c r="FD2" s="347"/>
      <c r="FE2" s="347"/>
      <c r="FF2" s="347"/>
      <c r="FG2" s="347"/>
      <c r="FH2" s="347"/>
      <c r="FI2" s="347"/>
      <c r="FJ2" s="347"/>
      <c r="FK2" s="347"/>
      <c r="FL2" s="347"/>
      <c r="FM2" s="347"/>
      <c r="FN2" s="347"/>
      <c r="FO2" s="347"/>
      <c r="FP2" s="347"/>
      <c r="FQ2" s="347"/>
      <c r="FR2" s="347"/>
      <c r="FS2" s="347"/>
      <c r="FT2" s="347"/>
      <c r="FU2" s="347"/>
      <c r="FV2" s="347"/>
    </row>
    <row r="3" spans="1:178">
      <c r="A3" s="1394"/>
      <c r="B3" s="1154" t="s">
        <v>400</v>
      </c>
      <c r="C3" s="581" t="s">
        <v>151</v>
      </c>
      <c r="D3" s="581"/>
      <c r="E3" s="347" t="s">
        <v>464</v>
      </c>
      <c r="F3" s="854" t="s">
        <v>0</v>
      </c>
      <c r="G3" s="438">
        <v>47327.845206284997</v>
      </c>
      <c r="H3" s="438">
        <v>39482.80760588</v>
      </c>
      <c r="I3" s="438">
        <v>36204.060790149997</v>
      </c>
      <c r="J3" s="438">
        <v>27698.208912624999</v>
      </c>
      <c r="K3" s="438">
        <v>29295.424416149999</v>
      </c>
      <c r="L3" s="438">
        <v>32785.037939000002</v>
      </c>
      <c r="M3" s="438">
        <v>30278.944923519997</v>
      </c>
      <c r="N3" s="438">
        <v>31112.532112649998</v>
      </c>
      <c r="O3" s="438">
        <v>27122.875893674995</v>
      </c>
      <c r="P3" s="438">
        <v>26376.786423944999</v>
      </c>
      <c r="Q3" s="438">
        <v>24927.501257080003</v>
      </c>
      <c r="R3" s="438">
        <v>21879.322637759997</v>
      </c>
      <c r="S3" s="380">
        <v>24575.123904479995</v>
      </c>
      <c r="T3" s="380">
        <v>27419.471417719997</v>
      </c>
      <c r="U3" s="380">
        <v>32111.792529339997</v>
      </c>
      <c r="V3" s="380">
        <v>24361.102800000001</v>
      </c>
      <c r="W3" s="380">
        <v>20343.800900000002</v>
      </c>
      <c r="X3" s="380">
        <v>20225.6142</v>
      </c>
      <c r="Y3" s="380">
        <v>22277.670000000002</v>
      </c>
      <c r="Z3" s="380">
        <v>22772.380700000002</v>
      </c>
      <c r="AA3" s="380">
        <v>23208.521000000001</v>
      </c>
      <c r="AB3" s="380">
        <v>20679.534800000001</v>
      </c>
      <c r="AC3" s="380">
        <v>19966.231</v>
      </c>
      <c r="AD3" s="380">
        <v>20608.4136</v>
      </c>
      <c r="AE3" s="380">
        <v>23739.838200000002</v>
      </c>
      <c r="AF3" s="380">
        <v>27675.5599</v>
      </c>
      <c r="AG3" s="380">
        <v>26944.4758</v>
      </c>
      <c r="AH3" s="380">
        <v>30970.144900000003</v>
      </c>
      <c r="AI3" s="380">
        <v>35685.062100000003</v>
      </c>
      <c r="AJ3" s="380">
        <v>33001.282700000003</v>
      </c>
      <c r="AK3" s="380">
        <v>28971.43</v>
      </c>
      <c r="AL3" s="380">
        <v>25940.411800000002</v>
      </c>
      <c r="AM3" s="380">
        <v>25950.870800000001</v>
      </c>
      <c r="AN3" s="380">
        <v>23221.071800000002</v>
      </c>
      <c r="AO3" s="380">
        <v>28110.654300000002</v>
      </c>
      <c r="AP3" s="380">
        <v>32381.064000000002</v>
      </c>
      <c r="AQ3" s="380">
        <v>39089.4666</v>
      </c>
      <c r="AR3" s="380">
        <v>38985.922500000001</v>
      </c>
      <c r="AS3" s="380">
        <v>39578.947800000002</v>
      </c>
      <c r="AT3" s="855">
        <v>39294.463000000003</v>
      </c>
      <c r="AU3" s="356">
        <v>35437.183799999999</v>
      </c>
      <c r="AV3" s="356">
        <v>32666.594700000001</v>
      </c>
      <c r="AW3" s="356">
        <v>32691.696300000003</v>
      </c>
      <c r="AX3" s="356">
        <v>35282.390599999999</v>
      </c>
      <c r="AY3" s="356">
        <v>39784.990100000003</v>
      </c>
      <c r="AZ3" s="356">
        <v>39850.881800000003</v>
      </c>
      <c r="BA3" s="356">
        <v>42365.225400000003</v>
      </c>
      <c r="BB3" s="356">
        <v>45248.771700000005</v>
      </c>
      <c r="BC3" s="356">
        <v>50290.009700000002</v>
      </c>
      <c r="BD3" s="356">
        <v>40239.956600000005</v>
      </c>
      <c r="BE3" s="356">
        <v>32952.125400000004</v>
      </c>
      <c r="BF3" s="356">
        <v>31827.782900000002</v>
      </c>
      <c r="BG3" s="356">
        <v>32745.037200000002</v>
      </c>
      <c r="BH3" s="356">
        <v>35573.150800000003</v>
      </c>
      <c r="BI3" s="356">
        <v>37367.915200000003</v>
      </c>
      <c r="BJ3" s="356">
        <v>38308.179300000003</v>
      </c>
      <c r="BK3" s="356">
        <v>31230.574000000001</v>
      </c>
      <c r="BL3" s="356">
        <v>26991.541300000001</v>
      </c>
      <c r="BM3" s="356">
        <v>27524.9503</v>
      </c>
      <c r="BN3" s="356">
        <v>26006.303500000002</v>
      </c>
      <c r="BO3" s="356">
        <v>31143.764300000003</v>
      </c>
      <c r="BP3" s="356">
        <v>32199.077400000002</v>
      </c>
      <c r="BQ3" s="356">
        <v>32762.817500000001</v>
      </c>
      <c r="BR3" s="356">
        <v>42114.2094</v>
      </c>
      <c r="BS3" s="356">
        <v>37957.802800000005</v>
      </c>
      <c r="BT3" s="356">
        <v>33649.740700000002</v>
      </c>
      <c r="BU3" s="356">
        <v>18321.030300000002</v>
      </c>
      <c r="BV3" s="356">
        <v>26936.1086</v>
      </c>
      <c r="BW3" s="356">
        <v>27733.0844</v>
      </c>
      <c r="BX3" s="356">
        <v>28196.418100000003</v>
      </c>
      <c r="BY3" s="356">
        <v>28402.4604</v>
      </c>
      <c r="BZ3" s="356">
        <v>28044.762600000002</v>
      </c>
      <c r="CA3" s="356">
        <v>28895.079300000001</v>
      </c>
      <c r="CB3" s="356">
        <v>33337.016600000003</v>
      </c>
      <c r="CC3" s="356">
        <v>34620.335899999998</v>
      </c>
      <c r="CD3" s="356">
        <v>42036.8128</v>
      </c>
      <c r="CE3" s="356">
        <v>46182.760399999999</v>
      </c>
      <c r="CF3" s="356">
        <v>47590.541799999999</v>
      </c>
      <c r="CG3" s="356">
        <v>43633.902099999999</v>
      </c>
      <c r="CH3" s="356">
        <v>37765.357199999999</v>
      </c>
      <c r="CI3" s="356">
        <v>40887.368699999999</v>
      </c>
      <c r="CJ3" s="356">
        <v>48290.248900000006</v>
      </c>
      <c r="CK3" s="356">
        <v>51055.608500000002</v>
      </c>
      <c r="CL3" s="854">
        <v>51226.090200000006</v>
      </c>
      <c r="CM3" s="356">
        <f t="shared" si="0"/>
        <v>32618.444412741188</v>
      </c>
      <c r="CN3" s="347"/>
      <c r="CO3" s="853" t="s">
        <v>198</v>
      </c>
      <c r="CP3" s="853" t="s">
        <v>199</v>
      </c>
      <c r="CQ3" s="853" t="s">
        <v>200</v>
      </c>
      <c r="CR3" s="853" t="s">
        <v>1</v>
      </c>
      <c r="CS3" s="347"/>
      <c r="CT3" s="347"/>
      <c r="CU3" s="347"/>
      <c r="CV3" s="347"/>
      <c r="CW3" s="347"/>
      <c r="DB3" s="856"/>
      <c r="DC3" s="856"/>
      <c r="DD3" s="856"/>
      <c r="DE3" s="856"/>
      <c r="DF3" s="856"/>
      <c r="DG3" s="856"/>
      <c r="DH3" s="856"/>
      <c r="DI3" s="856"/>
      <c r="DJ3" s="856"/>
      <c r="DK3" s="856"/>
      <c r="DL3" s="856"/>
      <c r="DM3" s="856"/>
      <c r="DN3" s="856"/>
      <c r="DO3" s="856"/>
      <c r="DP3" s="856"/>
      <c r="DQ3" s="856"/>
      <c r="DR3" s="856"/>
      <c r="DS3" s="856"/>
      <c r="DT3" s="856"/>
      <c r="DU3" s="856"/>
      <c r="DV3" s="856"/>
      <c r="DW3" s="856"/>
      <c r="DX3" s="856"/>
      <c r="DY3" s="856"/>
      <c r="DZ3" s="856"/>
      <c r="EA3" s="856"/>
      <c r="EB3" s="856"/>
      <c r="EC3" s="347"/>
      <c r="ED3" s="347"/>
      <c r="EE3" s="347"/>
      <c r="EF3" s="347"/>
      <c r="EG3" s="347"/>
      <c r="EH3" s="347"/>
      <c r="EI3" s="347"/>
      <c r="EJ3" s="347"/>
      <c r="EK3" s="347"/>
      <c r="EL3" s="347"/>
      <c r="EM3" s="347"/>
      <c r="EN3" s="347"/>
      <c r="EO3" s="347"/>
      <c r="EP3" s="347"/>
      <c r="EQ3" s="347"/>
      <c r="ER3" s="347"/>
      <c r="ES3" s="347"/>
      <c r="ET3" s="347"/>
      <c r="EU3" s="347"/>
      <c r="EV3" s="347"/>
      <c r="EW3" s="347"/>
      <c r="EX3" s="347"/>
      <c r="EY3" s="347"/>
      <c r="EZ3" s="347"/>
      <c r="FA3" s="347"/>
      <c r="FB3" s="347"/>
      <c r="FC3" s="347"/>
      <c r="FD3" s="347"/>
      <c r="FE3" s="347"/>
      <c r="FF3" s="347"/>
      <c r="FG3" s="347"/>
      <c r="FH3" s="347"/>
      <c r="FI3" s="347"/>
      <c r="FJ3" s="347"/>
      <c r="FK3" s="347"/>
      <c r="FL3" s="347"/>
      <c r="FM3" s="347"/>
      <c r="FN3" s="347"/>
      <c r="FO3" s="347"/>
      <c r="FP3" s="347"/>
      <c r="FQ3" s="347"/>
      <c r="FR3" s="347"/>
      <c r="FS3" s="347"/>
      <c r="FT3" s="347"/>
      <c r="FU3" s="347"/>
      <c r="FV3" s="347"/>
    </row>
    <row r="4" spans="1:178">
      <c r="A4" s="1394"/>
      <c r="B4" s="1154" t="s">
        <v>400</v>
      </c>
      <c r="C4" s="581" t="s">
        <v>151</v>
      </c>
      <c r="D4" s="581"/>
      <c r="E4" s="347" t="s">
        <v>464</v>
      </c>
      <c r="F4" s="854" t="s">
        <v>398</v>
      </c>
      <c r="G4" s="438">
        <v>49114.0222634565</v>
      </c>
      <c r="H4" s="438">
        <v>38720.781829679996</v>
      </c>
      <c r="I4" s="438">
        <v>37409.691468650999</v>
      </c>
      <c r="J4" s="438">
        <v>30540.439970405001</v>
      </c>
      <c r="K4" s="438">
        <v>31156.107426096001</v>
      </c>
      <c r="L4" s="438">
        <v>30073.099605308002</v>
      </c>
      <c r="M4" s="438">
        <v>30845.757435424002</v>
      </c>
      <c r="N4" s="438">
        <v>31687.697930225004</v>
      </c>
      <c r="O4" s="438">
        <v>29379.747895740002</v>
      </c>
      <c r="P4" s="438">
        <v>28296.217956442502</v>
      </c>
      <c r="Q4" s="438">
        <v>27237.080130880004</v>
      </c>
      <c r="R4" s="438">
        <v>23892.252103007999</v>
      </c>
      <c r="S4" s="380">
        <v>24842.812105361998</v>
      </c>
      <c r="T4" s="380">
        <v>30106.891295556001</v>
      </c>
      <c r="U4" s="380">
        <v>33060.925121352499</v>
      </c>
      <c r="V4" s="380">
        <v>27538</v>
      </c>
      <c r="W4" s="380">
        <v>22486</v>
      </c>
      <c r="X4" s="380">
        <v>22318</v>
      </c>
      <c r="Y4" s="380">
        <v>24367</v>
      </c>
      <c r="Z4" s="380">
        <v>26626</v>
      </c>
      <c r="AA4" s="380">
        <v>25670</v>
      </c>
      <c r="AB4" s="380">
        <v>21731</v>
      </c>
      <c r="AC4" s="380">
        <v>20316</v>
      </c>
      <c r="AD4" s="380">
        <v>22355</v>
      </c>
      <c r="AE4" s="380">
        <v>25834</v>
      </c>
      <c r="AF4" s="380">
        <v>31223</v>
      </c>
      <c r="AG4" s="380">
        <v>29781</v>
      </c>
      <c r="AH4" s="380">
        <v>35242</v>
      </c>
      <c r="AI4" s="380">
        <v>41983</v>
      </c>
      <c r="AJ4" s="380">
        <v>41252</v>
      </c>
      <c r="AK4" s="380">
        <v>33014</v>
      </c>
      <c r="AL4" s="380">
        <v>26278</v>
      </c>
      <c r="AM4" s="380">
        <v>26288</v>
      </c>
      <c r="AN4" s="380">
        <v>24567</v>
      </c>
      <c r="AO4" s="380">
        <v>30788</v>
      </c>
      <c r="AP4" s="380">
        <v>33730</v>
      </c>
      <c r="AQ4" s="380">
        <v>39430</v>
      </c>
      <c r="AR4" s="380">
        <v>39325</v>
      </c>
      <c r="AS4" s="380">
        <v>38237</v>
      </c>
      <c r="AT4" s="855">
        <v>37962</v>
      </c>
      <c r="AU4" s="356">
        <v>34087</v>
      </c>
      <c r="AV4" s="356">
        <v>31645</v>
      </c>
      <c r="AW4" s="356">
        <v>32348</v>
      </c>
      <c r="AX4" s="356">
        <v>35636</v>
      </c>
      <c r="AY4" s="356">
        <v>39785</v>
      </c>
      <c r="AZ4" s="356">
        <v>40928</v>
      </c>
      <c r="BA4" s="356">
        <v>43461</v>
      </c>
      <c r="BB4" s="356">
        <v>47888</v>
      </c>
      <c r="BC4" s="356">
        <v>50290</v>
      </c>
      <c r="BD4" s="356">
        <v>39123</v>
      </c>
      <c r="BE4" s="356">
        <v>30731</v>
      </c>
      <c r="BF4" s="356">
        <v>31088</v>
      </c>
      <c r="BG4" s="356">
        <v>34978</v>
      </c>
      <c r="BH4" s="356">
        <v>37751</v>
      </c>
      <c r="BI4" s="356">
        <v>38819</v>
      </c>
      <c r="BJ4" s="356">
        <v>38673</v>
      </c>
      <c r="BK4" s="356">
        <v>30141</v>
      </c>
      <c r="BL4" s="356">
        <v>25552</v>
      </c>
      <c r="BM4" s="356">
        <v>26781</v>
      </c>
      <c r="BN4" s="356">
        <v>26749</v>
      </c>
      <c r="BO4" s="356">
        <v>32256</v>
      </c>
      <c r="BP4" s="356">
        <v>33323</v>
      </c>
      <c r="BQ4" s="356">
        <v>33880</v>
      </c>
      <c r="BR4" s="356">
        <v>43977</v>
      </c>
      <c r="BS4" s="356">
        <v>40964</v>
      </c>
      <c r="BT4" s="356">
        <v>37562</v>
      </c>
      <c r="BU4" s="356">
        <v>19117</v>
      </c>
      <c r="BV4" s="356">
        <v>26936</v>
      </c>
      <c r="BW4" s="356">
        <v>26148</v>
      </c>
      <c r="BX4" s="356">
        <v>26630</v>
      </c>
      <c r="BY4" s="356">
        <v>26846</v>
      </c>
      <c r="BZ4" s="356">
        <v>27277</v>
      </c>
      <c r="CA4" s="356">
        <v>29280</v>
      </c>
      <c r="CB4" s="356">
        <v>34113</v>
      </c>
      <c r="CC4" s="356">
        <v>35389</v>
      </c>
      <c r="CD4" s="356">
        <v>40508</v>
      </c>
      <c r="CE4" s="356">
        <v>44656</v>
      </c>
      <c r="CF4" s="356">
        <v>45306</v>
      </c>
      <c r="CG4" s="356">
        <v>41297</v>
      </c>
      <c r="CH4" s="356">
        <v>36240</v>
      </c>
      <c r="CI4" s="356">
        <v>40502</v>
      </c>
      <c r="CJ4" s="356">
        <v>48290</v>
      </c>
      <c r="CK4" s="356">
        <v>50669</v>
      </c>
      <c r="CL4" s="854">
        <v>51226</v>
      </c>
      <c r="CM4" s="356">
        <f t="shared" si="0"/>
        <v>33494.649101637937</v>
      </c>
      <c r="CN4" s="856" t="s">
        <v>201</v>
      </c>
      <c r="CO4" s="857">
        <f>'Cracker Yields'!H15</f>
        <v>0.98795180722891562</v>
      </c>
      <c r="CP4" s="857">
        <f>'Cracker Yields'!I15</f>
        <v>0.65714285714285725</v>
      </c>
      <c r="CQ4" s="857">
        <f>'Cracker Yields'!J15</f>
        <v>0.57894736842105254</v>
      </c>
      <c r="CR4" s="857">
        <f>'Cracker Yields'!K15</f>
        <v>0.57894736842105254</v>
      </c>
      <c r="CS4" s="856"/>
      <c r="CT4" s="856"/>
      <c r="CU4" s="856"/>
      <c r="CV4" s="856"/>
      <c r="CW4" s="856"/>
      <c r="DB4" s="856"/>
      <c r="DC4" s="856"/>
      <c r="DD4" s="856"/>
      <c r="DE4" s="856"/>
      <c r="DF4" s="856"/>
      <c r="DG4" s="856"/>
      <c r="DH4" s="856"/>
      <c r="DI4" s="856"/>
      <c r="DJ4" s="856"/>
      <c r="DK4" s="856"/>
      <c r="DL4" s="856"/>
      <c r="DM4" s="856"/>
      <c r="DN4" s="856"/>
      <c r="DO4" s="856"/>
      <c r="DP4" s="856"/>
      <c r="DQ4" s="856"/>
      <c r="DR4" s="856"/>
      <c r="DS4" s="856"/>
      <c r="DT4" s="856"/>
      <c r="DU4" s="856"/>
      <c r="DV4" s="856"/>
      <c r="DW4" s="856"/>
      <c r="DX4" s="856"/>
      <c r="DY4" s="856"/>
      <c r="DZ4" s="856"/>
      <c r="EA4" s="856"/>
      <c r="EB4" s="856"/>
      <c r="EC4" s="347"/>
      <c r="ED4" s="347"/>
      <c r="EE4" s="347"/>
      <c r="EF4" s="347"/>
      <c r="EG4" s="347"/>
      <c r="EH4" s="347"/>
      <c r="EI4" s="347"/>
      <c r="EJ4" s="347"/>
      <c r="EK4" s="347"/>
      <c r="EL4" s="347"/>
      <c r="EM4" s="347"/>
      <c r="EN4" s="347"/>
      <c r="EO4" s="347"/>
      <c r="EP4" s="347"/>
      <c r="EQ4" s="347"/>
      <c r="ER4" s="347"/>
      <c r="ES4" s="347"/>
      <c r="ET4" s="347"/>
      <c r="EU4" s="347"/>
      <c r="EV4" s="347"/>
      <c r="EW4" s="347"/>
      <c r="EX4" s="347"/>
      <c r="EY4" s="347"/>
      <c r="EZ4" s="347"/>
      <c r="FA4" s="347"/>
      <c r="FB4" s="347"/>
      <c r="FC4" s="347"/>
      <c r="FD4" s="347"/>
      <c r="FE4" s="347"/>
      <c r="FF4" s="347"/>
      <c r="FG4" s="347"/>
      <c r="FH4" s="347"/>
      <c r="FI4" s="347"/>
      <c r="FJ4" s="347"/>
      <c r="FK4" s="347"/>
      <c r="FL4" s="347"/>
      <c r="FM4" s="347"/>
      <c r="FN4" s="347"/>
      <c r="FO4" s="347"/>
      <c r="FP4" s="347"/>
      <c r="FQ4" s="347"/>
      <c r="FR4" s="347"/>
      <c r="FS4" s="347"/>
      <c r="FT4" s="347"/>
      <c r="FU4" s="347"/>
      <c r="FV4" s="347"/>
    </row>
    <row r="5" spans="1:178">
      <c r="A5" s="1394"/>
      <c r="B5" s="1154" t="s">
        <v>400</v>
      </c>
      <c r="C5" s="581" t="s">
        <v>151</v>
      </c>
      <c r="D5" s="581"/>
      <c r="E5" s="347" t="s">
        <v>464</v>
      </c>
      <c r="F5" s="854" t="s">
        <v>1</v>
      </c>
      <c r="G5" s="438">
        <v>43795.254251265251</v>
      </c>
      <c r="H5" s="438">
        <v>39372.856157341615</v>
      </c>
      <c r="I5" s="438">
        <v>31355.674004184344</v>
      </c>
      <c r="J5" s="438">
        <v>24668.238927484857</v>
      </c>
      <c r="K5" s="438">
        <v>31319.653679242587</v>
      </c>
      <c r="L5" s="438">
        <v>31239.954338946009</v>
      </c>
      <c r="M5" s="438">
        <v>32952.324200278599</v>
      </c>
      <c r="N5" s="438">
        <v>35109.121548311748</v>
      </c>
      <c r="O5" s="438">
        <v>34103.66608870952</v>
      </c>
      <c r="P5" s="438">
        <v>29313.459758319121</v>
      </c>
      <c r="Q5" s="438">
        <v>26038.256535514149</v>
      </c>
      <c r="R5" s="438">
        <v>27739.527991571038</v>
      </c>
      <c r="S5" s="380">
        <v>28779.988419928402</v>
      </c>
      <c r="T5" s="380">
        <v>29027.523661916253</v>
      </c>
      <c r="U5" s="380">
        <v>26802.089663119601</v>
      </c>
      <c r="V5" s="380">
        <v>21780.499304849996</v>
      </c>
      <c r="W5" s="380">
        <v>20739.762852789474</v>
      </c>
      <c r="X5" s="380">
        <v>23330.292451113633</v>
      </c>
      <c r="Y5" s="380">
        <v>25364.462440904761</v>
      </c>
      <c r="Z5" s="380">
        <v>26675.828392799998</v>
      </c>
      <c r="AA5" s="380">
        <v>27652.410662948863</v>
      </c>
      <c r="AB5" s="380">
        <v>25182.533081500002</v>
      </c>
      <c r="AC5" s="380">
        <v>24080.398549454549</v>
      </c>
      <c r="AD5" s="380">
        <v>25703.133228250001</v>
      </c>
      <c r="AE5" s="380">
        <v>28780.376457514285</v>
      </c>
      <c r="AF5" s="380">
        <v>28633.081336045456</v>
      </c>
      <c r="AG5" s="380">
        <v>31531.404635083334</v>
      </c>
      <c r="AH5" s="380">
        <v>33960.714218949994</v>
      </c>
      <c r="AI5" s="380">
        <v>33879.431891562497</v>
      </c>
      <c r="AJ5" s="380">
        <v>29951.912082499999</v>
      </c>
      <c r="AK5" s="380">
        <v>30231.061384684213</v>
      </c>
      <c r="AL5" s="380">
        <v>28145.297393249995</v>
      </c>
      <c r="AM5" s="380">
        <v>26020.404503035716</v>
      </c>
      <c r="AN5" s="380">
        <v>26636.680307847615</v>
      </c>
      <c r="AO5" s="380">
        <v>29030.423349261364</v>
      </c>
      <c r="AP5" s="380">
        <v>32011.783330000006</v>
      </c>
      <c r="AQ5" s="380">
        <v>33693.017533714286</v>
      </c>
      <c r="AR5" s="380">
        <v>37483.920843068183</v>
      </c>
      <c r="AS5" s="380">
        <v>37300.584336</v>
      </c>
      <c r="AT5" s="855">
        <v>37935.390146818187</v>
      </c>
      <c r="AU5" s="356">
        <v>35578.665434736846</v>
      </c>
      <c r="AV5" s="356">
        <v>36648.610265714284</v>
      </c>
      <c r="AW5" s="356">
        <v>39253.54546914286</v>
      </c>
      <c r="AX5" s="356">
        <v>44789.555812678576</v>
      </c>
      <c r="AY5" s="356">
        <v>42881.765340000005</v>
      </c>
      <c r="AZ5" s="356">
        <v>44322.291034227266</v>
      </c>
      <c r="BA5" s="356">
        <v>45122.555986249994</v>
      </c>
      <c r="BB5" s="356">
        <v>48924.528864499996</v>
      </c>
      <c r="BC5" s="356">
        <v>49316.956478749998</v>
      </c>
      <c r="BD5" s="356">
        <v>36453.949961220242</v>
      </c>
      <c r="BE5" s="356">
        <v>32315.322092655559</v>
      </c>
      <c r="BF5" s="356">
        <v>32439.798073045458</v>
      </c>
      <c r="BG5" s="356">
        <v>35864.782606111112</v>
      </c>
      <c r="BH5" s="356">
        <v>37316.136440000002</v>
      </c>
      <c r="BI5" s="356">
        <v>39665.62184032143</v>
      </c>
      <c r="BJ5" s="356">
        <v>37645.409098839285</v>
      </c>
      <c r="BK5" s="356">
        <v>32175.708466494736</v>
      </c>
      <c r="BL5" s="356">
        <v>34496.400269999998</v>
      </c>
      <c r="BM5" s="356">
        <v>32177.940726562498</v>
      </c>
      <c r="BN5" s="356">
        <v>34331.051881038096</v>
      </c>
      <c r="BO5" s="356">
        <v>34641.378817818179</v>
      </c>
      <c r="BP5" s="356">
        <v>37092.09868792857</v>
      </c>
      <c r="BQ5" s="356">
        <v>38834.323772914286</v>
      </c>
      <c r="BR5" s="356">
        <v>37821.296446952379</v>
      </c>
      <c r="BS5" s="356">
        <v>33364.414207249996</v>
      </c>
      <c r="BT5" s="356">
        <v>19098.806741227272</v>
      </c>
      <c r="BU5" s="356">
        <v>8753.5138267619041</v>
      </c>
      <c r="BV5" s="356">
        <v>15375.193039333331</v>
      </c>
      <c r="BW5" s="356">
        <v>26406.268105875002</v>
      </c>
      <c r="BX5" s="356">
        <v>29043.101701999996</v>
      </c>
      <c r="BY5" s="356">
        <v>28655.267672775</v>
      </c>
      <c r="BZ5" s="356">
        <v>28394.559681545452</v>
      </c>
      <c r="CA5" s="356">
        <v>28076.937099772727</v>
      </c>
      <c r="CB5" s="356">
        <v>27534.847966999998</v>
      </c>
      <c r="CC5" s="356">
        <v>31698.791830499998</v>
      </c>
      <c r="CD5" s="356">
        <v>36994.520061324998</v>
      </c>
      <c r="CE5" s="356">
        <v>40747.001346842109</v>
      </c>
      <c r="CF5" s="356">
        <v>42341.271955250006</v>
      </c>
      <c r="CG5" s="356">
        <v>41459.590669607147</v>
      </c>
      <c r="CH5" s="356">
        <v>43304.111862747362</v>
      </c>
      <c r="CI5" s="356">
        <v>46980.56159669318</v>
      </c>
      <c r="CJ5" s="356">
        <v>50491.414421077381</v>
      </c>
      <c r="CK5" s="356">
        <v>47081.39285959999</v>
      </c>
      <c r="CL5" s="854">
        <v>49739.955535732952</v>
      </c>
      <c r="CM5" s="356">
        <f t="shared" si="0"/>
        <v>33250.042976082106</v>
      </c>
      <c r="CN5" s="856" t="s">
        <v>202</v>
      </c>
      <c r="CO5" s="857">
        <f>'Cracker Yields'!H16</f>
        <v>1.2048192771084376E-2</v>
      </c>
      <c r="CP5" s="857">
        <f>'Cracker Yields'!I16</f>
        <v>0.34285714285714275</v>
      </c>
      <c r="CQ5" s="857">
        <f>'Cracker Yields'!J16</f>
        <v>0.42105263157894746</v>
      </c>
      <c r="CR5" s="857">
        <f>'Cracker Yields'!K16</f>
        <v>0.42105263157894746</v>
      </c>
      <c r="CS5" s="856"/>
      <c r="CT5" s="856"/>
      <c r="CU5" s="856"/>
      <c r="CV5" s="856"/>
      <c r="CW5" s="856"/>
      <c r="DB5" s="856"/>
      <c r="DC5" s="856"/>
      <c r="DD5" s="856"/>
      <c r="DE5" s="856"/>
      <c r="DF5" s="856"/>
      <c r="DG5" s="856"/>
      <c r="DH5" s="856"/>
      <c r="DI5" s="856"/>
      <c r="DJ5" s="856"/>
      <c r="DK5" s="856"/>
      <c r="DL5" s="856"/>
      <c r="DM5" s="856"/>
      <c r="DN5" s="856"/>
      <c r="DO5" s="856"/>
      <c r="DP5" s="856"/>
      <c r="DQ5" s="856"/>
      <c r="DR5" s="856"/>
      <c r="DS5" s="856"/>
      <c r="DT5" s="856"/>
      <c r="DU5" s="856"/>
      <c r="DV5" s="856"/>
      <c r="DW5" s="856"/>
      <c r="DX5" s="856"/>
      <c r="DY5" s="856"/>
      <c r="DZ5" s="856"/>
      <c r="EA5" s="856"/>
      <c r="EB5" s="856"/>
      <c r="EC5" s="858">
        <v>52.32</v>
      </c>
      <c r="ED5" s="856"/>
      <c r="EE5" s="856"/>
      <c r="EF5" s="856"/>
      <c r="EG5" s="347"/>
      <c r="EH5" s="347"/>
      <c r="EI5" s="347"/>
      <c r="EJ5" s="347"/>
      <c r="EK5" s="347"/>
      <c r="EL5" s="347"/>
      <c r="EM5" s="347"/>
      <c r="EN5" s="347"/>
      <c r="EO5" s="347"/>
      <c r="EP5" s="347"/>
      <c r="EQ5" s="347"/>
      <c r="ER5" s="347"/>
      <c r="ES5" s="347"/>
      <c r="ET5" s="347"/>
      <c r="EU5" s="347"/>
      <c r="EV5" s="347"/>
      <c r="EW5" s="347"/>
      <c r="EX5" s="347"/>
      <c r="EY5" s="347"/>
      <c r="EZ5" s="347"/>
      <c r="FA5" s="347"/>
      <c r="FB5" s="347"/>
      <c r="FC5" s="347"/>
      <c r="FD5" s="347"/>
      <c r="FE5" s="347"/>
      <c r="FF5" s="347"/>
      <c r="FG5" s="347"/>
      <c r="FH5" s="347"/>
      <c r="FI5" s="347"/>
      <c r="FJ5" s="347"/>
      <c r="FK5" s="347"/>
      <c r="FL5" s="347"/>
      <c r="FM5" s="347"/>
      <c r="FN5" s="347"/>
      <c r="FO5" s="347"/>
      <c r="FP5" s="347"/>
      <c r="FQ5" s="347"/>
      <c r="FR5" s="347"/>
      <c r="FS5" s="347"/>
      <c r="FT5" s="347"/>
      <c r="FU5" s="347"/>
      <c r="FV5" s="347"/>
    </row>
    <row r="6" spans="1:178">
      <c r="A6" s="1395"/>
      <c r="B6" s="859" t="s">
        <v>399</v>
      </c>
      <c r="C6" s="860" t="s">
        <v>397</v>
      </c>
      <c r="D6" s="860"/>
      <c r="E6" s="861" t="s">
        <v>464</v>
      </c>
      <c r="F6" s="862" t="s">
        <v>443</v>
      </c>
      <c r="G6" s="862">
        <v>690</v>
      </c>
      <c r="H6" s="862">
        <v>680</v>
      </c>
      <c r="I6" s="862">
        <v>640</v>
      </c>
      <c r="J6" s="862">
        <v>620</v>
      </c>
      <c r="K6" s="862">
        <v>595</v>
      </c>
      <c r="L6" s="862">
        <v>614</v>
      </c>
      <c r="M6" s="862">
        <v>602</v>
      </c>
      <c r="N6" s="862">
        <v>591</v>
      </c>
      <c r="O6" s="862">
        <v>582</v>
      </c>
      <c r="P6" s="862">
        <v>564</v>
      </c>
      <c r="Q6" s="862">
        <v>577</v>
      </c>
      <c r="R6" s="862">
        <v>544</v>
      </c>
      <c r="S6" s="356">
        <v>549</v>
      </c>
      <c r="T6" s="863">
        <v>562</v>
      </c>
      <c r="U6" s="863">
        <v>575</v>
      </c>
      <c r="V6" s="356">
        <v>588</v>
      </c>
      <c r="W6" s="863">
        <v>600</v>
      </c>
      <c r="X6" s="863">
        <v>614</v>
      </c>
      <c r="Y6" s="863">
        <v>628</v>
      </c>
      <c r="Z6" s="863">
        <v>638</v>
      </c>
      <c r="AA6" s="863">
        <v>651</v>
      </c>
      <c r="AB6" s="863">
        <v>664</v>
      </c>
      <c r="AC6" s="863">
        <v>677</v>
      </c>
      <c r="AD6" s="356">
        <v>689</v>
      </c>
      <c r="AE6" s="863">
        <v>602</v>
      </c>
      <c r="AF6" s="863">
        <v>615</v>
      </c>
      <c r="AG6" s="863">
        <v>628</v>
      </c>
      <c r="AH6" s="356">
        <v>640</v>
      </c>
      <c r="AI6" s="863">
        <v>654</v>
      </c>
      <c r="AJ6" s="863">
        <v>644</v>
      </c>
      <c r="AK6" s="863">
        <v>679</v>
      </c>
      <c r="AL6" s="863">
        <v>691</v>
      </c>
      <c r="AM6" s="863">
        <v>704</v>
      </c>
      <c r="AN6" s="863">
        <v>717</v>
      </c>
      <c r="AO6" s="863">
        <v>629.54360858123698</v>
      </c>
      <c r="AP6" s="863">
        <v>642.28255936563301</v>
      </c>
      <c r="AQ6" s="863">
        <v>655.02151015003005</v>
      </c>
      <c r="AR6" s="863">
        <v>667.76046093442596</v>
      </c>
      <c r="AS6" s="863">
        <v>680.49941171882301</v>
      </c>
      <c r="AT6" s="863">
        <v>693.23836250321904</v>
      </c>
      <c r="AU6" s="863">
        <v>725</v>
      </c>
      <c r="AV6" s="863">
        <v>731</v>
      </c>
      <c r="AW6" s="863">
        <v>683.35192411641094</v>
      </c>
      <c r="AX6" s="863">
        <v>727.45879248730159</v>
      </c>
      <c r="AY6" s="863">
        <v>790.46535767833188</v>
      </c>
      <c r="AZ6" s="863">
        <v>835.82228336641663</v>
      </c>
      <c r="BA6" s="863">
        <v>855.64779771974872</v>
      </c>
      <c r="BB6" s="863">
        <v>831.01152604586082</v>
      </c>
      <c r="BC6" s="863">
        <v>894.32305357357711</v>
      </c>
      <c r="BD6" s="863">
        <v>848.00352710543211</v>
      </c>
      <c r="BE6" s="863">
        <v>762.53950609685091</v>
      </c>
      <c r="BF6" s="863">
        <v>747.97322905859232</v>
      </c>
      <c r="BG6" s="863">
        <v>816.24945468112071</v>
      </c>
      <c r="BH6" s="863">
        <v>713.84568622483982</v>
      </c>
      <c r="BI6" s="863">
        <v>547.77</v>
      </c>
      <c r="BJ6" s="863">
        <v>505.25</v>
      </c>
      <c r="BK6" s="863">
        <v>522.21</v>
      </c>
      <c r="BL6" s="863">
        <v>559.08000000000004</v>
      </c>
      <c r="BM6" s="863">
        <v>496.47</v>
      </c>
      <c r="BN6" s="863">
        <v>463.19</v>
      </c>
      <c r="BO6" s="863">
        <v>620.35</v>
      </c>
      <c r="BP6" s="863">
        <v>540.62</v>
      </c>
      <c r="BQ6" s="863">
        <v>605.28</v>
      </c>
      <c r="BR6" s="863">
        <v>485.79</v>
      </c>
      <c r="BS6" s="863">
        <v>478.65</v>
      </c>
      <c r="BT6" s="863">
        <v>313.06</v>
      </c>
      <c r="BU6" s="863">
        <v>546.95000000000005</v>
      </c>
      <c r="BV6" s="863">
        <v>498.46</v>
      </c>
      <c r="BW6" s="863">
        <v>285.66000000000003</v>
      </c>
      <c r="BX6" s="863">
        <v>264.85000000000002</v>
      </c>
      <c r="BY6" s="863">
        <v>334.58</v>
      </c>
      <c r="BZ6" s="863">
        <v>410.09</v>
      </c>
      <c r="CA6" s="863">
        <v>471.71</v>
      </c>
      <c r="CB6" s="863">
        <v>532.29999999999995</v>
      </c>
      <c r="CC6" s="863">
        <v>588.39</v>
      </c>
      <c r="CD6" s="863">
        <v>675.69</v>
      </c>
      <c r="CE6" s="863">
        <v>872.05</v>
      </c>
      <c r="CF6" s="863">
        <v>766.06</v>
      </c>
      <c r="CG6" s="863">
        <v>565.04999999999995</v>
      </c>
      <c r="CH6" s="863">
        <v>567.25</v>
      </c>
      <c r="CI6" s="863">
        <v>619.33000000000004</v>
      </c>
      <c r="CJ6" s="863">
        <v>708.17</v>
      </c>
      <c r="CK6" s="863">
        <v>868.98</v>
      </c>
      <c r="CL6" s="864">
        <v>938.53</v>
      </c>
      <c r="CM6" s="356">
        <f t="shared" si="0"/>
        <v>629.65307204056967</v>
      </c>
      <c r="CN6" s="347"/>
      <c r="CO6" s="347"/>
      <c r="CP6" s="347"/>
      <c r="CQ6" s="347"/>
      <c r="CR6" s="347"/>
      <c r="CS6" s="347"/>
      <c r="CT6" s="347"/>
      <c r="CU6" s="347"/>
      <c r="CV6" s="347"/>
      <c r="CW6" s="347"/>
      <c r="CX6" s="347"/>
      <c r="CY6" s="347"/>
      <c r="CZ6" s="347"/>
      <c r="DA6" s="347"/>
      <c r="DB6" s="347"/>
      <c r="DC6" s="347"/>
      <c r="DD6" s="347"/>
      <c r="DE6" s="347"/>
      <c r="DF6" s="347"/>
      <c r="DG6" s="347"/>
      <c r="DH6" s="347"/>
      <c r="DI6" s="347"/>
      <c r="DJ6" s="347"/>
      <c r="DK6" s="347"/>
      <c r="DL6" s="347"/>
      <c r="DM6" s="347"/>
      <c r="DN6" s="347"/>
      <c r="DO6" s="347"/>
      <c r="DP6" s="347"/>
      <c r="DQ6" s="347"/>
      <c r="DR6" s="347"/>
      <c r="DS6" s="347"/>
      <c r="DT6" s="347"/>
      <c r="DU6" s="347"/>
      <c r="DV6" s="347"/>
      <c r="DW6" s="347"/>
      <c r="DX6" s="347"/>
      <c r="DY6" s="347"/>
      <c r="DZ6" s="347"/>
      <c r="EA6" s="347"/>
      <c r="EB6" s="347"/>
      <c r="EC6" s="347"/>
      <c r="ED6" s="347"/>
      <c r="EE6" s="347"/>
      <c r="EF6" s="347"/>
      <c r="EG6" s="347"/>
      <c r="EH6" s="347"/>
      <c r="EI6" s="347"/>
      <c r="EJ6" s="347"/>
      <c r="EK6" s="347"/>
      <c r="EL6" s="347"/>
      <c r="EM6" s="347"/>
      <c r="EN6" s="347"/>
      <c r="EO6" s="347"/>
      <c r="EP6" s="347"/>
      <c r="EQ6" s="347"/>
      <c r="ER6" s="347"/>
      <c r="ES6" s="347"/>
      <c r="ET6" s="347"/>
      <c r="EU6" s="347"/>
      <c r="EV6" s="347"/>
      <c r="EW6" s="347"/>
      <c r="EX6" s="347"/>
      <c r="EY6" s="347"/>
      <c r="EZ6" s="347"/>
      <c r="FA6" s="347"/>
      <c r="FB6" s="347"/>
      <c r="FC6" s="347"/>
      <c r="FD6" s="347"/>
      <c r="FE6" s="347"/>
      <c r="FF6" s="347"/>
      <c r="FG6" s="347"/>
      <c r="FH6" s="347"/>
      <c r="FI6" s="347"/>
      <c r="FJ6" s="347"/>
      <c r="FK6" s="347"/>
      <c r="FL6" s="347"/>
      <c r="FM6" s="347"/>
      <c r="FN6" s="347"/>
      <c r="FO6" s="347"/>
      <c r="FP6" s="347"/>
      <c r="FQ6" s="347"/>
      <c r="FR6" s="347"/>
      <c r="FS6" s="347"/>
      <c r="FT6" s="347"/>
      <c r="FU6" s="347"/>
      <c r="FV6" s="347"/>
    </row>
    <row r="7" spans="1:178">
      <c r="A7" s="1400" t="s">
        <v>446</v>
      </c>
      <c r="B7" s="313" t="s">
        <v>399</v>
      </c>
      <c r="C7" s="583" t="s">
        <v>151</v>
      </c>
      <c r="D7" s="583"/>
      <c r="E7" s="601" t="s">
        <v>464</v>
      </c>
      <c r="F7" s="865" t="s">
        <v>142</v>
      </c>
      <c r="G7" s="866">
        <v>56500</v>
      </c>
      <c r="H7" s="866">
        <v>56300</v>
      </c>
      <c r="I7" s="866">
        <v>56100</v>
      </c>
      <c r="J7" s="866">
        <v>55900</v>
      </c>
      <c r="K7" s="866">
        <v>55800</v>
      </c>
      <c r="L7" s="866">
        <v>55600</v>
      </c>
      <c r="M7" s="866">
        <v>55200</v>
      </c>
      <c r="N7" s="866">
        <v>57300</v>
      </c>
      <c r="O7" s="866">
        <v>54100</v>
      </c>
      <c r="P7" s="866">
        <v>55200</v>
      </c>
      <c r="Q7" s="866">
        <v>52300</v>
      </c>
      <c r="R7" s="866">
        <v>45600</v>
      </c>
      <c r="S7" s="866">
        <v>47020</v>
      </c>
      <c r="T7" s="866">
        <v>45750</v>
      </c>
      <c r="U7" s="866">
        <v>46150</v>
      </c>
      <c r="V7" s="866">
        <v>45650</v>
      </c>
      <c r="W7" s="866">
        <v>36940</v>
      </c>
      <c r="X7" s="866">
        <v>36950</v>
      </c>
      <c r="Y7" s="866">
        <v>37390</v>
      </c>
      <c r="Z7" s="866">
        <v>37950</v>
      </c>
      <c r="AA7" s="866">
        <v>38680</v>
      </c>
      <c r="AB7" s="866">
        <v>39250</v>
      </c>
      <c r="AC7" s="866">
        <v>39610</v>
      </c>
      <c r="AD7" s="866">
        <v>39920</v>
      </c>
      <c r="AE7" s="866">
        <v>39990</v>
      </c>
      <c r="AF7" s="866">
        <v>40250</v>
      </c>
      <c r="AG7" s="866">
        <v>41270</v>
      </c>
      <c r="AH7" s="866">
        <v>42350</v>
      </c>
      <c r="AI7" s="866">
        <v>57680</v>
      </c>
      <c r="AJ7" s="866">
        <v>60070</v>
      </c>
      <c r="AK7" s="866">
        <v>58600</v>
      </c>
      <c r="AL7" s="866">
        <v>56250</v>
      </c>
      <c r="AM7" s="866">
        <v>54760</v>
      </c>
      <c r="AN7" s="866">
        <v>53400</v>
      </c>
      <c r="AO7" s="866">
        <v>52470</v>
      </c>
      <c r="AP7" s="866">
        <v>51630</v>
      </c>
      <c r="AQ7" s="866">
        <v>52140</v>
      </c>
      <c r="AR7" s="866">
        <v>52030</v>
      </c>
      <c r="AS7" s="866">
        <v>51990</v>
      </c>
      <c r="AT7" s="866">
        <v>57152</v>
      </c>
      <c r="AU7" s="866">
        <v>58526</v>
      </c>
      <c r="AV7" s="866">
        <v>58277</v>
      </c>
      <c r="AW7" s="866">
        <v>55909</v>
      </c>
      <c r="AX7" s="866">
        <v>55303</v>
      </c>
      <c r="AY7" s="866">
        <v>58424</v>
      </c>
      <c r="AZ7" s="866">
        <v>56706</v>
      </c>
      <c r="BA7" s="866">
        <v>57565</v>
      </c>
      <c r="BB7" s="866">
        <v>61481</v>
      </c>
      <c r="BC7" s="866">
        <v>61877</v>
      </c>
      <c r="BD7" s="866">
        <v>61367</v>
      </c>
      <c r="BE7" s="866">
        <v>49658</v>
      </c>
      <c r="BF7" s="866">
        <v>41296</v>
      </c>
      <c r="BG7" s="866">
        <v>39412</v>
      </c>
      <c r="BH7" s="866">
        <v>42670</v>
      </c>
      <c r="BI7" s="866">
        <v>42621</v>
      </c>
      <c r="BJ7" s="866">
        <v>43930</v>
      </c>
      <c r="BK7" s="866">
        <v>44300</v>
      </c>
      <c r="BL7" s="866">
        <v>44000</v>
      </c>
      <c r="BM7" s="866">
        <v>46900</v>
      </c>
      <c r="BN7" s="866">
        <v>48100</v>
      </c>
      <c r="BO7" s="866">
        <v>52100</v>
      </c>
      <c r="BP7" s="866">
        <v>48600</v>
      </c>
      <c r="BQ7" s="866">
        <v>47000</v>
      </c>
      <c r="BR7" s="866">
        <v>52400</v>
      </c>
      <c r="BS7" s="866">
        <v>52900</v>
      </c>
      <c r="BT7" s="866">
        <v>48400</v>
      </c>
      <c r="BU7" s="866">
        <v>37400</v>
      </c>
      <c r="BV7" s="866">
        <v>24900</v>
      </c>
      <c r="BW7" s="866">
        <v>30300</v>
      </c>
      <c r="BX7" s="866">
        <v>33900</v>
      </c>
      <c r="BY7" s="866">
        <v>33100</v>
      </c>
      <c r="BZ7" s="866">
        <v>34400</v>
      </c>
      <c r="CA7" s="866">
        <v>32600</v>
      </c>
      <c r="CB7" s="866">
        <v>32500</v>
      </c>
      <c r="CC7" s="866">
        <v>40800</v>
      </c>
      <c r="CD7" s="866">
        <v>47900</v>
      </c>
      <c r="CE7" s="866">
        <v>48900</v>
      </c>
      <c r="CF7" s="866">
        <v>57200</v>
      </c>
      <c r="CG7" s="866">
        <v>62200</v>
      </c>
      <c r="CH7" s="866">
        <v>70100</v>
      </c>
      <c r="CI7" s="866">
        <v>75100</v>
      </c>
      <c r="CJ7" s="866">
        <v>71430</v>
      </c>
      <c r="CK7" s="866">
        <v>78990</v>
      </c>
      <c r="CL7" s="866">
        <v>72940</v>
      </c>
      <c r="CM7" s="866">
        <f t="shared" si="0"/>
        <v>49804.452380952382</v>
      </c>
      <c r="CN7" s="347"/>
      <c r="CO7" s="347"/>
      <c r="CP7" s="347"/>
      <c r="CQ7" s="347"/>
      <c r="CR7" s="347"/>
      <c r="CS7" s="347"/>
      <c r="CT7" s="347"/>
      <c r="CU7" s="347"/>
      <c r="CV7" s="347"/>
      <c r="CW7" s="347"/>
      <c r="CX7" s="347"/>
      <c r="CY7" s="347"/>
      <c r="CZ7" s="347"/>
      <c r="DA7" s="347"/>
      <c r="DB7" s="347"/>
      <c r="DC7" s="347"/>
      <c r="DD7" s="347"/>
      <c r="DE7" s="347"/>
      <c r="DF7" s="347"/>
      <c r="DG7" s="347"/>
      <c r="DH7" s="347"/>
      <c r="DI7" s="347"/>
      <c r="DJ7" s="347"/>
      <c r="DK7" s="347"/>
      <c r="DL7" s="347"/>
      <c r="DM7" s="347"/>
      <c r="DN7" s="347"/>
      <c r="DO7" s="347"/>
      <c r="DP7" s="347"/>
      <c r="DQ7" s="347"/>
      <c r="DR7" s="347"/>
      <c r="DS7" s="347"/>
      <c r="DT7" s="347"/>
      <c r="DU7" s="347"/>
      <c r="DV7" s="347"/>
      <c r="DW7" s="347"/>
      <c r="DX7" s="347"/>
      <c r="DY7" s="347"/>
      <c r="DZ7" s="347"/>
      <c r="EA7" s="347"/>
      <c r="EB7" s="347"/>
      <c r="EC7" s="347"/>
      <c r="ED7" s="347"/>
      <c r="EE7" s="347"/>
      <c r="EF7" s="347"/>
      <c r="EG7" s="347"/>
      <c r="EH7" s="347"/>
      <c r="EI7" s="347"/>
      <c r="EJ7" s="347"/>
      <c r="EK7" s="347"/>
      <c r="EL7" s="347"/>
      <c r="EM7" s="347"/>
      <c r="EN7" s="347"/>
      <c r="EO7" s="347"/>
      <c r="EP7" s="347"/>
      <c r="EQ7" s="347"/>
      <c r="ER7" s="347"/>
      <c r="ES7" s="347"/>
      <c r="ET7" s="347"/>
      <c r="EU7" s="347"/>
      <c r="EV7" s="347"/>
      <c r="EW7" s="347"/>
      <c r="EX7" s="347"/>
      <c r="EY7" s="347"/>
      <c r="EZ7" s="347"/>
      <c r="FA7" s="347"/>
      <c r="FB7" s="347"/>
      <c r="FC7" s="347"/>
      <c r="FD7" s="347"/>
      <c r="FE7" s="347"/>
      <c r="FF7" s="347"/>
      <c r="FG7" s="347"/>
      <c r="FH7" s="347"/>
      <c r="FI7" s="347"/>
      <c r="FJ7" s="347"/>
      <c r="FK7" s="347"/>
      <c r="FL7" s="347"/>
      <c r="FM7" s="347"/>
      <c r="FN7" s="347"/>
      <c r="FO7" s="347"/>
      <c r="FP7" s="347"/>
      <c r="FQ7" s="347"/>
      <c r="FR7" s="347"/>
      <c r="FS7" s="347"/>
      <c r="FT7" s="347"/>
      <c r="FU7" s="347"/>
      <c r="FV7" s="347"/>
    </row>
    <row r="8" spans="1:178">
      <c r="A8" s="1404"/>
      <c r="B8" s="1154" t="s">
        <v>399</v>
      </c>
      <c r="C8" s="581" t="s">
        <v>151</v>
      </c>
      <c r="D8" s="581"/>
      <c r="E8" s="1155" t="s">
        <v>464</v>
      </c>
      <c r="F8" s="867" t="s">
        <v>499</v>
      </c>
      <c r="G8" s="868">
        <v>78900</v>
      </c>
      <c r="H8" s="868">
        <v>75500</v>
      </c>
      <c r="I8" s="868">
        <v>76300</v>
      </c>
      <c r="J8" s="868">
        <v>77300</v>
      </c>
      <c r="K8" s="868">
        <v>74500</v>
      </c>
      <c r="L8" s="868">
        <v>78800</v>
      </c>
      <c r="M8" s="868">
        <v>75500</v>
      </c>
      <c r="N8" s="868">
        <v>77200</v>
      </c>
      <c r="O8" s="868">
        <v>71900</v>
      </c>
      <c r="P8" s="868">
        <v>74600</v>
      </c>
      <c r="Q8" s="868">
        <v>72500</v>
      </c>
      <c r="R8" s="868">
        <v>70300</v>
      </c>
      <c r="S8" s="868">
        <v>69049</v>
      </c>
      <c r="T8" s="868">
        <v>68803</v>
      </c>
      <c r="U8" s="868">
        <v>60570</v>
      </c>
      <c r="V8" s="868">
        <v>69050</v>
      </c>
      <c r="W8" s="868">
        <v>64550</v>
      </c>
      <c r="X8" s="868">
        <v>64300</v>
      </c>
      <c r="Y8" s="868">
        <v>69051</v>
      </c>
      <c r="Z8" s="868">
        <v>64800</v>
      </c>
      <c r="AA8" s="868">
        <v>67700</v>
      </c>
      <c r="AB8" s="868">
        <v>69052</v>
      </c>
      <c r="AC8" s="868">
        <v>69405</v>
      </c>
      <c r="AD8" s="868">
        <v>63700</v>
      </c>
      <c r="AE8" s="868">
        <v>69053</v>
      </c>
      <c r="AF8" s="868">
        <v>62939</v>
      </c>
      <c r="AG8" s="868">
        <v>65350</v>
      </c>
      <c r="AH8" s="868">
        <v>69054</v>
      </c>
      <c r="AI8" s="868">
        <v>63700</v>
      </c>
      <c r="AJ8" s="868">
        <v>61750</v>
      </c>
      <c r="AK8" s="868">
        <v>69055</v>
      </c>
      <c r="AL8" s="868">
        <v>68800</v>
      </c>
      <c r="AM8" s="868">
        <v>63500</v>
      </c>
      <c r="AN8" s="868">
        <v>69056</v>
      </c>
      <c r="AO8" s="868">
        <v>64500</v>
      </c>
      <c r="AP8" s="868">
        <v>64580</v>
      </c>
      <c r="AQ8" s="868">
        <v>69057</v>
      </c>
      <c r="AR8" s="868">
        <v>62925</v>
      </c>
      <c r="AS8" s="868">
        <v>71158</v>
      </c>
      <c r="AT8" s="868">
        <v>69058</v>
      </c>
      <c r="AU8" s="868">
        <v>79391</v>
      </c>
      <c r="AV8" s="868">
        <v>87624</v>
      </c>
      <c r="AW8" s="868">
        <v>91678</v>
      </c>
      <c r="AX8" s="868">
        <v>90255</v>
      </c>
      <c r="AY8" s="868">
        <v>110428</v>
      </c>
      <c r="AZ8" s="868">
        <v>113142</v>
      </c>
      <c r="BA8" s="868">
        <v>109389</v>
      </c>
      <c r="BB8" s="868">
        <v>117818</v>
      </c>
      <c r="BC8" s="868">
        <v>104990</v>
      </c>
      <c r="BD8" s="868">
        <v>79612</v>
      </c>
      <c r="BE8" s="868">
        <v>76089</v>
      </c>
      <c r="BF8" s="868">
        <v>79660</v>
      </c>
      <c r="BG8" s="868">
        <v>80367</v>
      </c>
      <c r="BH8" s="868">
        <v>75404</v>
      </c>
      <c r="BI8" s="868">
        <v>71634</v>
      </c>
      <c r="BJ8" s="868">
        <v>63615</v>
      </c>
      <c r="BK8" s="868">
        <v>66900</v>
      </c>
      <c r="BL8" s="868">
        <v>74300</v>
      </c>
      <c r="BM8" s="868">
        <v>76800</v>
      </c>
      <c r="BN8" s="868">
        <v>85000</v>
      </c>
      <c r="BO8" s="868">
        <v>87600</v>
      </c>
      <c r="BP8" s="868">
        <v>81700</v>
      </c>
      <c r="BQ8" s="868">
        <v>62200</v>
      </c>
      <c r="BR8" s="868">
        <v>63400</v>
      </c>
      <c r="BS8" s="868">
        <v>65100</v>
      </c>
      <c r="BT8" s="868">
        <v>56000</v>
      </c>
      <c r="BU8" s="868">
        <v>50100</v>
      </c>
      <c r="BV8" s="868">
        <v>28400</v>
      </c>
      <c r="BW8" s="868">
        <v>21600</v>
      </c>
      <c r="BX8" s="868">
        <v>22700</v>
      </c>
      <c r="BY8" s="868">
        <v>28600</v>
      </c>
      <c r="BZ8" s="868">
        <v>40200</v>
      </c>
      <c r="CA8" s="868">
        <v>50700</v>
      </c>
      <c r="CB8" s="868">
        <v>66900</v>
      </c>
      <c r="CC8" s="868">
        <v>94800</v>
      </c>
      <c r="CD8" s="868">
        <v>86100</v>
      </c>
      <c r="CE8" s="868">
        <v>58900</v>
      </c>
      <c r="CF8" s="868">
        <v>57400</v>
      </c>
      <c r="CG8" s="868">
        <v>80900</v>
      </c>
      <c r="CH8" s="868">
        <v>72100</v>
      </c>
      <c r="CI8" s="868">
        <v>73600</v>
      </c>
      <c r="CJ8" s="868">
        <v>88040</v>
      </c>
      <c r="CK8" s="868">
        <v>107190</v>
      </c>
      <c r="CL8" s="868">
        <v>116560</v>
      </c>
      <c r="CM8" s="868">
        <f t="shared" si="0"/>
        <v>72163.702380952382</v>
      </c>
      <c r="CN8" s="347"/>
      <c r="CO8" s="347"/>
      <c r="CP8" s="347"/>
      <c r="CQ8" s="347"/>
      <c r="CR8" s="347"/>
      <c r="CS8" s="347"/>
      <c r="CT8" s="347"/>
      <c r="CU8" s="347"/>
      <c r="CV8" s="347"/>
      <c r="CW8" s="347"/>
      <c r="CX8" s="347"/>
      <c r="CY8" s="347"/>
      <c r="CZ8" s="347"/>
      <c r="DA8" s="347"/>
      <c r="DB8" s="347"/>
      <c r="DC8" s="347"/>
      <c r="DD8" s="347"/>
      <c r="DE8" s="347"/>
      <c r="DF8" s="347"/>
      <c r="DG8" s="347"/>
      <c r="DH8" s="347"/>
      <c r="DI8" s="347"/>
      <c r="DJ8" s="347"/>
      <c r="DK8" s="347"/>
      <c r="DL8" s="347"/>
      <c r="DM8" s="347"/>
      <c r="DN8" s="347"/>
      <c r="DO8" s="347"/>
      <c r="DP8" s="347"/>
      <c r="DQ8" s="347"/>
      <c r="DR8" s="347"/>
      <c r="DS8" s="347"/>
      <c r="DT8" s="347"/>
      <c r="DU8" s="347"/>
      <c r="DV8" s="347"/>
      <c r="DW8" s="347"/>
      <c r="DX8" s="347"/>
      <c r="DY8" s="347"/>
      <c r="DZ8" s="347"/>
      <c r="EA8" s="347"/>
      <c r="EB8" s="347"/>
      <c r="EC8" s="347"/>
      <c r="ED8" s="347"/>
      <c r="EE8" s="347"/>
      <c r="EF8" s="347"/>
      <c r="EG8" s="347"/>
      <c r="EH8" s="347"/>
      <c r="EI8" s="347"/>
      <c r="EJ8" s="347"/>
      <c r="EK8" s="347"/>
      <c r="EL8" s="347"/>
      <c r="EM8" s="347"/>
      <c r="EN8" s="347"/>
      <c r="EO8" s="347"/>
      <c r="EP8" s="347"/>
      <c r="EQ8" s="347"/>
      <c r="ER8" s="347"/>
      <c r="ES8" s="347"/>
      <c r="ET8" s="347"/>
      <c r="EU8" s="347"/>
      <c r="EV8" s="347"/>
      <c r="EW8" s="347"/>
      <c r="EX8" s="347"/>
      <c r="EY8" s="347"/>
      <c r="EZ8" s="347"/>
      <c r="FA8" s="347"/>
      <c r="FB8" s="347"/>
      <c r="FC8" s="347"/>
      <c r="FD8" s="347"/>
      <c r="FE8" s="347"/>
      <c r="FF8" s="347"/>
      <c r="FG8" s="347"/>
      <c r="FH8" s="347"/>
      <c r="FI8" s="347"/>
      <c r="FJ8" s="347"/>
      <c r="FK8" s="347"/>
      <c r="FL8" s="347"/>
      <c r="FM8" s="347"/>
      <c r="FN8" s="347"/>
      <c r="FO8" s="347"/>
      <c r="FP8" s="347"/>
      <c r="FQ8" s="347"/>
      <c r="FR8" s="347"/>
      <c r="FS8" s="347"/>
      <c r="FT8" s="347"/>
      <c r="FU8" s="347"/>
      <c r="FV8" s="347"/>
    </row>
    <row r="9" spans="1:178">
      <c r="A9" s="1404"/>
      <c r="B9" s="1154" t="s">
        <v>399</v>
      </c>
      <c r="C9" s="581" t="s">
        <v>151</v>
      </c>
      <c r="D9" s="581"/>
      <c r="E9" s="1155" t="s">
        <v>464</v>
      </c>
      <c r="F9" s="867" t="s">
        <v>141</v>
      </c>
      <c r="G9" s="868">
        <v>24398.880000000001</v>
      </c>
      <c r="H9" s="868">
        <v>25035.784242424201</v>
      </c>
      <c r="I9" s="868">
        <v>25672.688484848499</v>
      </c>
      <c r="J9" s="868">
        <v>26309.592727272699</v>
      </c>
      <c r="K9" s="868">
        <v>26946.496969697</v>
      </c>
      <c r="L9" s="868">
        <v>27583.4012121212</v>
      </c>
      <c r="M9" s="868">
        <v>28220.305454545502</v>
      </c>
      <c r="N9" s="868">
        <v>28857.209696969701</v>
      </c>
      <c r="O9" s="868">
        <v>29494.113939393901</v>
      </c>
      <c r="P9" s="868">
        <v>30131.018181818199</v>
      </c>
      <c r="Q9" s="868">
        <v>30767.922424242399</v>
      </c>
      <c r="R9" s="868">
        <v>31404.8266666667</v>
      </c>
      <c r="S9" s="868">
        <v>31722.6</v>
      </c>
      <c r="T9" s="868">
        <v>32547.5</v>
      </c>
      <c r="U9" s="868">
        <v>34500</v>
      </c>
      <c r="V9" s="868">
        <v>33372.400000000001</v>
      </c>
      <c r="W9" s="868">
        <v>34197.300000000003</v>
      </c>
      <c r="X9" s="868">
        <v>35022.199999999997</v>
      </c>
      <c r="Y9" s="868">
        <v>35847.1</v>
      </c>
      <c r="Z9" s="868">
        <v>37700</v>
      </c>
      <c r="AA9" s="868">
        <v>36672</v>
      </c>
      <c r="AB9" s="868">
        <v>37496.9</v>
      </c>
      <c r="AC9" s="868">
        <v>38321.800000000003</v>
      </c>
      <c r="AD9" s="868">
        <v>39146.699999999997</v>
      </c>
      <c r="AE9" s="868">
        <v>35300</v>
      </c>
      <c r="AF9" s="868">
        <v>39971.599999999999</v>
      </c>
      <c r="AG9" s="868">
        <v>40796.5</v>
      </c>
      <c r="AH9" s="868">
        <v>41621.4</v>
      </c>
      <c r="AI9" s="868">
        <v>42446.3</v>
      </c>
      <c r="AJ9" s="868">
        <v>38276</v>
      </c>
      <c r="AK9" s="868">
        <v>40271.199999999997</v>
      </c>
      <c r="AL9" s="868">
        <v>40096.1</v>
      </c>
      <c r="AM9" s="868">
        <v>41921</v>
      </c>
      <c r="AN9" s="868">
        <v>40745.9</v>
      </c>
      <c r="AO9" s="868">
        <v>40250</v>
      </c>
      <c r="AP9" s="868">
        <v>41570.800000000003</v>
      </c>
      <c r="AQ9" s="868">
        <v>39395.699999999997</v>
      </c>
      <c r="AR9" s="868">
        <v>38220.6</v>
      </c>
      <c r="AS9" s="868">
        <v>39045.5</v>
      </c>
      <c r="AT9" s="868">
        <v>40278</v>
      </c>
      <c r="AU9" s="868">
        <v>40825</v>
      </c>
      <c r="AV9" s="868">
        <v>39651</v>
      </c>
      <c r="AW9" s="868">
        <v>40745</v>
      </c>
      <c r="AX9" s="868">
        <v>43210</v>
      </c>
      <c r="AY9" s="868">
        <v>49220</v>
      </c>
      <c r="AZ9" s="868">
        <v>47166</v>
      </c>
      <c r="BA9" s="868">
        <v>48765</v>
      </c>
      <c r="BB9" s="868">
        <v>49461</v>
      </c>
      <c r="BC9" s="868">
        <v>53775</v>
      </c>
      <c r="BD9" s="868">
        <v>54370</v>
      </c>
      <c r="BE9" s="868">
        <v>41640</v>
      </c>
      <c r="BF9" s="868">
        <v>37117</v>
      </c>
      <c r="BG9" s="868">
        <v>37203</v>
      </c>
      <c r="BH9" s="868">
        <v>40633</v>
      </c>
      <c r="BI9" s="868">
        <v>41946</v>
      </c>
      <c r="BJ9" s="868">
        <v>44260</v>
      </c>
      <c r="BK9" s="868">
        <v>46500</v>
      </c>
      <c r="BL9" s="868">
        <v>40900</v>
      </c>
      <c r="BM9" s="868">
        <v>43100</v>
      </c>
      <c r="BN9" s="868">
        <v>41200</v>
      </c>
      <c r="BO9" s="868">
        <v>43200</v>
      </c>
      <c r="BP9" s="868">
        <v>43200</v>
      </c>
      <c r="BQ9" s="868">
        <v>45400</v>
      </c>
      <c r="BR9" s="868">
        <v>48300</v>
      </c>
      <c r="BS9" s="868">
        <v>47500</v>
      </c>
      <c r="BT9" s="868">
        <v>43200</v>
      </c>
      <c r="BU9" s="868">
        <v>30300</v>
      </c>
      <c r="BV9" s="868">
        <v>20000</v>
      </c>
      <c r="BW9" s="868">
        <v>25600</v>
      </c>
      <c r="BX9" s="868">
        <v>36800</v>
      </c>
      <c r="BY9" s="868">
        <v>39400</v>
      </c>
      <c r="BZ9" s="868">
        <v>39300</v>
      </c>
      <c r="CA9" s="868">
        <v>38800</v>
      </c>
      <c r="CB9" s="868">
        <v>38500</v>
      </c>
      <c r="CC9" s="868">
        <v>34300</v>
      </c>
      <c r="CD9" s="868">
        <v>37200</v>
      </c>
      <c r="CE9" s="868">
        <v>42600</v>
      </c>
      <c r="CF9" s="868">
        <v>46400</v>
      </c>
      <c r="CG9" s="868">
        <v>47800</v>
      </c>
      <c r="CH9" s="868">
        <v>47000</v>
      </c>
      <c r="CI9" s="868">
        <v>49100</v>
      </c>
      <c r="CJ9" s="868">
        <v>52210</v>
      </c>
      <c r="CK9" s="868">
        <v>56230</v>
      </c>
      <c r="CL9" s="868">
        <v>53120</v>
      </c>
      <c r="CM9" s="868">
        <f t="shared" si="0"/>
        <v>39151.45642857143</v>
      </c>
      <c r="CN9" s="347"/>
      <c r="CO9" s="347"/>
      <c r="CP9" s="347"/>
      <c r="CQ9" s="347"/>
      <c r="CR9" s="347"/>
      <c r="CS9" s="347"/>
      <c r="CT9" s="347"/>
      <c r="CU9" s="347"/>
      <c r="CV9" s="347"/>
      <c r="CW9" s="347"/>
      <c r="CX9" s="347"/>
      <c r="CY9" s="347"/>
      <c r="CZ9" s="347"/>
      <c r="DA9" s="347"/>
      <c r="DB9" s="347"/>
      <c r="DC9" s="347"/>
      <c r="DD9" s="347"/>
      <c r="DE9" s="347"/>
      <c r="DF9" s="347"/>
      <c r="DG9" s="347"/>
      <c r="DH9" s="347"/>
      <c r="DI9" s="347"/>
      <c r="DJ9" s="347"/>
      <c r="DK9" s="347"/>
      <c r="DL9" s="347"/>
      <c r="DM9" s="347"/>
      <c r="DN9" s="347"/>
      <c r="DO9" s="347"/>
      <c r="DP9" s="347"/>
      <c r="DQ9" s="347"/>
      <c r="DR9" s="347"/>
      <c r="DS9" s="347"/>
      <c r="DT9" s="347"/>
      <c r="DU9" s="347"/>
      <c r="DV9" s="347"/>
      <c r="DW9" s="347"/>
      <c r="DX9" s="347"/>
      <c r="DY9" s="347"/>
      <c r="DZ9" s="347"/>
      <c r="EA9" s="347"/>
      <c r="EB9" s="347"/>
      <c r="EC9" s="347"/>
      <c r="ED9" s="347"/>
      <c r="EE9" s="347"/>
      <c r="EF9" s="347"/>
      <c r="EG9" s="347"/>
      <c r="EH9" s="347"/>
      <c r="EI9" s="347"/>
      <c r="EJ9" s="347"/>
      <c r="EK9" s="347"/>
      <c r="EL9" s="347"/>
      <c r="EM9" s="347"/>
      <c r="EN9" s="347"/>
      <c r="EO9" s="347"/>
      <c r="EP9" s="347"/>
      <c r="EQ9" s="347"/>
      <c r="ER9" s="347"/>
      <c r="ES9" s="347"/>
      <c r="ET9" s="347"/>
      <c r="EU9" s="347"/>
      <c r="EV9" s="347"/>
      <c r="EW9" s="347"/>
      <c r="EX9" s="347"/>
      <c r="EY9" s="347"/>
      <c r="EZ9" s="347"/>
      <c r="FA9" s="347"/>
      <c r="FB9" s="347"/>
      <c r="FC9" s="347"/>
      <c r="FD9" s="347"/>
      <c r="FE9" s="347"/>
      <c r="FF9" s="347"/>
      <c r="FG9" s="347"/>
      <c r="FH9" s="347"/>
      <c r="FI9" s="347"/>
      <c r="FJ9" s="347"/>
      <c r="FK9" s="347"/>
      <c r="FL9" s="347"/>
      <c r="FM9" s="347"/>
      <c r="FN9" s="347"/>
      <c r="FO9" s="347"/>
      <c r="FP9" s="347"/>
      <c r="FQ9" s="347"/>
      <c r="FR9" s="347"/>
      <c r="FS9" s="347"/>
      <c r="FT9" s="347"/>
      <c r="FU9" s="347"/>
      <c r="FV9" s="347"/>
    </row>
    <row r="10" spans="1:178">
      <c r="A10" s="1404"/>
      <c r="B10" s="1154" t="s">
        <v>399</v>
      </c>
      <c r="C10" s="581" t="s">
        <v>151</v>
      </c>
      <c r="D10" s="581"/>
      <c r="E10" s="1155" t="s">
        <v>464</v>
      </c>
      <c r="F10" s="867" t="s">
        <v>140</v>
      </c>
      <c r="G10" s="868">
        <v>37759.000000000102</v>
      </c>
      <c r="H10" s="868">
        <v>36931.1292929294</v>
      </c>
      <c r="I10" s="868">
        <v>36103.258585858697</v>
      </c>
      <c r="J10" s="868">
        <v>35275.3878787879</v>
      </c>
      <c r="K10" s="868">
        <v>34447.517171717198</v>
      </c>
      <c r="L10" s="868">
        <v>33619.646464646503</v>
      </c>
      <c r="M10" s="868">
        <v>32791.775757575801</v>
      </c>
      <c r="N10" s="868">
        <v>31963.905050505098</v>
      </c>
      <c r="O10" s="868">
        <v>31136.034343434399</v>
      </c>
      <c r="P10" s="868">
        <v>30308.163636363701</v>
      </c>
      <c r="Q10" s="868">
        <v>29480.292929292998</v>
      </c>
      <c r="R10" s="868">
        <v>28652.422222222202</v>
      </c>
      <c r="S10" s="868">
        <v>31782.666666666701</v>
      </c>
      <c r="T10" s="868">
        <v>31356.666666666701</v>
      </c>
      <c r="U10" s="868">
        <v>22930</v>
      </c>
      <c r="V10" s="868">
        <v>22278</v>
      </c>
      <c r="W10" s="868">
        <v>20505</v>
      </c>
      <c r="X10" s="868">
        <v>21079</v>
      </c>
      <c r="Y10" s="868">
        <v>22653</v>
      </c>
      <c r="Z10" s="868">
        <v>22279</v>
      </c>
      <c r="AA10" s="868">
        <v>22327</v>
      </c>
      <c r="AB10" s="868">
        <v>23801</v>
      </c>
      <c r="AC10" s="868">
        <v>22740</v>
      </c>
      <c r="AD10" s="868">
        <v>22280</v>
      </c>
      <c r="AE10" s="868">
        <v>21799</v>
      </c>
      <c r="AF10" s="868">
        <v>21523</v>
      </c>
      <c r="AG10" s="868">
        <v>23055</v>
      </c>
      <c r="AH10" s="868">
        <v>22281</v>
      </c>
      <c r="AI10" s="868">
        <v>21450</v>
      </c>
      <c r="AJ10" s="868">
        <v>22640</v>
      </c>
      <c r="AK10" s="868">
        <v>25818.666666666701</v>
      </c>
      <c r="AL10" s="868">
        <v>22282</v>
      </c>
      <c r="AM10" s="868">
        <v>25392.666666666701</v>
      </c>
      <c r="AN10" s="868">
        <v>24966.666666666701</v>
      </c>
      <c r="AO10" s="868">
        <v>24540.666666666701</v>
      </c>
      <c r="AP10" s="868">
        <v>22283</v>
      </c>
      <c r="AQ10" s="868">
        <v>24114.666666666701</v>
      </c>
      <c r="AR10" s="868">
        <v>23688.666666666701</v>
      </c>
      <c r="AS10" s="868">
        <v>23262.666666666701</v>
      </c>
      <c r="AT10" s="868">
        <v>22284</v>
      </c>
      <c r="AU10" s="868">
        <v>23133</v>
      </c>
      <c r="AV10" s="868">
        <v>21818</v>
      </c>
      <c r="AW10" s="868">
        <v>22281</v>
      </c>
      <c r="AX10" s="868">
        <v>24177</v>
      </c>
      <c r="AY10" s="868">
        <v>28071</v>
      </c>
      <c r="AZ10" s="868">
        <v>28045</v>
      </c>
      <c r="BA10" s="868">
        <v>29524</v>
      </c>
      <c r="BB10" s="868">
        <v>28439</v>
      </c>
      <c r="BC10" s="868">
        <v>30668</v>
      </c>
      <c r="BD10" s="868">
        <v>33226</v>
      </c>
      <c r="BE10" s="868">
        <v>28437</v>
      </c>
      <c r="BF10" s="868">
        <v>23915</v>
      </c>
      <c r="BG10" s="868">
        <v>25268</v>
      </c>
      <c r="BH10" s="868">
        <v>28957</v>
      </c>
      <c r="BI10" s="868">
        <v>29150</v>
      </c>
      <c r="BJ10" s="868">
        <v>30044</v>
      </c>
      <c r="BK10" s="868">
        <v>28400</v>
      </c>
      <c r="BL10" s="868">
        <v>25400</v>
      </c>
      <c r="BM10" s="868">
        <v>26700</v>
      </c>
      <c r="BN10" s="868">
        <v>22400</v>
      </c>
      <c r="BO10" s="868">
        <v>24500</v>
      </c>
      <c r="BP10" s="868">
        <v>21200</v>
      </c>
      <c r="BQ10" s="868">
        <v>18600</v>
      </c>
      <c r="BR10" s="868">
        <v>21400</v>
      </c>
      <c r="BS10" s="868">
        <v>22400</v>
      </c>
      <c r="BT10" s="868">
        <v>23100</v>
      </c>
      <c r="BU10" s="868">
        <v>14400</v>
      </c>
      <c r="BV10" s="868">
        <v>10800</v>
      </c>
      <c r="BW10" s="868">
        <v>14100</v>
      </c>
      <c r="BX10" s="868">
        <v>18300</v>
      </c>
      <c r="BY10" s="868">
        <v>20100</v>
      </c>
      <c r="BZ10" s="868">
        <v>21300</v>
      </c>
      <c r="CA10" s="868">
        <v>20000</v>
      </c>
      <c r="CB10" s="868">
        <v>20600</v>
      </c>
      <c r="CC10" s="868">
        <v>21500</v>
      </c>
      <c r="CD10" s="868">
        <v>23400</v>
      </c>
      <c r="CE10" s="868">
        <v>24700</v>
      </c>
      <c r="CF10" s="868">
        <v>27200</v>
      </c>
      <c r="CG10" s="868">
        <v>28300</v>
      </c>
      <c r="CH10" s="868">
        <v>29000</v>
      </c>
      <c r="CI10" s="868">
        <v>29700</v>
      </c>
      <c r="CJ10" s="868">
        <v>31350</v>
      </c>
      <c r="CK10" s="868">
        <v>30470</v>
      </c>
      <c r="CL10" s="868">
        <v>31250</v>
      </c>
      <c r="CM10" s="868">
        <f t="shared" si="0"/>
        <v>25495.053968253982</v>
      </c>
      <c r="CN10" s="347"/>
      <c r="CO10" s="347"/>
      <c r="CP10" s="347"/>
      <c r="CQ10" s="347"/>
      <c r="CR10" s="347"/>
      <c r="CS10" s="347"/>
      <c r="CT10" s="347"/>
      <c r="CU10" s="347"/>
      <c r="CV10" s="347"/>
      <c r="CW10" s="347"/>
      <c r="CX10" s="347"/>
      <c r="CY10" s="347"/>
      <c r="CZ10" s="347"/>
      <c r="DA10" s="347"/>
      <c r="DB10" s="347"/>
      <c r="DC10" s="347"/>
      <c r="DD10" s="347"/>
      <c r="DE10" s="347"/>
      <c r="DF10" s="347"/>
      <c r="DG10" s="347"/>
      <c r="DH10" s="347"/>
      <c r="DI10" s="347"/>
      <c r="DJ10" s="347"/>
      <c r="DK10" s="347"/>
      <c r="DL10" s="347"/>
      <c r="DM10" s="347"/>
      <c r="DN10" s="347"/>
      <c r="DO10" s="347"/>
      <c r="DP10" s="347"/>
      <c r="DQ10" s="347"/>
      <c r="DR10" s="347"/>
      <c r="DS10" s="347"/>
      <c r="DT10" s="347"/>
      <c r="DU10" s="347"/>
      <c r="DV10" s="347"/>
      <c r="DW10" s="347"/>
      <c r="DX10" s="347"/>
      <c r="DY10" s="347"/>
      <c r="DZ10" s="347"/>
      <c r="EA10" s="347"/>
      <c r="EB10" s="347"/>
      <c r="EC10" s="347"/>
      <c r="ED10" s="347"/>
      <c r="EE10" s="347"/>
      <c r="EF10" s="347"/>
      <c r="EG10" s="347"/>
      <c r="EH10" s="347"/>
      <c r="EI10" s="347"/>
      <c r="EJ10" s="347"/>
      <c r="EK10" s="347"/>
      <c r="EL10" s="347"/>
      <c r="EM10" s="347"/>
      <c r="EN10" s="347"/>
      <c r="EO10" s="347"/>
      <c r="EP10" s="347"/>
      <c r="EQ10" s="347"/>
      <c r="ER10" s="347"/>
      <c r="ES10" s="347"/>
      <c r="ET10" s="347"/>
      <c r="EU10" s="347"/>
      <c r="EV10" s="347"/>
      <c r="EW10" s="347"/>
      <c r="EX10" s="347"/>
      <c r="EY10" s="347"/>
      <c r="EZ10" s="347"/>
      <c r="FA10" s="347"/>
      <c r="FB10" s="347"/>
      <c r="FC10" s="347"/>
      <c r="FD10" s="347"/>
      <c r="FE10" s="347"/>
      <c r="FF10" s="347"/>
      <c r="FG10" s="347"/>
      <c r="FH10" s="347"/>
      <c r="FI10" s="347"/>
      <c r="FJ10" s="347"/>
      <c r="FK10" s="347"/>
      <c r="FL10" s="347"/>
      <c r="FM10" s="347"/>
      <c r="FN10" s="347"/>
      <c r="FO10" s="347"/>
      <c r="FP10" s="347"/>
      <c r="FQ10" s="347"/>
      <c r="FR10" s="347"/>
      <c r="FS10" s="347"/>
      <c r="FT10" s="347"/>
      <c r="FU10" s="347"/>
      <c r="FV10" s="347"/>
    </row>
    <row r="11" spans="1:178">
      <c r="A11" s="1401"/>
      <c r="B11" s="859" t="s">
        <v>399</v>
      </c>
      <c r="C11" s="860" t="s">
        <v>151</v>
      </c>
      <c r="D11" s="860"/>
      <c r="E11" s="315" t="s">
        <v>464</v>
      </c>
      <c r="F11" s="869" t="s">
        <v>139</v>
      </c>
      <c r="G11" s="870">
        <v>32175.4666666667</v>
      </c>
      <c r="H11" s="870">
        <v>32270.216161616201</v>
      </c>
      <c r="I11" s="870">
        <v>32364.965656565699</v>
      </c>
      <c r="J11" s="870">
        <v>32459.7151515152</v>
      </c>
      <c r="K11" s="870">
        <v>32554.464646464701</v>
      </c>
      <c r="L11" s="870">
        <v>32649.214141414199</v>
      </c>
      <c r="M11" s="870">
        <v>32743.9636363637</v>
      </c>
      <c r="N11" s="870">
        <v>32838.713131313198</v>
      </c>
      <c r="O11" s="870">
        <v>32933.462626262699</v>
      </c>
      <c r="P11" s="870">
        <v>33028.212121212098</v>
      </c>
      <c r="Q11" s="870">
        <v>33122.9616161616</v>
      </c>
      <c r="R11" s="870">
        <v>33217.711111111101</v>
      </c>
      <c r="S11" s="870">
        <v>33015.666666666701</v>
      </c>
      <c r="T11" s="870">
        <v>33126.166666666701</v>
      </c>
      <c r="U11" s="870">
        <v>33236.666666666701</v>
      </c>
      <c r="V11" s="870">
        <v>35084</v>
      </c>
      <c r="W11" s="870">
        <v>33347.166666666701</v>
      </c>
      <c r="X11" s="870">
        <v>33457.666666666701</v>
      </c>
      <c r="Y11" s="870">
        <v>33568.166666666701</v>
      </c>
      <c r="Z11" s="870">
        <v>35085</v>
      </c>
      <c r="AA11" s="870">
        <v>33678.666666666701</v>
      </c>
      <c r="AB11" s="870">
        <v>33789.166666666701</v>
      </c>
      <c r="AC11" s="870">
        <v>33899.666666666701</v>
      </c>
      <c r="AD11" s="870">
        <v>35086</v>
      </c>
      <c r="AE11" s="870">
        <v>34010.166666666701</v>
      </c>
      <c r="AF11" s="870">
        <v>34120.666666666701</v>
      </c>
      <c r="AG11" s="870">
        <v>34231.166666666701</v>
      </c>
      <c r="AH11" s="870">
        <v>35087</v>
      </c>
      <c r="AI11" s="870">
        <v>34341.666666666701</v>
      </c>
      <c r="AJ11" s="870">
        <v>34452.166666666701</v>
      </c>
      <c r="AK11" s="870">
        <v>34562.666666666701</v>
      </c>
      <c r="AL11" s="870">
        <v>35088</v>
      </c>
      <c r="AM11" s="870">
        <v>34673.166666666701</v>
      </c>
      <c r="AN11" s="870">
        <v>34783.666666666701</v>
      </c>
      <c r="AO11" s="870">
        <v>34894.166666666701</v>
      </c>
      <c r="AP11" s="870">
        <v>35089</v>
      </c>
      <c r="AQ11" s="870">
        <v>35004.666666666701</v>
      </c>
      <c r="AR11" s="870">
        <v>35115.166666666701</v>
      </c>
      <c r="AS11" s="870">
        <v>35225.666666666701</v>
      </c>
      <c r="AT11" s="870">
        <v>35090</v>
      </c>
      <c r="AU11" s="870">
        <v>35648</v>
      </c>
      <c r="AV11" s="870">
        <v>34823</v>
      </c>
      <c r="AW11" s="870">
        <v>35869</v>
      </c>
      <c r="AX11" s="870">
        <v>38900</v>
      </c>
      <c r="AY11" s="870">
        <v>48637</v>
      </c>
      <c r="AZ11" s="870">
        <v>46484</v>
      </c>
      <c r="BA11" s="870">
        <v>48182</v>
      </c>
      <c r="BB11" s="870">
        <v>48880</v>
      </c>
      <c r="BC11" s="870">
        <v>53437</v>
      </c>
      <c r="BD11" s="870">
        <v>53976</v>
      </c>
      <c r="BE11" s="870">
        <v>40000</v>
      </c>
      <c r="BF11" s="870">
        <v>35076</v>
      </c>
      <c r="BG11" s="870">
        <v>35172</v>
      </c>
      <c r="BH11" s="870">
        <v>38937</v>
      </c>
      <c r="BI11" s="870">
        <v>40545</v>
      </c>
      <c r="BJ11" s="870">
        <v>43117</v>
      </c>
      <c r="BK11" s="870">
        <v>41200</v>
      </c>
      <c r="BL11" s="870">
        <v>35000</v>
      </c>
      <c r="BM11" s="870">
        <v>37500</v>
      </c>
      <c r="BN11" s="870">
        <v>35100</v>
      </c>
      <c r="BO11" s="870">
        <v>37300</v>
      </c>
      <c r="BP11" s="870">
        <v>37300</v>
      </c>
      <c r="BQ11" s="870">
        <v>39700</v>
      </c>
      <c r="BR11" s="870">
        <v>41700</v>
      </c>
      <c r="BS11" s="870">
        <v>40900</v>
      </c>
      <c r="BT11" s="870">
        <v>38000</v>
      </c>
      <c r="BU11" s="870">
        <v>25000</v>
      </c>
      <c r="BV11" s="870">
        <v>19100</v>
      </c>
      <c r="BW11" s="870">
        <v>25000</v>
      </c>
      <c r="BX11" s="870">
        <v>31800</v>
      </c>
      <c r="BY11" s="870">
        <v>33800</v>
      </c>
      <c r="BZ11" s="870">
        <v>35100</v>
      </c>
      <c r="CA11" s="870">
        <v>36000</v>
      </c>
      <c r="CB11" s="870">
        <v>35700</v>
      </c>
      <c r="CC11" s="870">
        <v>35700</v>
      </c>
      <c r="CD11" s="870">
        <v>39300</v>
      </c>
      <c r="CE11" s="870">
        <v>42500</v>
      </c>
      <c r="CF11" s="870">
        <v>46600</v>
      </c>
      <c r="CG11" s="870">
        <v>48300</v>
      </c>
      <c r="CH11" s="870">
        <v>44700</v>
      </c>
      <c r="CI11" s="870">
        <v>47100</v>
      </c>
      <c r="CJ11" s="870">
        <v>50610</v>
      </c>
      <c r="CK11" s="870">
        <v>50620</v>
      </c>
      <c r="CL11" s="870">
        <v>44350</v>
      </c>
      <c r="CM11" s="870">
        <f t="shared" si="0"/>
        <v>36990.060317460338</v>
      </c>
      <c r="CN11" s="347"/>
      <c r="CO11" s="347"/>
      <c r="CP11" s="347"/>
      <c r="CQ11" s="347"/>
      <c r="CR11" s="347"/>
      <c r="CS11" s="347"/>
      <c r="CT11" s="347"/>
      <c r="CU11" s="347"/>
      <c r="CV11" s="347"/>
      <c r="CW11" s="347"/>
      <c r="CX11" s="347"/>
      <c r="CY11" s="347"/>
      <c r="CZ11" s="347"/>
      <c r="DA11" s="347"/>
      <c r="DB11" s="347"/>
      <c r="DC11" s="347"/>
      <c r="DD11" s="347"/>
      <c r="DE11" s="347"/>
      <c r="DF11" s="347"/>
      <c r="DG11" s="347"/>
      <c r="DH11" s="347"/>
      <c r="DI11" s="347"/>
      <c r="DJ11" s="347"/>
      <c r="DK11" s="347"/>
      <c r="DL11" s="347"/>
      <c r="DM11" s="347"/>
      <c r="DN11" s="347"/>
      <c r="DO11" s="347"/>
      <c r="DP11" s="347"/>
      <c r="DQ11" s="347"/>
      <c r="DR11" s="347"/>
      <c r="DS11" s="347"/>
      <c r="DT11" s="347"/>
      <c r="DU11" s="347"/>
      <c r="DV11" s="347"/>
      <c r="DW11" s="347"/>
      <c r="DX11" s="347"/>
      <c r="DY11" s="347"/>
      <c r="DZ11" s="347"/>
      <c r="EA11" s="347"/>
      <c r="EB11" s="347"/>
      <c r="EC11" s="347"/>
      <c r="ED11" s="347"/>
      <c r="EE11" s="347"/>
      <c r="EF11" s="347"/>
      <c r="EG11" s="347"/>
      <c r="EH11" s="347"/>
      <c r="EI11" s="347"/>
      <c r="EJ11" s="347"/>
      <c r="EK11" s="347"/>
      <c r="EL11" s="347"/>
      <c r="EM11" s="347"/>
      <c r="EN11" s="347"/>
      <c r="EO11" s="347"/>
      <c r="EP11" s="347"/>
      <c r="EQ11" s="347"/>
      <c r="ER11" s="347"/>
      <c r="ES11" s="347"/>
      <c r="ET11" s="347"/>
      <c r="EU11" s="347"/>
      <c r="EV11" s="347"/>
      <c r="EW11" s="347"/>
      <c r="EX11" s="347"/>
      <c r="EY11" s="347"/>
      <c r="EZ11" s="347"/>
      <c r="FA11" s="347"/>
      <c r="FB11" s="347"/>
      <c r="FC11" s="347"/>
      <c r="FD11" s="347"/>
      <c r="FE11" s="347"/>
      <c r="FF11" s="347"/>
      <c r="FG11" s="347"/>
      <c r="FH11" s="347"/>
      <c r="FI11" s="347"/>
      <c r="FJ11" s="347"/>
      <c r="FK11" s="347"/>
      <c r="FL11" s="347"/>
      <c r="FM11" s="347"/>
      <c r="FN11" s="347"/>
      <c r="FO11" s="347"/>
      <c r="FP11" s="347"/>
      <c r="FQ11" s="347"/>
      <c r="FR11" s="347"/>
      <c r="FS11" s="347"/>
      <c r="FT11" s="347"/>
      <c r="FU11" s="347"/>
      <c r="FV11" s="347"/>
    </row>
    <row r="12" spans="1:178" ht="12.75" customHeight="1">
      <c r="A12" s="1405" t="s">
        <v>653</v>
      </c>
      <c r="B12" s="871" t="s">
        <v>403</v>
      </c>
      <c r="C12" s="872" t="s">
        <v>402</v>
      </c>
      <c r="D12" s="872"/>
      <c r="E12" s="1407" t="s">
        <v>447</v>
      </c>
      <c r="F12" s="873" t="s">
        <v>168</v>
      </c>
      <c r="G12" s="874">
        <f>Feed!$J$4*1000/12</f>
        <v>90000</v>
      </c>
      <c r="H12" s="874">
        <f>Feed!$J$4*1000/12</f>
        <v>90000</v>
      </c>
      <c r="I12" s="874">
        <f>Feed!$J$4*1000/12</f>
        <v>90000</v>
      </c>
      <c r="J12" s="874">
        <f>Feed!$J$4*1000/12</f>
        <v>90000</v>
      </c>
      <c r="K12" s="874">
        <f>Feed!$J$4*1000/12</f>
        <v>90000</v>
      </c>
      <c r="L12" s="874">
        <f>Feed!$J$4*1000/12</f>
        <v>90000</v>
      </c>
      <c r="M12" s="874">
        <f>Feed!$J$4*1000/12</f>
        <v>90000</v>
      </c>
      <c r="N12" s="874">
        <f>Feed!$J$4*1000/12</f>
        <v>90000</v>
      </c>
      <c r="O12" s="874">
        <f>Feed!$J$4*1000/12</f>
        <v>90000</v>
      </c>
      <c r="P12" s="874">
        <f>Feed!$J$4*1000/12</f>
        <v>90000</v>
      </c>
      <c r="Q12" s="874">
        <f>Feed!$J$4*1000/12</f>
        <v>90000</v>
      </c>
      <c r="R12" s="874">
        <f>Feed!$J$4*1000/12</f>
        <v>90000</v>
      </c>
      <c r="S12" s="874">
        <f>Feed!$J$4*1000/12</f>
        <v>90000</v>
      </c>
      <c r="T12" s="874">
        <f>Feed!$J$4*1000/12</f>
        <v>90000</v>
      </c>
      <c r="U12" s="874">
        <f>Feed!$J$4*1000/12</f>
        <v>90000</v>
      </c>
      <c r="V12" s="874">
        <f>Feed!$J$4*1000/12</f>
        <v>90000</v>
      </c>
      <c r="W12" s="874">
        <f>Feed!$J$4*1000/12</f>
        <v>90000</v>
      </c>
      <c r="X12" s="874">
        <f>Feed!$J$4*1000/12</f>
        <v>90000</v>
      </c>
      <c r="Y12" s="874">
        <f>Feed!$J$4*1000/12</f>
        <v>90000</v>
      </c>
      <c r="Z12" s="874">
        <f>Feed!$J$4*1000/12</f>
        <v>90000</v>
      </c>
      <c r="AA12" s="874">
        <f>Feed!$J$4*1000/12</f>
        <v>90000</v>
      </c>
      <c r="AB12" s="874">
        <f>Feed!$J$4*1000/12</f>
        <v>90000</v>
      </c>
      <c r="AC12" s="874">
        <f>Feed!$J$4*1000/12</f>
        <v>90000</v>
      </c>
      <c r="AD12" s="874">
        <f>Feed!$J$4*1000/12</f>
        <v>90000</v>
      </c>
      <c r="AE12" s="874">
        <f>Feed!$J$4*1000/12</f>
        <v>90000</v>
      </c>
      <c r="AF12" s="874">
        <f>Feed!$J$4*1000/12</f>
        <v>90000</v>
      </c>
      <c r="AG12" s="874">
        <f>Feed!$J$4*1000/12</f>
        <v>90000</v>
      </c>
      <c r="AH12" s="874">
        <f>Feed!$J$4*1000/12</f>
        <v>90000</v>
      </c>
      <c r="AI12" s="874">
        <f>Feed!$J$4*1000/12</f>
        <v>90000</v>
      </c>
      <c r="AJ12" s="874">
        <f>Feed!$J$4*1000/12</f>
        <v>90000</v>
      </c>
      <c r="AK12" s="874">
        <f>Feed!$J$4*1000/12</f>
        <v>90000</v>
      </c>
      <c r="AL12" s="874">
        <f>Feed!$J$4*1000/12</f>
        <v>90000</v>
      </c>
      <c r="AM12" s="874">
        <f>Feed!$J$4*1000/12</f>
        <v>90000</v>
      </c>
      <c r="AN12" s="874">
        <f>Feed!$J$4*1000/12</f>
        <v>90000</v>
      </c>
      <c r="AO12" s="874">
        <f>Feed!$J$4*1000/12</f>
        <v>90000</v>
      </c>
      <c r="AP12" s="874">
        <f>Feed!$J$4*1000/12</f>
        <v>90000</v>
      </c>
      <c r="AQ12" s="874">
        <f>Feed!$J$4*1000/12</f>
        <v>90000</v>
      </c>
      <c r="AR12" s="874">
        <f>Feed!$J$4*1000/12</f>
        <v>90000</v>
      </c>
      <c r="AS12" s="874">
        <f>Feed!$J$4*1000/12</f>
        <v>90000</v>
      </c>
      <c r="AT12" s="874">
        <f>Feed!$J$4*1000/12</f>
        <v>90000</v>
      </c>
      <c r="AU12" s="874">
        <f>Feed!$J$4*1000/12</f>
        <v>90000</v>
      </c>
      <c r="AV12" s="874">
        <f>Feed!$J$4*1000/12</f>
        <v>90000</v>
      </c>
      <c r="AW12" s="874">
        <f>Feed!$J$4*1000/12</f>
        <v>90000</v>
      </c>
      <c r="AX12" s="874">
        <f>Feed!$J$4*1000/12</f>
        <v>90000</v>
      </c>
      <c r="AY12" s="874">
        <f>Feed!$J$4*1000/12</f>
        <v>90000</v>
      </c>
      <c r="AZ12" s="874">
        <f>Feed!$J$4*1000/12</f>
        <v>90000</v>
      </c>
      <c r="BA12" s="874">
        <f>Feed!$J$4*1000/12</f>
        <v>90000</v>
      </c>
      <c r="BB12" s="874">
        <f>Feed!$J$4*1000/12</f>
        <v>90000</v>
      </c>
      <c r="BC12" s="874">
        <f>Feed!$J$4*1000/12</f>
        <v>90000</v>
      </c>
      <c r="BD12" s="874">
        <f>Feed!$J$4*1000/12</f>
        <v>90000</v>
      </c>
      <c r="BE12" s="874">
        <f>Feed!$J$4*1000/12</f>
        <v>90000</v>
      </c>
      <c r="BF12" s="874">
        <f>Feed!$J$4*1000/12</f>
        <v>90000</v>
      </c>
      <c r="BG12" s="874">
        <f>Feed!$J$4*1000/12</f>
        <v>90000</v>
      </c>
      <c r="BH12" s="874">
        <f>Feed!$J$4*1000/12</f>
        <v>90000</v>
      </c>
      <c r="BI12" s="874">
        <f>Feed!$J$4*1000/12</f>
        <v>90000</v>
      </c>
      <c r="BJ12" s="874">
        <f>Feed!$J$4*1000/12</f>
        <v>90000</v>
      </c>
      <c r="BK12" s="874">
        <f>Feed!$J$4*1000/12</f>
        <v>90000</v>
      </c>
      <c r="BL12" s="874">
        <f>Feed!$J$4*1000/12</f>
        <v>90000</v>
      </c>
      <c r="BM12" s="874">
        <f>Feed!$J$4*1000/12</f>
        <v>90000</v>
      </c>
      <c r="BN12" s="874">
        <f>Feed!$J$4*1000/12</f>
        <v>90000</v>
      </c>
      <c r="BO12" s="874">
        <f>Feed!$J$4*1000/12</f>
        <v>90000</v>
      </c>
      <c r="BP12" s="874">
        <f>Feed!$J$4*1000/12</f>
        <v>90000</v>
      </c>
      <c r="BQ12" s="874">
        <f>Feed!$J$4*1000/12</f>
        <v>90000</v>
      </c>
      <c r="BR12" s="874">
        <f>Feed!$J$4*1000/12</f>
        <v>90000</v>
      </c>
      <c r="BS12" s="874">
        <f>Feed!$J$4*1000/12</f>
        <v>90000</v>
      </c>
      <c r="BT12" s="874">
        <f>Feed!$J$4*1000/12</f>
        <v>90000</v>
      </c>
      <c r="BU12" s="874">
        <f>Feed!$J$4*1000/12</f>
        <v>90000</v>
      </c>
      <c r="BV12" s="874">
        <f>Feed!$J$4*1000/12</f>
        <v>90000</v>
      </c>
      <c r="BW12" s="874">
        <f>Feed!$J$4*1000/12</f>
        <v>90000</v>
      </c>
      <c r="BX12" s="874">
        <f>Feed!$J$4*1000/12</f>
        <v>90000</v>
      </c>
      <c r="BY12" s="874">
        <f>Feed!$J$4*1000/12</f>
        <v>90000</v>
      </c>
      <c r="BZ12" s="874">
        <f>Feed!$J$4*1000/12</f>
        <v>90000</v>
      </c>
      <c r="CA12" s="874">
        <f>Feed!$J$4*1000/12</f>
        <v>90000</v>
      </c>
      <c r="CB12" s="874">
        <f>Feed!$J$4*1000/12</f>
        <v>90000</v>
      </c>
      <c r="CC12" s="874">
        <f>Feed!$J$4*1000/12</f>
        <v>90000</v>
      </c>
      <c r="CD12" s="874">
        <f>Feed!$J$4*1000/12</f>
        <v>90000</v>
      </c>
      <c r="CE12" s="874">
        <f>Feed!$J$4*1000/12</f>
        <v>90000</v>
      </c>
      <c r="CF12" s="874">
        <f>Feed!$J$4*1000/12</f>
        <v>90000</v>
      </c>
      <c r="CG12" s="874">
        <f>Feed!$J$4*1000/12</f>
        <v>90000</v>
      </c>
      <c r="CH12" s="874">
        <f>Feed!$J$4*1000/12</f>
        <v>90000</v>
      </c>
      <c r="CI12" s="874">
        <f>Feed!$J$4*1000/12</f>
        <v>90000</v>
      </c>
      <c r="CJ12" s="874">
        <f>Feed!$J$4*1000/12</f>
        <v>90000</v>
      </c>
      <c r="CK12" s="874">
        <f>Feed!$J$4*1000/12</f>
        <v>90000</v>
      </c>
      <c r="CL12" s="874">
        <f>Feed!$J$4*1000/12</f>
        <v>90000</v>
      </c>
      <c r="CM12" s="875">
        <f t="shared" si="0"/>
        <v>90000</v>
      </c>
      <c r="CN12" s="347"/>
      <c r="CO12" s="347"/>
      <c r="CP12" s="347"/>
      <c r="CQ12" s="347"/>
      <c r="CR12" s="347"/>
      <c r="CS12" s="347"/>
      <c r="CT12" s="347"/>
      <c r="CU12" s="347"/>
      <c r="CV12" s="347"/>
      <c r="CW12" s="347"/>
      <c r="CX12" s="347"/>
      <c r="CY12" s="347"/>
      <c r="CZ12" s="347"/>
      <c r="DA12" s="347"/>
      <c r="DB12" s="347"/>
      <c r="DC12" s="347"/>
      <c r="DD12" s="347"/>
      <c r="DE12" s="347"/>
      <c r="DF12" s="347"/>
      <c r="DG12" s="347"/>
      <c r="DH12" s="347"/>
      <c r="DI12" s="347"/>
      <c r="DJ12" s="347"/>
      <c r="DK12" s="347"/>
      <c r="DL12" s="347"/>
      <c r="DM12" s="347"/>
      <c r="DN12" s="347"/>
      <c r="DO12" s="347"/>
      <c r="DP12" s="347"/>
      <c r="DQ12" s="347"/>
      <c r="DR12" s="347"/>
      <c r="DS12" s="347"/>
      <c r="DT12" s="347"/>
      <c r="DU12" s="347"/>
      <c r="DV12" s="347"/>
      <c r="DW12" s="347"/>
      <c r="DX12" s="347"/>
      <c r="DY12" s="347"/>
      <c r="DZ12" s="347"/>
      <c r="EA12" s="347"/>
      <c r="EB12" s="347"/>
      <c r="EC12" s="347"/>
      <c r="ED12" s="347"/>
      <c r="EE12" s="347"/>
      <c r="EF12" s="347"/>
      <c r="EG12" s="347"/>
      <c r="EH12" s="347"/>
      <c r="EI12" s="347"/>
      <c r="EJ12" s="347"/>
      <c r="EK12" s="347"/>
      <c r="EL12" s="347"/>
      <c r="EM12" s="347"/>
      <c r="EN12" s="347"/>
      <c r="EO12" s="347"/>
      <c r="EP12" s="347"/>
      <c r="EQ12" s="347"/>
      <c r="ER12" s="347"/>
      <c r="ES12" s="347"/>
      <c r="ET12" s="347"/>
      <c r="EU12" s="347"/>
      <c r="EV12" s="347"/>
      <c r="EW12" s="347"/>
      <c r="EX12" s="347"/>
      <c r="EY12" s="347"/>
      <c r="EZ12" s="347"/>
      <c r="FA12" s="347"/>
      <c r="FB12" s="347"/>
      <c r="FC12" s="347"/>
      <c r="FD12" s="347"/>
      <c r="FE12" s="347"/>
      <c r="FF12" s="347"/>
      <c r="FG12" s="347"/>
      <c r="FH12" s="347"/>
      <c r="FI12" s="347"/>
      <c r="FJ12" s="347"/>
      <c r="FK12" s="347"/>
      <c r="FL12" s="347"/>
      <c r="FM12" s="347"/>
      <c r="FN12" s="347"/>
      <c r="FO12" s="347"/>
      <c r="FP12" s="347"/>
      <c r="FQ12" s="347"/>
      <c r="FR12" s="347"/>
      <c r="FS12" s="347"/>
      <c r="FT12" s="347"/>
      <c r="FU12" s="347"/>
      <c r="FV12" s="347"/>
    </row>
    <row r="13" spans="1:178">
      <c r="A13" s="1406"/>
      <c r="B13" s="876" t="s">
        <v>403</v>
      </c>
      <c r="C13" s="877" t="s">
        <v>402</v>
      </c>
      <c r="D13" s="877"/>
      <c r="E13" s="1398"/>
      <c r="F13" s="878" t="s">
        <v>0</v>
      </c>
      <c r="G13" s="874">
        <f>Feed!$J$6*1000/12</f>
        <v>20416.666666666668</v>
      </c>
      <c r="H13" s="874">
        <f>Feed!$J$6*1000/12</f>
        <v>20416.666666666668</v>
      </c>
      <c r="I13" s="874">
        <f>Feed!$J$6*1000/12</f>
        <v>20416.666666666668</v>
      </c>
      <c r="J13" s="874">
        <f>Feed!$J$6*1000/12</f>
        <v>20416.666666666668</v>
      </c>
      <c r="K13" s="874">
        <f>Feed!$J$6*1000/12</f>
        <v>20416.666666666668</v>
      </c>
      <c r="L13" s="874">
        <f>Feed!$J$6*1000/12</f>
        <v>20416.666666666668</v>
      </c>
      <c r="M13" s="874">
        <f>Feed!$J$6*1000/12</f>
        <v>20416.666666666668</v>
      </c>
      <c r="N13" s="874">
        <f>Feed!$J$6*1000/12</f>
        <v>20416.666666666668</v>
      </c>
      <c r="O13" s="874">
        <f>Feed!$J$6*1000/12</f>
        <v>20416.666666666668</v>
      </c>
      <c r="P13" s="874">
        <f>Feed!$J$6*1000/12</f>
        <v>20416.666666666668</v>
      </c>
      <c r="Q13" s="874">
        <f>Feed!$J$6*1000/12</f>
        <v>20416.666666666668</v>
      </c>
      <c r="R13" s="874">
        <f>Feed!$J$6*1000/12</f>
        <v>20416.666666666668</v>
      </c>
      <c r="S13" s="874">
        <f>Feed!$J$6*1000/12</f>
        <v>20416.666666666668</v>
      </c>
      <c r="T13" s="874">
        <f>Feed!$J$6*1000/12</f>
        <v>20416.666666666668</v>
      </c>
      <c r="U13" s="874">
        <f>Feed!$J$6*1000/12</f>
        <v>20416.666666666668</v>
      </c>
      <c r="V13" s="874">
        <f>Feed!$J$6*1000/12</f>
        <v>20416.666666666668</v>
      </c>
      <c r="W13" s="874">
        <f>Feed!$J$6*1000/12</f>
        <v>20416.666666666668</v>
      </c>
      <c r="X13" s="874">
        <f>Feed!$J$6*1000/12</f>
        <v>20416.666666666668</v>
      </c>
      <c r="Y13" s="874">
        <f>Feed!$J$6*1000/12</f>
        <v>20416.666666666668</v>
      </c>
      <c r="Z13" s="874">
        <f>Feed!$J$6*1000/12</f>
        <v>20416.666666666668</v>
      </c>
      <c r="AA13" s="874">
        <f>Feed!$J$6*1000/12</f>
        <v>20416.666666666668</v>
      </c>
      <c r="AB13" s="874">
        <f>Feed!$J$6*1000/12</f>
        <v>20416.666666666668</v>
      </c>
      <c r="AC13" s="874">
        <f>Feed!$J$6*1000/12</f>
        <v>20416.666666666668</v>
      </c>
      <c r="AD13" s="874">
        <f>Feed!$J$6*1000/12</f>
        <v>20416.666666666668</v>
      </c>
      <c r="AE13" s="874">
        <f>Feed!$J$6*1000/12</f>
        <v>20416.666666666668</v>
      </c>
      <c r="AF13" s="874">
        <f>Feed!$J$6*1000/12</f>
        <v>20416.666666666668</v>
      </c>
      <c r="AG13" s="874">
        <f>Feed!$J$6*1000/12</f>
        <v>20416.666666666668</v>
      </c>
      <c r="AH13" s="874">
        <f>Feed!$J$6*1000/12</f>
        <v>20416.666666666668</v>
      </c>
      <c r="AI13" s="874">
        <f>Feed!$J$6*1000/12</f>
        <v>20416.666666666668</v>
      </c>
      <c r="AJ13" s="874">
        <f>Feed!$J$6*1000/12</f>
        <v>20416.666666666668</v>
      </c>
      <c r="AK13" s="874">
        <f>Feed!$J$6*1000/12</f>
        <v>20416.666666666668</v>
      </c>
      <c r="AL13" s="874">
        <f>Feed!$J$6*1000/12</f>
        <v>20416.666666666668</v>
      </c>
      <c r="AM13" s="874">
        <f>Feed!$J$6*1000/12</f>
        <v>20416.666666666668</v>
      </c>
      <c r="AN13" s="874">
        <f>Feed!$J$6*1000/12</f>
        <v>20416.666666666668</v>
      </c>
      <c r="AO13" s="874">
        <f>Feed!$J$6*1000/12</f>
        <v>20416.666666666668</v>
      </c>
      <c r="AP13" s="874">
        <f>Feed!$J$6*1000/12</f>
        <v>20416.666666666668</v>
      </c>
      <c r="AQ13" s="874">
        <f>Feed!$J$6*1000/12</f>
        <v>20416.666666666668</v>
      </c>
      <c r="AR13" s="874">
        <f>Feed!$J$6*1000/12</f>
        <v>20416.666666666668</v>
      </c>
      <c r="AS13" s="874">
        <f>Feed!$J$6*1000/12</f>
        <v>20416.666666666668</v>
      </c>
      <c r="AT13" s="874">
        <f>Feed!$J$6*1000/12</f>
        <v>20416.666666666668</v>
      </c>
      <c r="AU13" s="874">
        <f>Feed!$J$6*1000/12</f>
        <v>20416.666666666668</v>
      </c>
      <c r="AV13" s="874">
        <f>Feed!$J$6*1000/12</f>
        <v>20416.666666666668</v>
      </c>
      <c r="AW13" s="874">
        <f>Feed!$J$6*1000/12</f>
        <v>20416.666666666668</v>
      </c>
      <c r="AX13" s="874">
        <f>Feed!$J$6*1000/12</f>
        <v>20416.666666666668</v>
      </c>
      <c r="AY13" s="874">
        <f>Feed!$J$6*1000/12</f>
        <v>20416.666666666668</v>
      </c>
      <c r="AZ13" s="874">
        <f>Feed!$J$6*1000/12</f>
        <v>20416.666666666668</v>
      </c>
      <c r="BA13" s="874">
        <f>Feed!$J$6*1000/12</f>
        <v>20416.666666666668</v>
      </c>
      <c r="BB13" s="874">
        <f>Feed!$J$6*1000/12</f>
        <v>20416.666666666668</v>
      </c>
      <c r="BC13" s="874">
        <f>Feed!$J$6*1000/12</f>
        <v>20416.666666666668</v>
      </c>
      <c r="BD13" s="874">
        <f>Feed!$J$6*1000/12</f>
        <v>20416.666666666668</v>
      </c>
      <c r="BE13" s="874">
        <f>Feed!$J$6*1000/12</f>
        <v>20416.666666666668</v>
      </c>
      <c r="BF13" s="874">
        <f>Feed!$J$6*1000/12</f>
        <v>20416.666666666668</v>
      </c>
      <c r="BG13" s="874">
        <f>Feed!$J$6*1000/12</f>
        <v>20416.666666666668</v>
      </c>
      <c r="BH13" s="874">
        <f>Feed!$J$6*1000/12</f>
        <v>20416.666666666668</v>
      </c>
      <c r="BI13" s="874">
        <f>Feed!$J$6*1000/12</f>
        <v>20416.666666666668</v>
      </c>
      <c r="BJ13" s="874">
        <f>Feed!$J$6*1000/12</f>
        <v>20416.666666666668</v>
      </c>
      <c r="BK13" s="874">
        <f>Feed!$J$6*1000/12</f>
        <v>20416.666666666668</v>
      </c>
      <c r="BL13" s="874">
        <f>Feed!$J$6*1000/12</f>
        <v>20416.666666666668</v>
      </c>
      <c r="BM13" s="874">
        <f>Feed!$J$6*1000/12</f>
        <v>20416.666666666668</v>
      </c>
      <c r="BN13" s="874">
        <f>Feed!$J$6*1000/12</f>
        <v>20416.666666666668</v>
      </c>
      <c r="BO13" s="874">
        <f>Feed!$J$6*1000/12</f>
        <v>20416.666666666668</v>
      </c>
      <c r="BP13" s="874">
        <f>Feed!$J$6*1000/12</f>
        <v>20416.666666666668</v>
      </c>
      <c r="BQ13" s="874">
        <f>Feed!$J$6*1000/12</f>
        <v>20416.666666666668</v>
      </c>
      <c r="BR13" s="874">
        <f>Feed!$J$6*1000/12</f>
        <v>20416.666666666668</v>
      </c>
      <c r="BS13" s="874">
        <f>Feed!$J$6*1000/12</f>
        <v>20416.666666666668</v>
      </c>
      <c r="BT13" s="874">
        <f>Feed!$J$6*1000/12</f>
        <v>20416.666666666668</v>
      </c>
      <c r="BU13" s="874">
        <f>Feed!$J$6*1000/12</f>
        <v>20416.666666666668</v>
      </c>
      <c r="BV13" s="874">
        <f>Feed!$J$6*1000/12</f>
        <v>20416.666666666668</v>
      </c>
      <c r="BW13" s="874">
        <f>Feed!$J$6*1000/12</f>
        <v>20416.666666666668</v>
      </c>
      <c r="BX13" s="874">
        <f>Feed!$J$6*1000/12</f>
        <v>20416.666666666668</v>
      </c>
      <c r="BY13" s="874">
        <f>Feed!$J$6*1000/12</f>
        <v>20416.666666666668</v>
      </c>
      <c r="BZ13" s="874">
        <f>Feed!$J$6*1000/12</f>
        <v>20416.666666666668</v>
      </c>
      <c r="CA13" s="874">
        <f>Feed!$J$6*1000/12</f>
        <v>20416.666666666668</v>
      </c>
      <c r="CB13" s="874">
        <f>Feed!$J$6*1000/12</f>
        <v>20416.666666666668</v>
      </c>
      <c r="CC13" s="874">
        <f>Feed!$J$6*1000/12</f>
        <v>20416.666666666668</v>
      </c>
      <c r="CD13" s="874">
        <f>Feed!$J$6*1000/12</f>
        <v>20416.666666666668</v>
      </c>
      <c r="CE13" s="874">
        <f>Feed!$J$6*1000/12</f>
        <v>20416.666666666668</v>
      </c>
      <c r="CF13" s="874">
        <f>Feed!$J$6*1000/12</f>
        <v>20416.666666666668</v>
      </c>
      <c r="CG13" s="874">
        <f>Feed!$J$6*1000/12</f>
        <v>20416.666666666668</v>
      </c>
      <c r="CH13" s="874">
        <f>Feed!$J$6*1000/12</f>
        <v>20416.666666666668</v>
      </c>
      <c r="CI13" s="874">
        <f>Feed!$J$6*1000/12</f>
        <v>20416.666666666668</v>
      </c>
      <c r="CJ13" s="874">
        <f>Feed!$J$6*1000/12</f>
        <v>20416.666666666668</v>
      </c>
      <c r="CK13" s="874">
        <f>Feed!$J$6*1000/12</f>
        <v>20416.666666666668</v>
      </c>
      <c r="CL13" s="874">
        <f>Feed!$J$6*1000/12</f>
        <v>20416.666666666668</v>
      </c>
      <c r="CM13" s="875">
        <f t="shared" si="0"/>
        <v>20416.666666666686</v>
      </c>
      <c r="CN13" s="347"/>
      <c r="CO13" s="347"/>
      <c r="CP13" s="347"/>
      <c r="CQ13" s="347"/>
      <c r="CR13" s="347"/>
      <c r="CS13" s="347"/>
      <c r="CT13" s="347"/>
      <c r="CU13" s="347"/>
      <c r="CV13" s="347"/>
      <c r="CW13" s="347"/>
      <c r="CX13" s="347"/>
      <c r="CY13" s="347"/>
      <c r="CZ13" s="347"/>
      <c r="DA13" s="347"/>
      <c r="DB13" s="347"/>
      <c r="DC13" s="347"/>
      <c r="DD13" s="347"/>
      <c r="DE13" s="347"/>
      <c r="DF13" s="347"/>
      <c r="DG13" s="347"/>
      <c r="DH13" s="347"/>
      <c r="DI13" s="347"/>
      <c r="DJ13" s="347"/>
      <c r="DK13" s="347"/>
      <c r="DL13" s="347"/>
      <c r="DM13" s="347"/>
      <c r="DN13" s="347"/>
      <c r="DO13" s="347"/>
      <c r="DP13" s="347"/>
      <c r="DQ13" s="347"/>
      <c r="DR13" s="347"/>
      <c r="DS13" s="347"/>
      <c r="DT13" s="347"/>
      <c r="DU13" s="347"/>
      <c r="DV13" s="347"/>
      <c r="DW13" s="347"/>
      <c r="DX13" s="347"/>
      <c r="DY13" s="347"/>
      <c r="DZ13" s="347"/>
      <c r="EA13" s="347"/>
      <c r="EB13" s="347"/>
      <c r="EC13" s="347"/>
      <c r="ED13" s="347"/>
      <c r="EE13" s="347"/>
      <c r="EF13" s="347"/>
      <c r="EG13" s="347"/>
      <c r="EH13" s="347"/>
      <c r="EI13" s="347"/>
      <c r="EJ13" s="347"/>
      <c r="EK13" s="347"/>
      <c r="EL13" s="347"/>
      <c r="EM13" s="347"/>
      <c r="EN13" s="347"/>
      <c r="EO13" s="347"/>
      <c r="EP13" s="347"/>
      <c r="EQ13" s="347"/>
      <c r="ER13" s="347"/>
      <c r="ES13" s="347"/>
      <c r="ET13" s="347"/>
      <c r="EU13" s="347"/>
      <c r="EV13" s="347"/>
      <c r="EW13" s="347"/>
      <c r="EX13" s="347"/>
      <c r="EY13" s="347"/>
      <c r="EZ13" s="347"/>
      <c r="FA13" s="347"/>
      <c r="FB13" s="347"/>
      <c r="FC13" s="347"/>
      <c r="FD13" s="347"/>
      <c r="FE13" s="347"/>
      <c r="FF13" s="347"/>
      <c r="FG13" s="347"/>
      <c r="FH13" s="347"/>
      <c r="FI13" s="347"/>
      <c r="FJ13" s="347"/>
      <c r="FK13" s="347"/>
      <c r="FL13" s="347"/>
      <c r="FM13" s="347"/>
      <c r="FN13" s="347"/>
      <c r="FO13" s="347"/>
      <c r="FP13" s="347"/>
      <c r="FQ13" s="347"/>
      <c r="FR13" s="347"/>
      <c r="FS13" s="347"/>
      <c r="FT13" s="347"/>
      <c r="FU13" s="347"/>
      <c r="FV13" s="347"/>
    </row>
    <row r="14" spans="1:178">
      <c r="A14" s="1406"/>
      <c r="B14" s="876" t="s">
        <v>403</v>
      </c>
      <c r="C14" s="877" t="s">
        <v>402</v>
      </c>
      <c r="D14" s="877"/>
      <c r="E14" s="1398"/>
      <c r="F14" s="878" t="s">
        <v>398</v>
      </c>
      <c r="G14" s="874">
        <f>Feed!$J$7*1000/12</f>
        <v>11333.333333333334</v>
      </c>
      <c r="H14" s="874">
        <f>Feed!$J$7*1000/12</f>
        <v>11333.333333333334</v>
      </c>
      <c r="I14" s="874">
        <f>Feed!$J$7*1000/12</f>
        <v>11333.333333333334</v>
      </c>
      <c r="J14" s="874">
        <f>Feed!$J$7*1000/12</f>
        <v>11333.333333333334</v>
      </c>
      <c r="K14" s="874">
        <f>Feed!$J$7*1000/12</f>
        <v>11333.333333333334</v>
      </c>
      <c r="L14" s="874">
        <f>Feed!$J$7*1000/12</f>
        <v>11333.333333333334</v>
      </c>
      <c r="M14" s="874">
        <f>Feed!$J$7*1000/12</f>
        <v>11333.333333333334</v>
      </c>
      <c r="N14" s="874">
        <f>Feed!$J$7*1000/12</f>
        <v>11333.333333333334</v>
      </c>
      <c r="O14" s="874">
        <f>Feed!$J$7*1000/12</f>
        <v>11333.333333333334</v>
      </c>
      <c r="P14" s="874">
        <f>Feed!$J$7*1000/12</f>
        <v>11333.333333333334</v>
      </c>
      <c r="Q14" s="874">
        <f>Feed!$J$7*1000/12</f>
        <v>11333.333333333334</v>
      </c>
      <c r="R14" s="874">
        <f>Feed!$J$7*1000/12</f>
        <v>11333.333333333334</v>
      </c>
      <c r="S14" s="874">
        <f>Feed!$J$7*1000/12</f>
        <v>11333.333333333334</v>
      </c>
      <c r="T14" s="874">
        <f>Feed!$J$7*1000/12</f>
        <v>11333.333333333334</v>
      </c>
      <c r="U14" s="874">
        <f>Feed!$J$7*1000/12</f>
        <v>11333.333333333334</v>
      </c>
      <c r="V14" s="874">
        <f>Feed!$J$7*1000/12</f>
        <v>11333.333333333334</v>
      </c>
      <c r="W14" s="874">
        <f>Feed!$J$7*1000/12</f>
        <v>11333.333333333334</v>
      </c>
      <c r="X14" s="874">
        <f>Feed!$J$7*1000/12</f>
        <v>11333.333333333334</v>
      </c>
      <c r="Y14" s="874">
        <f>Feed!$J$7*1000/12</f>
        <v>11333.333333333334</v>
      </c>
      <c r="Z14" s="874">
        <f>Feed!$J$7*1000/12</f>
        <v>11333.333333333334</v>
      </c>
      <c r="AA14" s="874">
        <f>Feed!$J$7*1000/12</f>
        <v>11333.333333333334</v>
      </c>
      <c r="AB14" s="874">
        <f>Feed!$J$7*1000/12</f>
        <v>11333.333333333334</v>
      </c>
      <c r="AC14" s="874">
        <f>Feed!$J$7*1000/12</f>
        <v>11333.333333333334</v>
      </c>
      <c r="AD14" s="874">
        <f>Feed!$J$7*1000/12</f>
        <v>11333.333333333334</v>
      </c>
      <c r="AE14" s="874">
        <f>Feed!$J$7*1000/12</f>
        <v>11333.333333333334</v>
      </c>
      <c r="AF14" s="874">
        <f>Feed!$J$7*1000/12</f>
        <v>11333.333333333334</v>
      </c>
      <c r="AG14" s="874">
        <f>Feed!$J$7*1000/12</f>
        <v>11333.333333333334</v>
      </c>
      <c r="AH14" s="874">
        <f>Feed!$J$7*1000/12</f>
        <v>11333.333333333334</v>
      </c>
      <c r="AI14" s="874">
        <f>Feed!$J$7*1000/12</f>
        <v>11333.333333333334</v>
      </c>
      <c r="AJ14" s="874">
        <f>Feed!$J$7*1000/12</f>
        <v>11333.333333333334</v>
      </c>
      <c r="AK14" s="874">
        <f>Feed!$J$7*1000/12</f>
        <v>11333.333333333334</v>
      </c>
      <c r="AL14" s="874">
        <f>Feed!$J$7*1000/12</f>
        <v>11333.333333333334</v>
      </c>
      <c r="AM14" s="874">
        <f>Feed!$J$7*1000/12</f>
        <v>11333.333333333334</v>
      </c>
      <c r="AN14" s="874">
        <f>Feed!$J$7*1000/12</f>
        <v>11333.333333333334</v>
      </c>
      <c r="AO14" s="874">
        <f>Feed!$J$7*1000/12</f>
        <v>11333.333333333334</v>
      </c>
      <c r="AP14" s="874">
        <f>Feed!$J$7*1000/12</f>
        <v>11333.333333333334</v>
      </c>
      <c r="AQ14" s="874">
        <f>Feed!$J$7*1000/12</f>
        <v>11333.333333333334</v>
      </c>
      <c r="AR14" s="874">
        <f>Feed!$J$7*1000/12</f>
        <v>11333.333333333334</v>
      </c>
      <c r="AS14" s="874">
        <f>Feed!$J$7*1000/12</f>
        <v>11333.333333333334</v>
      </c>
      <c r="AT14" s="874">
        <f>Feed!$J$7*1000/12</f>
        <v>11333.333333333334</v>
      </c>
      <c r="AU14" s="874">
        <f>Feed!$J$7*1000/12</f>
        <v>11333.333333333334</v>
      </c>
      <c r="AV14" s="874">
        <f>Feed!$J$7*1000/12</f>
        <v>11333.333333333334</v>
      </c>
      <c r="AW14" s="874">
        <f>Feed!$J$7*1000/12</f>
        <v>11333.333333333334</v>
      </c>
      <c r="AX14" s="874">
        <f>Feed!$J$7*1000/12</f>
        <v>11333.333333333334</v>
      </c>
      <c r="AY14" s="874">
        <f>Feed!$J$7*1000/12</f>
        <v>11333.333333333334</v>
      </c>
      <c r="AZ14" s="874">
        <f>Feed!$J$7*1000/12</f>
        <v>11333.333333333334</v>
      </c>
      <c r="BA14" s="874">
        <f>Feed!$J$7*1000/12</f>
        <v>11333.333333333334</v>
      </c>
      <c r="BB14" s="874">
        <f>Feed!$J$7*1000/12</f>
        <v>11333.333333333334</v>
      </c>
      <c r="BC14" s="874">
        <f>Feed!$J$7*1000/12</f>
        <v>11333.333333333334</v>
      </c>
      <c r="BD14" s="874">
        <f>Feed!$J$7*1000/12</f>
        <v>11333.333333333334</v>
      </c>
      <c r="BE14" s="874">
        <f>Feed!$J$7*1000/12</f>
        <v>11333.333333333334</v>
      </c>
      <c r="BF14" s="874">
        <f>Feed!$J$7*1000/12</f>
        <v>11333.333333333334</v>
      </c>
      <c r="BG14" s="874">
        <f>Feed!$J$7*1000/12</f>
        <v>11333.333333333334</v>
      </c>
      <c r="BH14" s="874">
        <f>Feed!$J$7*1000/12</f>
        <v>11333.333333333334</v>
      </c>
      <c r="BI14" s="874">
        <f>Feed!$J$7*1000/12</f>
        <v>11333.333333333334</v>
      </c>
      <c r="BJ14" s="874">
        <f>Feed!$J$7*1000/12</f>
        <v>11333.333333333334</v>
      </c>
      <c r="BK14" s="874">
        <f>Feed!$J$7*1000/12</f>
        <v>11333.333333333334</v>
      </c>
      <c r="BL14" s="874">
        <f>Feed!$J$7*1000/12</f>
        <v>11333.333333333334</v>
      </c>
      <c r="BM14" s="874">
        <f>Feed!$J$7*1000/12</f>
        <v>11333.333333333334</v>
      </c>
      <c r="BN14" s="874">
        <f>Feed!$J$7*1000/12</f>
        <v>11333.333333333334</v>
      </c>
      <c r="BO14" s="874">
        <f>Feed!$J$7*1000/12</f>
        <v>11333.333333333334</v>
      </c>
      <c r="BP14" s="874">
        <f>Feed!$J$7*1000/12</f>
        <v>11333.333333333334</v>
      </c>
      <c r="BQ14" s="874">
        <f>Feed!$J$7*1000/12</f>
        <v>11333.333333333334</v>
      </c>
      <c r="BR14" s="874">
        <f>Feed!$J$7*1000/12</f>
        <v>11333.333333333334</v>
      </c>
      <c r="BS14" s="874">
        <f>Feed!$J$7*1000/12</f>
        <v>11333.333333333334</v>
      </c>
      <c r="BT14" s="874">
        <f>Feed!$J$7*1000/12</f>
        <v>11333.333333333334</v>
      </c>
      <c r="BU14" s="874">
        <f>Feed!$J$7*1000/12</f>
        <v>11333.333333333334</v>
      </c>
      <c r="BV14" s="874">
        <f>Feed!$J$7*1000/12</f>
        <v>11333.333333333334</v>
      </c>
      <c r="BW14" s="874">
        <f>Feed!$J$7*1000/12</f>
        <v>11333.333333333334</v>
      </c>
      <c r="BX14" s="874">
        <f>Feed!$J$7*1000/12</f>
        <v>11333.333333333334</v>
      </c>
      <c r="BY14" s="874">
        <f>Feed!$J$7*1000/12</f>
        <v>11333.333333333334</v>
      </c>
      <c r="BZ14" s="874">
        <f>Feed!$J$7*1000/12</f>
        <v>11333.333333333334</v>
      </c>
      <c r="CA14" s="874">
        <f>Feed!$J$7*1000/12</f>
        <v>11333.333333333334</v>
      </c>
      <c r="CB14" s="874">
        <f>Feed!$J$7*1000/12</f>
        <v>11333.333333333334</v>
      </c>
      <c r="CC14" s="874">
        <f>Feed!$J$7*1000/12</f>
        <v>11333.333333333334</v>
      </c>
      <c r="CD14" s="874">
        <f>Feed!$J$7*1000/12</f>
        <v>11333.333333333334</v>
      </c>
      <c r="CE14" s="874">
        <f>Feed!$J$7*1000/12</f>
        <v>11333.333333333334</v>
      </c>
      <c r="CF14" s="874">
        <f>Feed!$J$7*1000/12</f>
        <v>11333.333333333334</v>
      </c>
      <c r="CG14" s="874">
        <f>Feed!$J$7*1000/12</f>
        <v>11333.333333333334</v>
      </c>
      <c r="CH14" s="874">
        <f>Feed!$J$7*1000/12</f>
        <v>11333.333333333334</v>
      </c>
      <c r="CI14" s="874">
        <f>Feed!$J$7*1000/12</f>
        <v>11333.333333333334</v>
      </c>
      <c r="CJ14" s="874">
        <f>Feed!$J$7*1000/12</f>
        <v>11333.333333333334</v>
      </c>
      <c r="CK14" s="874">
        <f>Feed!$J$7*1000/12</f>
        <v>11333.333333333334</v>
      </c>
      <c r="CL14" s="874">
        <f>Feed!$J$7*1000/12</f>
        <v>11333.333333333334</v>
      </c>
      <c r="CM14" s="875">
        <f t="shared" si="0"/>
        <v>11333.333333333347</v>
      </c>
      <c r="CN14" s="347"/>
      <c r="CO14" s="347"/>
      <c r="CP14" s="347"/>
      <c r="CQ14" s="347"/>
      <c r="CR14" s="347"/>
      <c r="CS14" s="347"/>
      <c r="CT14" s="347"/>
      <c r="CU14" s="347"/>
      <c r="CV14" s="347"/>
      <c r="CW14" s="347"/>
      <c r="CX14" s="347"/>
      <c r="CY14" s="347"/>
      <c r="CZ14" s="347"/>
      <c r="DA14" s="347"/>
      <c r="DB14" s="347"/>
      <c r="DC14" s="347"/>
      <c r="DD14" s="347"/>
      <c r="DE14" s="347"/>
      <c r="DF14" s="347"/>
      <c r="DG14" s="347"/>
      <c r="DH14" s="347"/>
      <c r="DI14" s="347"/>
      <c r="DJ14" s="347"/>
      <c r="DK14" s="347"/>
      <c r="DL14" s="347"/>
      <c r="DM14" s="347"/>
      <c r="DN14" s="347"/>
      <c r="DO14" s="347"/>
      <c r="DP14" s="347"/>
      <c r="DQ14" s="347"/>
      <c r="DR14" s="347"/>
      <c r="DS14" s="347"/>
      <c r="DT14" s="347"/>
      <c r="DU14" s="347"/>
      <c r="DV14" s="347"/>
      <c r="DW14" s="347"/>
      <c r="DX14" s="347"/>
      <c r="DY14" s="347"/>
      <c r="DZ14" s="347"/>
      <c r="EA14" s="347"/>
      <c r="EB14" s="347"/>
      <c r="EC14" s="347"/>
      <c r="ED14" s="347"/>
      <c r="EE14" s="347"/>
      <c r="EF14" s="347"/>
      <c r="EG14" s="347"/>
      <c r="EH14" s="347"/>
      <c r="EI14" s="347"/>
      <c r="EJ14" s="347"/>
      <c r="EK14" s="347"/>
      <c r="EL14" s="347"/>
      <c r="EM14" s="347"/>
      <c r="EN14" s="347"/>
      <c r="EO14" s="347"/>
      <c r="EP14" s="347"/>
      <c r="EQ14" s="347"/>
      <c r="ER14" s="347"/>
      <c r="ES14" s="347"/>
      <c r="ET14" s="347"/>
      <c r="EU14" s="347"/>
      <c r="EV14" s="347"/>
      <c r="EW14" s="347"/>
      <c r="EX14" s="347"/>
      <c r="EY14" s="347"/>
      <c r="EZ14" s="347"/>
      <c r="FA14" s="347"/>
      <c r="FB14" s="347"/>
      <c r="FC14" s="347"/>
      <c r="FD14" s="347"/>
      <c r="FE14" s="347"/>
      <c r="FF14" s="347"/>
      <c r="FG14" s="347"/>
      <c r="FH14" s="347"/>
      <c r="FI14" s="347"/>
      <c r="FJ14" s="347"/>
      <c r="FK14" s="347"/>
      <c r="FL14" s="347"/>
      <c r="FM14" s="347"/>
      <c r="FN14" s="347"/>
      <c r="FO14" s="347"/>
      <c r="FP14" s="347"/>
      <c r="FQ14" s="347"/>
      <c r="FR14" s="347"/>
      <c r="FS14" s="347"/>
      <c r="FT14" s="347"/>
      <c r="FU14" s="347"/>
      <c r="FV14" s="347"/>
    </row>
    <row r="15" spans="1:178">
      <c r="A15" s="1406"/>
      <c r="B15" s="876" t="s">
        <v>403</v>
      </c>
      <c r="C15" s="877" t="s">
        <v>402</v>
      </c>
      <c r="D15" s="877"/>
      <c r="E15" s="1398"/>
      <c r="F15" s="878" t="s">
        <v>1</v>
      </c>
      <c r="G15" s="874">
        <f>Feed!$J$5*1000/12</f>
        <v>89250</v>
      </c>
      <c r="H15" s="874">
        <f>Feed!$J$5*1000/12</f>
        <v>89250</v>
      </c>
      <c r="I15" s="874">
        <f>Feed!$J$5*1000/12</f>
        <v>89250</v>
      </c>
      <c r="J15" s="874">
        <f>Feed!$J$5*1000/12</f>
        <v>89250</v>
      </c>
      <c r="K15" s="874">
        <f>Feed!$J$5*1000/12</f>
        <v>89250</v>
      </c>
      <c r="L15" s="874">
        <f>Feed!$J$5*1000/12</f>
        <v>89250</v>
      </c>
      <c r="M15" s="874">
        <f>Feed!$J$5*1000/12</f>
        <v>89250</v>
      </c>
      <c r="N15" s="874">
        <f>Feed!$J$5*1000/12</f>
        <v>89250</v>
      </c>
      <c r="O15" s="874">
        <f>Feed!$J$5*1000/12</f>
        <v>89250</v>
      </c>
      <c r="P15" s="874">
        <f>Feed!$J$5*1000/12</f>
        <v>89250</v>
      </c>
      <c r="Q15" s="874">
        <f>Feed!$J$5*1000/12</f>
        <v>89250</v>
      </c>
      <c r="R15" s="874">
        <f>Feed!$J$5*1000/12</f>
        <v>89250</v>
      </c>
      <c r="S15" s="874">
        <f>Feed!$J$5*1000/12</f>
        <v>89250</v>
      </c>
      <c r="T15" s="874">
        <f>Feed!$J$5*1000/12</f>
        <v>89250</v>
      </c>
      <c r="U15" s="874">
        <f>Feed!$J$5*1000/12</f>
        <v>89250</v>
      </c>
      <c r="V15" s="874">
        <f>Feed!$J$5*1000/12</f>
        <v>89250</v>
      </c>
      <c r="W15" s="874">
        <f>Feed!$J$5*1000/12</f>
        <v>89250</v>
      </c>
      <c r="X15" s="874">
        <f>Feed!$J$5*1000/12</f>
        <v>89250</v>
      </c>
      <c r="Y15" s="874">
        <f>Feed!$J$5*1000/12</f>
        <v>89250</v>
      </c>
      <c r="Z15" s="874">
        <f>Feed!$J$5*1000/12</f>
        <v>89250</v>
      </c>
      <c r="AA15" s="874">
        <f>Feed!$J$5*1000/12</f>
        <v>89250</v>
      </c>
      <c r="AB15" s="874">
        <f>Feed!$J$5*1000/12</f>
        <v>89250</v>
      </c>
      <c r="AC15" s="874">
        <f>Feed!$J$5*1000/12</f>
        <v>89250</v>
      </c>
      <c r="AD15" s="874">
        <f>Feed!$J$5*1000/12</f>
        <v>89250</v>
      </c>
      <c r="AE15" s="874">
        <f>Feed!$J$5*1000/12</f>
        <v>89250</v>
      </c>
      <c r="AF15" s="874">
        <f>Feed!$J$5*1000/12</f>
        <v>89250</v>
      </c>
      <c r="AG15" s="874">
        <f>Feed!$J$5*1000/12</f>
        <v>89250</v>
      </c>
      <c r="AH15" s="874">
        <f>Feed!$J$5*1000/12</f>
        <v>89250</v>
      </c>
      <c r="AI15" s="874">
        <f>Feed!$J$5*1000/12</f>
        <v>89250</v>
      </c>
      <c r="AJ15" s="874">
        <f>Feed!$J$5*1000/12</f>
        <v>89250</v>
      </c>
      <c r="AK15" s="874">
        <f>Feed!$J$5*1000/12</f>
        <v>89250</v>
      </c>
      <c r="AL15" s="874">
        <f>Feed!$J$5*1000/12</f>
        <v>89250</v>
      </c>
      <c r="AM15" s="874">
        <f>Feed!$J$5*1000/12</f>
        <v>89250</v>
      </c>
      <c r="AN15" s="874">
        <f>Feed!$J$5*1000/12</f>
        <v>89250</v>
      </c>
      <c r="AO15" s="874">
        <f>Feed!$J$5*1000/12</f>
        <v>89250</v>
      </c>
      <c r="AP15" s="874">
        <f>Feed!$J$5*1000/12</f>
        <v>89250</v>
      </c>
      <c r="AQ15" s="874">
        <f>Feed!$J$5*1000/12</f>
        <v>89250</v>
      </c>
      <c r="AR15" s="874">
        <f>Feed!$J$5*1000/12</f>
        <v>89250</v>
      </c>
      <c r="AS15" s="874">
        <f>Feed!$J$5*1000/12</f>
        <v>89250</v>
      </c>
      <c r="AT15" s="874">
        <f>Feed!$J$5*1000/12</f>
        <v>89250</v>
      </c>
      <c r="AU15" s="874">
        <f>Feed!$J$5*1000/12</f>
        <v>89250</v>
      </c>
      <c r="AV15" s="874">
        <f>Feed!$J$5*1000/12</f>
        <v>89250</v>
      </c>
      <c r="AW15" s="874">
        <f>Feed!$J$5*1000/12</f>
        <v>89250</v>
      </c>
      <c r="AX15" s="874">
        <f>Feed!$J$5*1000/12</f>
        <v>89250</v>
      </c>
      <c r="AY15" s="874">
        <f>Feed!$J$5*1000/12</f>
        <v>89250</v>
      </c>
      <c r="AZ15" s="874">
        <f>Feed!$J$5*1000/12</f>
        <v>89250</v>
      </c>
      <c r="BA15" s="874">
        <f>Feed!$J$5*1000/12</f>
        <v>89250</v>
      </c>
      <c r="BB15" s="874">
        <f>Feed!$J$5*1000/12</f>
        <v>89250</v>
      </c>
      <c r="BC15" s="874">
        <f>Feed!$J$5*1000/12</f>
        <v>89250</v>
      </c>
      <c r="BD15" s="874">
        <f>Feed!$J$5*1000/12</f>
        <v>89250</v>
      </c>
      <c r="BE15" s="874">
        <f>Feed!$J$5*1000/12</f>
        <v>89250</v>
      </c>
      <c r="BF15" s="874">
        <f>Feed!$J$5*1000/12</f>
        <v>89250</v>
      </c>
      <c r="BG15" s="874">
        <f>Feed!$J$5*1000/12</f>
        <v>89250</v>
      </c>
      <c r="BH15" s="874">
        <f>Feed!$J$5*1000/12</f>
        <v>89250</v>
      </c>
      <c r="BI15" s="874">
        <f>Feed!$J$5*1000/12</f>
        <v>89250</v>
      </c>
      <c r="BJ15" s="874">
        <f>Feed!$J$5*1000/12</f>
        <v>89250</v>
      </c>
      <c r="BK15" s="874">
        <f>Feed!$J$5*1000/12</f>
        <v>89250</v>
      </c>
      <c r="BL15" s="874">
        <f>Feed!$J$5*1000/12</f>
        <v>89250</v>
      </c>
      <c r="BM15" s="874">
        <f>Feed!$J$5*1000/12</f>
        <v>89250</v>
      </c>
      <c r="BN15" s="874">
        <f>Feed!$J$5*1000/12</f>
        <v>89250</v>
      </c>
      <c r="BO15" s="874">
        <f>Feed!$J$5*1000/12</f>
        <v>89250</v>
      </c>
      <c r="BP15" s="874">
        <f>Feed!$J$5*1000/12</f>
        <v>89250</v>
      </c>
      <c r="BQ15" s="874">
        <f>Feed!$J$5*1000/12</f>
        <v>89250</v>
      </c>
      <c r="BR15" s="874">
        <f>Feed!$J$5*1000/12</f>
        <v>89250</v>
      </c>
      <c r="BS15" s="874">
        <f>Feed!$J$5*1000/12</f>
        <v>89250</v>
      </c>
      <c r="BT15" s="874">
        <f>Feed!$J$5*1000/12</f>
        <v>89250</v>
      </c>
      <c r="BU15" s="874">
        <f>Feed!$J$5*1000/12</f>
        <v>89250</v>
      </c>
      <c r="BV15" s="874">
        <f>Feed!$J$5*1000/12</f>
        <v>89250</v>
      </c>
      <c r="BW15" s="874">
        <f>Feed!$J$5*1000/12</f>
        <v>89250</v>
      </c>
      <c r="BX15" s="874">
        <f>Feed!$J$5*1000/12</f>
        <v>89250</v>
      </c>
      <c r="BY15" s="874">
        <f>Feed!$J$5*1000/12</f>
        <v>89250</v>
      </c>
      <c r="BZ15" s="874">
        <f>Feed!$J$5*1000/12</f>
        <v>89250</v>
      </c>
      <c r="CA15" s="874">
        <f>Feed!$J$5*1000/12</f>
        <v>89250</v>
      </c>
      <c r="CB15" s="874">
        <f>Feed!$J$5*1000/12</f>
        <v>89250</v>
      </c>
      <c r="CC15" s="874">
        <f>Feed!$J$5*1000/12</f>
        <v>89250</v>
      </c>
      <c r="CD15" s="874">
        <f>Feed!$J$5*1000/12</f>
        <v>89250</v>
      </c>
      <c r="CE15" s="874">
        <f>Feed!$J$5*1000/12</f>
        <v>89250</v>
      </c>
      <c r="CF15" s="874">
        <f>Feed!$J$5*1000/12</f>
        <v>89250</v>
      </c>
      <c r="CG15" s="874">
        <f>Feed!$J$5*1000/12</f>
        <v>89250</v>
      </c>
      <c r="CH15" s="874">
        <f>Feed!$J$5*1000/12</f>
        <v>89250</v>
      </c>
      <c r="CI15" s="874">
        <f>Feed!$J$5*1000/12</f>
        <v>89250</v>
      </c>
      <c r="CJ15" s="874">
        <f>Feed!$J$5*1000/12</f>
        <v>89250</v>
      </c>
      <c r="CK15" s="874">
        <f>Feed!$J$5*1000/12</f>
        <v>89250</v>
      </c>
      <c r="CL15" s="874">
        <f>Feed!$J$5*1000/12</f>
        <v>89250</v>
      </c>
      <c r="CM15" s="875">
        <f t="shared" si="0"/>
        <v>89250</v>
      </c>
      <c r="CN15" s="347"/>
      <c r="CO15" s="347"/>
      <c r="CP15" s="347"/>
      <c r="CQ15" s="347"/>
      <c r="CR15" s="347"/>
      <c r="CS15" s="347"/>
      <c r="CT15" s="347"/>
      <c r="CU15" s="347"/>
      <c r="CV15" s="347"/>
      <c r="CW15" s="347"/>
      <c r="CX15" s="347"/>
      <c r="CY15" s="347"/>
      <c r="CZ15" s="347"/>
      <c r="DA15" s="347"/>
      <c r="DB15" s="347"/>
      <c r="DC15" s="347"/>
      <c r="DD15" s="347"/>
      <c r="DE15" s="347"/>
      <c r="DF15" s="347"/>
      <c r="DG15" s="347"/>
      <c r="DH15" s="347"/>
      <c r="DI15" s="347"/>
      <c r="DJ15" s="347"/>
      <c r="DK15" s="347"/>
      <c r="DL15" s="347"/>
      <c r="DM15" s="347"/>
      <c r="DN15" s="347"/>
      <c r="DO15" s="347"/>
      <c r="DP15" s="347"/>
      <c r="DQ15" s="347"/>
      <c r="DR15" s="347"/>
      <c r="DS15" s="347"/>
      <c r="DT15" s="347"/>
      <c r="DU15" s="347"/>
      <c r="DV15" s="347"/>
      <c r="DW15" s="347"/>
      <c r="DX15" s="347"/>
      <c r="DY15" s="347"/>
      <c r="DZ15" s="347"/>
      <c r="EA15" s="347"/>
      <c r="EB15" s="347"/>
      <c r="EC15" s="347"/>
      <c r="ED15" s="347"/>
      <c r="EE15" s="347"/>
      <c r="EF15" s="347"/>
      <c r="EG15" s="347"/>
      <c r="EH15" s="347"/>
      <c r="EI15" s="347"/>
      <c r="EJ15" s="347"/>
      <c r="EK15" s="347"/>
      <c r="EL15" s="347"/>
      <c r="EM15" s="347"/>
      <c r="EN15" s="347"/>
      <c r="EO15" s="347"/>
      <c r="EP15" s="347"/>
      <c r="EQ15" s="347"/>
      <c r="ER15" s="347"/>
      <c r="ES15" s="347"/>
      <c r="ET15" s="347"/>
      <c r="EU15" s="347"/>
      <c r="EV15" s="347"/>
      <c r="EW15" s="347"/>
      <c r="EX15" s="347"/>
      <c r="EY15" s="347"/>
      <c r="EZ15" s="347"/>
      <c r="FA15" s="347"/>
      <c r="FB15" s="347"/>
      <c r="FC15" s="347"/>
      <c r="FD15" s="347"/>
      <c r="FE15" s="347"/>
      <c r="FF15" s="347"/>
      <c r="FG15" s="347"/>
      <c r="FH15" s="347"/>
      <c r="FI15" s="347"/>
      <c r="FJ15" s="347"/>
      <c r="FK15" s="347"/>
      <c r="FL15" s="347"/>
      <c r="FM15" s="347"/>
      <c r="FN15" s="347"/>
      <c r="FO15" s="347"/>
      <c r="FP15" s="347"/>
      <c r="FQ15" s="347"/>
      <c r="FR15" s="347"/>
      <c r="FS15" s="347"/>
      <c r="FT15" s="347"/>
      <c r="FU15" s="347"/>
      <c r="FV15" s="347"/>
    </row>
    <row r="16" spans="1:178">
      <c r="A16" s="1408" t="s">
        <v>448</v>
      </c>
      <c r="B16" s="313" t="s">
        <v>403</v>
      </c>
      <c r="C16" s="583" t="s">
        <v>402</v>
      </c>
      <c r="D16" s="583"/>
      <c r="E16" s="1411" t="s">
        <v>449</v>
      </c>
      <c r="F16" s="879" t="s">
        <v>165</v>
      </c>
      <c r="G16" s="880">
        <f>(Feed!$K$11/12)*1000</f>
        <v>114420.66666666666</v>
      </c>
      <c r="H16" s="880">
        <f>(Feed!$K$11/12)*1000</f>
        <v>114420.66666666666</v>
      </c>
      <c r="I16" s="880">
        <f>(Feed!$K$11/12)*1000</f>
        <v>114420.66666666666</v>
      </c>
      <c r="J16" s="880">
        <f>(Feed!$K$11/12)*1000</f>
        <v>114420.66666666666</v>
      </c>
      <c r="K16" s="880">
        <f>(Feed!$K$11/12)*1000</f>
        <v>114420.66666666666</v>
      </c>
      <c r="L16" s="880">
        <f>(Feed!$K$11/12)*1000</f>
        <v>114420.66666666666</v>
      </c>
      <c r="M16" s="880">
        <f>(Feed!$K$11/12)*1000</f>
        <v>114420.66666666666</v>
      </c>
      <c r="N16" s="880">
        <f>(Feed!$K$11/12)*1000</f>
        <v>114420.66666666666</v>
      </c>
      <c r="O16" s="880">
        <f>(Feed!$K$11/12)*1000</f>
        <v>114420.66666666666</v>
      </c>
      <c r="P16" s="880">
        <f>(Feed!$K$11/12)*1000</f>
        <v>114420.66666666666</v>
      </c>
      <c r="Q16" s="880">
        <f>(Feed!$K$11/12)*1000</f>
        <v>114420.66666666666</v>
      </c>
      <c r="R16" s="880">
        <f>(Feed!$K$11/12)*1000</f>
        <v>114420.66666666666</v>
      </c>
      <c r="S16" s="880">
        <f>(Feed!$K$11/12)*1000</f>
        <v>114420.66666666666</v>
      </c>
      <c r="T16" s="880">
        <f>(Feed!$K$11/12)*1000</f>
        <v>114420.66666666666</v>
      </c>
      <c r="U16" s="880">
        <f>(Feed!$K$11/12)*1000</f>
        <v>114420.66666666666</v>
      </c>
      <c r="V16" s="880">
        <f>(Feed!$K$11/12)*1000</f>
        <v>114420.66666666666</v>
      </c>
      <c r="W16" s="880">
        <f>(Feed!$K$11/12)*1000</f>
        <v>114420.66666666666</v>
      </c>
      <c r="X16" s="880">
        <f>(Feed!$K$11/12)*1000</f>
        <v>114420.66666666666</v>
      </c>
      <c r="Y16" s="880">
        <f>(Feed!$K$11/12)*1000</f>
        <v>114420.66666666666</v>
      </c>
      <c r="Z16" s="880">
        <f>(Feed!$K$11/12)*1000</f>
        <v>114420.66666666666</v>
      </c>
      <c r="AA16" s="880">
        <f>(Feed!$K$11/12)*1000</f>
        <v>114420.66666666666</v>
      </c>
      <c r="AB16" s="880">
        <f>(Feed!$K$11/12)*1000</f>
        <v>114420.66666666666</v>
      </c>
      <c r="AC16" s="880">
        <f>(Feed!$K$11/12)*1000</f>
        <v>114420.66666666666</v>
      </c>
      <c r="AD16" s="880">
        <f>(Feed!$K$11/12)*1000</f>
        <v>114420.66666666666</v>
      </c>
      <c r="AE16" s="880">
        <f>(Feed!$K$11/12)*1000</f>
        <v>114420.66666666666</v>
      </c>
      <c r="AF16" s="880">
        <f>(Feed!$K$11/12)*1000</f>
        <v>114420.66666666666</v>
      </c>
      <c r="AG16" s="880">
        <f>(Feed!$K$11/12)*1000</f>
        <v>114420.66666666666</v>
      </c>
      <c r="AH16" s="880">
        <f>(Feed!$K$11/12)*1000</f>
        <v>114420.66666666666</v>
      </c>
      <c r="AI16" s="880">
        <f>(Feed!$K$11/12)*1000</f>
        <v>114420.66666666666</v>
      </c>
      <c r="AJ16" s="880">
        <f>(Feed!$K$11/12)*1000</f>
        <v>114420.66666666666</v>
      </c>
      <c r="AK16" s="880">
        <f>(Feed!$K$11/12)*1000</f>
        <v>114420.66666666666</v>
      </c>
      <c r="AL16" s="880">
        <f>(Feed!$K$11/12)*1000</f>
        <v>114420.66666666666</v>
      </c>
      <c r="AM16" s="880">
        <f>(Feed!$K$11/12)*1000</f>
        <v>114420.66666666666</v>
      </c>
      <c r="AN16" s="880">
        <f>(Feed!$K$11/12)*1000</f>
        <v>114420.66666666666</v>
      </c>
      <c r="AO16" s="880">
        <f>(Feed!$K$11/12)*1000</f>
        <v>114420.66666666666</v>
      </c>
      <c r="AP16" s="880">
        <f>(Feed!$K$11/12)*1000</f>
        <v>114420.66666666666</v>
      </c>
      <c r="AQ16" s="880">
        <f>(Feed!$K$11/12)*1000</f>
        <v>114420.66666666666</v>
      </c>
      <c r="AR16" s="880">
        <f>(Feed!$K$11/12)*1000</f>
        <v>114420.66666666666</v>
      </c>
      <c r="AS16" s="880">
        <f>(Feed!$K$11/12)*1000</f>
        <v>114420.66666666666</v>
      </c>
      <c r="AT16" s="880">
        <f>(Feed!$K$11/12)*1000</f>
        <v>114420.66666666666</v>
      </c>
      <c r="AU16" s="880">
        <f>(Feed!$K$11/12)*1000</f>
        <v>114420.66666666666</v>
      </c>
      <c r="AV16" s="880">
        <f>(Feed!$K$11/12)*1000</f>
        <v>114420.66666666666</v>
      </c>
      <c r="AW16" s="880">
        <f>(Feed!$K$11/12)*1000</f>
        <v>114420.66666666666</v>
      </c>
      <c r="AX16" s="880">
        <f>(Feed!$K$11/12)*1000</f>
        <v>114420.66666666666</v>
      </c>
      <c r="AY16" s="880">
        <f>(Feed!$K$11/12)*1000</f>
        <v>114420.66666666666</v>
      </c>
      <c r="AZ16" s="880">
        <f>(Feed!$K$11/12)*1000</f>
        <v>114420.66666666666</v>
      </c>
      <c r="BA16" s="880">
        <f>(Feed!$K$11/12)*1000</f>
        <v>114420.66666666666</v>
      </c>
      <c r="BB16" s="880">
        <f>(Feed!$K$11/12)*1000</f>
        <v>114420.66666666666</v>
      </c>
      <c r="BC16" s="880">
        <f>(Feed!$K$11/12)*1000</f>
        <v>114420.66666666666</v>
      </c>
      <c r="BD16" s="880">
        <f>(Feed!$K$11/12)*1000</f>
        <v>114420.66666666666</v>
      </c>
      <c r="BE16" s="880">
        <f>(Feed!$K$11/12)*1000</f>
        <v>114420.66666666666</v>
      </c>
      <c r="BF16" s="880">
        <f>(Feed!$K$11/12)*1000</f>
        <v>114420.66666666666</v>
      </c>
      <c r="BG16" s="880">
        <f>(Feed!$K$11/12)*1000</f>
        <v>114420.66666666666</v>
      </c>
      <c r="BH16" s="880">
        <f>(Feed!$K$11/12)*1000</f>
        <v>114420.66666666666</v>
      </c>
      <c r="BI16" s="880">
        <f>(Feed!$K$11/12)*1000</f>
        <v>114420.66666666666</v>
      </c>
      <c r="BJ16" s="880">
        <f>(Feed!$K$11/12)*1000</f>
        <v>114420.66666666666</v>
      </c>
      <c r="BK16" s="880">
        <f>(Feed!$K$11/12)*1000</f>
        <v>114420.66666666666</v>
      </c>
      <c r="BL16" s="880">
        <f>(Feed!$K$11/12)*1000</f>
        <v>114420.66666666666</v>
      </c>
      <c r="BM16" s="880">
        <f>(Feed!$K$11/12)*1000</f>
        <v>114420.66666666666</v>
      </c>
      <c r="BN16" s="880">
        <f>(Feed!$K$11/12)*1000</f>
        <v>114420.66666666666</v>
      </c>
      <c r="BO16" s="880">
        <f>(Feed!$K$11/12)*1000</f>
        <v>114420.66666666666</v>
      </c>
      <c r="BP16" s="880">
        <f>(Feed!$K$11/12)*1000</f>
        <v>114420.66666666666</v>
      </c>
      <c r="BQ16" s="880">
        <f>(Feed!$K$11/12)*1000</f>
        <v>114420.66666666666</v>
      </c>
      <c r="BR16" s="880">
        <f>(Feed!$K$11/12)*1000</f>
        <v>114420.66666666666</v>
      </c>
      <c r="BS16" s="880">
        <f>(Feed!$K$11/12)*1000</f>
        <v>114420.66666666666</v>
      </c>
      <c r="BT16" s="880">
        <f>(Feed!$K$11/12)*1000</f>
        <v>114420.66666666666</v>
      </c>
      <c r="BU16" s="880">
        <f>(Feed!$K$11/12)*1000</f>
        <v>114420.66666666666</v>
      </c>
      <c r="BV16" s="880">
        <f>(Feed!$K$11/12)*1000</f>
        <v>114420.66666666666</v>
      </c>
      <c r="BW16" s="880">
        <f>(Feed!$K$11/12)*1000</f>
        <v>114420.66666666666</v>
      </c>
      <c r="BX16" s="880">
        <f>(Feed!$K$11/12)*1000</f>
        <v>114420.66666666666</v>
      </c>
      <c r="BY16" s="880">
        <f>(Feed!$K$11/12)*1000</f>
        <v>114420.66666666666</v>
      </c>
      <c r="BZ16" s="880">
        <f>(Feed!$K$11/12)*1000</f>
        <v>114420.66666666666</v>
      </c>
      <c r="CA16" s="880">
        <f>(Feed!$K$11/12)*1000</f>
        <v>114420.66666666666</v>
      </c>
      <c r="CB16" s="880">
        <f>(Feed!$K$11/12)*1000</f>
        <v>114420.66666666666</v>
      </c>
      <c r="CC16" s="880">
        <f>(Feed!$K$11/12)*1000</f>
        <v>114420.66666666666</v>
      </c>
      <c r="CD16" s="880">
        <f>(Feed!$K$11/12)*1000</f>
        <v>114420.66666666666</v>
      </c>
      <c r="CE16" s="880">
        <f>(Feed!$K$11/12)*1000</f>
        <v>114420.66666666666</v>
      </c>
      <c r="CF16" s="880">
        <f>(Feed!$K$11/12)*1000</f>
        <v>114420.66666666666</v>
      </c>
      <c r="CG16" s="880">
        <f>(Feed!$K$11/12)*1000</f>
        <v>114420.66666666666</v>
      </c>
      <c r="CH16" s="880">
        <f>(Feed!$K$11/12)*1000</f>
        <v>114420.66666666666</v>
      </c>
      <c r="CI16" s="880">
        <f>(Feed!$K$11/12)*1000</f>
        <v>114420.66666666666</v>
      </c>
      <c r="CJ16" s="880">
        <f>(Feed!$K$11/12)*1000</f>
        <v>114420.66666666666</v>
      </c>
      <c r="CK16" s="880">
        <f>(Feed!$K$11/12)*1000</f>
        <v>114420.66666666666</v>
      </c>
      <c r="CL16" s="880">
        <f>(Feed!$K$11/12)*1000</f>
        <v>114420.66666666666</v>
      </c>
      <c r="CM16" s="880">
        <f t="shared" si="0"/>
        <v>114420.66666666669</v>
      </c>
      <c r="CN16" s="347"/>
      <c r="CO16" s="347"/>
      <c r="CP16" s="347"/>
      <c r="CQ16" s="347"/>
      <c r="CR16" s="347"/>
      <c r="CS16" s="347"/>
      <c r="CT16" s="347"/>
      <c r="CU16" s="347"/>
      <c r="CV16" s="347"/>
      <c r="CW16" s="347"/>
      <c r="CX16" s="347"/>
      <c r="CY16" s="347"/>
      <c r="CZ16" s="347"/>
      <c r="DA16" s="347"/>
      <c r="DB16" s="347"/>
      <c r="DC16" s="347"/>
      <c r="DD16" s="347"/>
      <c r="DE16" s="347"/>
      <c r="DF16" s="347"/>
      <c r="DG16" s="347"/>
      <c r="DH16" s="347"/>
      <c r="DI16" s="347"/>
      <c r="DJ16" s="347"/>
      <c r="DK16" s="347"/>
      <c r="DL16" s="347"/>
      <c r="DM16" s="347"/>
      <c r="DN16" s="347"/>
      <c r="DO16" s="347"/>
      <c r="DP16" s="347"/>
      <c r="DQ16" s="347"/>
      <c r="DR16" s="347"/>
      <c r="DS16" s="347"/>
      <c r="DT16" s="347"/>
      <c r="DU16" s="347"/>
      <c r="DV16" s="347"/>
      <c r="DW16" s="347"/>
      <c r="DX16" s="347"/>
      <c r="DY16" s="347"/>
      <c r="DZ16" s="347"/>
      <c r="EA16" s="347"/>
      <c r="EB16" s="347"/>
      <c r="EC16" s="347"/>
      <c r="ED16" s="347"/>
      <c r="EE16" s="347"/>
      <c r="EF16" s="347"/>
      <c r="EG16" s="347"/>
      <c r="EH16" s="347"/>
      <c r="EI16" s="347"/>
      <c r="EJ16" s="347"/>
      <c r="EK16" s="347"/>
      <c r="EL16" s="347"/>
      <c r="EM16" s="347"/>
      <c r="EN16" s="347"/>
      <c r="EO16" s="347"/>
      <c r="EP16" s="347"/>
      <c r="EQ16" s="347"/>
      <c r="ER16" s="347"/>
      <c r="ES16" s="347"/>
      <c r="ET16" s="347"/>
      <c r="EU16" s="347"/>
      <c r="EV16" s="347"/>
      <c r="EW16" s="347"/>
      <c r="EX16" s="347"/>
      <c r="EY16" s="347"/>
      <c r="EZ16" s="347"/>
      <c r="FA16" s="347"/>
      <c r="FB16" s="347"/>
      <c r="FC16" s="347"/>
      <c r="FD16" s="347"/>
      <c r="FE16" s="347"/>
      <c r="FF16" s="347"/>
      <c r="FG16" s="347"/>
      <c r="FH16" s="347"/>
      <c r="FI16" s="347"/>
      <c r="FJ16" s="347"/>
      <c r="FK16" s="347"/>
      <c r="FL16" s="347"/>
      <c r="FM16" s="347"/>
      <c r="FN16" s="347"/>
      <c r="FO16" s="347"/>
      <c r="FP16" s="347"/>
      <c r="FQ16" s="347"/>
      <c r="FR16" s="347"/>
      <c r="FS16" s="347"/>
      <c r="FT16" s="347"/>
      <c r="FU16" s="347"/>
      <c r="FV16" s="347"/>
    </row>
    <row r="17" spans="1:178">
      <c r="A17" s="1409"/>
      <c r="B17" s="1154" t="s">
        <v>403</v>
      </c>
      <c r="C17" s="581" t="s">
        <v>402</v>
      </c>
      <c r="D17" s="581"/>
      <c r="E17" s="1412"/>
      <c r="F17" s="881" t="s">
        <v>2</v>
      </c>
      <c r="G17" s="882">
        <f>(Feed!$K$12/12)*1000</f>
        <v>28512</v>
      </c>
      <c r="H17" s="882">
        <f>(Feed!$K$12/12)*1000</f>
        <v>28512</v>
      </c>
      <c r="I17" s="882">
        <f>(Feed!$K$12/12)*1000</f>
        <v>28512</v>
      </c>
      <c r="J17" s="882">
        <f>(Feed!$K$12/12)*1000</f>
        <v>28512</v>
      </c>
      <c r="K17" s="882">
        <f>(Feed!$K$12/12)*1000</f>
        <v>28512</v>
      </c>
      <c r="L17" s="882">
        <f>(Feed!$K$12/12)*1000</f>
        <v>28512</v>
      </c>
      <c r="M17" s="882">
        <f>(Feed!$K$12/12)*1000</f>
        <v>28512</v>
      </c>
      <c r="N17" s="882">
        <f>(Feed!$K$12/12)*1000</f>
        <v>28512</v>
      </c>
      <c r="O17" s="882">
        <f>(Feed!$K$12/12)*1000</f>
        <v>28512</v>
      </c>
      <c r="P17" s="882">
        <f>(Feed!$K$12/12)*1000</f>
        <v>28512</v>
      </c>
      <c r="Q17" s="882">
        <f>(Feed!$K$12/12)*1000</f>
        <v>28512</v>
      </c>
      <c r="R17" s="882">
        <f>(Feed!$K$12/12)*1000</f>
        <v>28512</v>
      </c>
      <c r="S17" s="882">
        <f>(Feed!$K$12/12)*1000</f>
        <v>28512</v>
      </c>
      <c r="T17" s="882">
        <f>(Feed!$K$12/12)*1000</f>
        <v>28512</v>
      </c>
      <c r="U17" s="882">
        <f>(Feed!$K$12/12)*1000</f>
        <v>28512</v>
      </c>
      <c r="V17" s="882">
        <f>(Feed!$K$12/12)*1000</f>
        <v>28512</v>
      </c>
      <c r="W17" s="882">
        <f>(Feed!$K$12/12)*1000</f>
        <v>28512</v>
      </c>
      <c r="X17" s="882">
        <f>(Feed!$K$12/12)*1000</f>
        <v>28512</v>
      </c>
      <c r="Y17" s="882">
        <f>(Feed!$K$12/12)*1000</f>
        <v>28512</v>
      </c>
      <c r="Z17" s="882">
        <f>(Feed!$K$12/12)*1000</f>
        <v>28512</v>
      </c>
      <c r="AA17" s="882">
        <f>(Feed!$K$12/12)*1000</f>
        <v>28512</v>
      </c>
      <c r="AB17" s="882">
        <f>(Feed!$K$12/12)*1000</f>
        <v>28512</v>
      </c>
      <c r="AC17" s="882">
        <f>(Feed!$K$12/12)*1000</f>
        <v>28512</v>
      </c>
      <c r="AD17" s="882">
        <f>(Feed!$K$12/12)*1000</f>
        <v>28512</v>
      </c>
      <c r="AE17" s="882">
        <f>(Feed!$K$12/12)*1000</f>
        <v>28512</v>
      </c>
      <c r="AF17" s="882">
        <f>(Feed!$K$12/12)*1000</f>
        <v>28512</v>
      </c>
      <c r="AG17" s="882">
        <f>(Feed!$K$12/12)*1000</f>
        <v>28512</v>
      </c>
      <c r="AH17" s="882">
        <f>(Feed!$K$12/12)*1000</f>
        <v>28512</v>
      </c>
      <c r="AI17" s="882">
        <f>(Feed!$K$12/12)*1000</f>
        <v>28512</v>
      </c>
      <c r="AJ17" s="882">
        <f>(Feed!$K$12/12)*1000</f>
        <v>28512</v>
      </c>
      <c r="AK17" s="882">
        <f>(Feed!$K$12/12)*1000</f>
        <v>28512</v>
      </c>
      <c r="AL17" s="882">
        <f>(Feed!$K$12/12)*1000</f>
        <v>28512</v>
      </c>
      <c r="AM17" s="882">
        <f>(Feed!$K$12/12)*1000</f>
        <v>28512</v>
      </c>
      <c r="AN17" s="882">
        <f>(Feed!$K$12/12)*1000</f>
        <v>28512</v>
      </c>
      <c r="AO17" s="882">
        <f>(Feed!$K$12/12)*1000</f>
        <v>28512</v>
      </c>
      <c r="AP17" s="882">
        <f>(Feed!$K$12/12)*1000</f>
        <v>28512</v>
      </c>
      <c r="AQ17" s="882">
        <f>(Feed!$K$12/12)*1000</f>
        <v>28512</v>
      </c>
      <c r="AR17" s="882">
        <f>(Feed!$K$12/12)*1000</f>
        <v>28512</v>
      </c>
      <c r="AS17" s="882">
        <f>(Feed!$K$12/12)*1000</f>
        <v>28512</v>
      </c>
      <c r="AT17" s="882">
        <f>(Feed!$K$12/12)*1000</f>
        <v>28512</v>
      </c>
      <c r="AU17" s="882">
        <f>(Feed!$K$12/12)*1000</f>
        <v>28512</v>
      </c>
      <c r="AV17" s="882">
        <f>(Feed!$K$12/12)*1000</f>
        <v>28512</v>
      </c>
      <c r="AW17" s="882">
        <f>(Feed!$K$12/12)*1000</f>
        <v>28512</v>
      </c>
      <c r="AX17" s="882">
        <f>(Feed!$K$12/12)*1000</f>
        <v>28512</v>
      </c>
      <c r="AY17" s="882">
        <f>(Feed!$K$12/12)*1000</f>
        <v>28512</v>
      </c>
      <c r="AZ17" s="882">
        <f>(Feed!$K$12/12)*1000</f>
        <v>28512</v>
      </c>
      <c r="BA17" s="882">
        <f>(Feed!$K$12/12)*1000</f>
        <v>28512</v>
      </c>
      <c r="BB17" s="882">
        <f>(Feed!$K$12/12)*1000</f>
        <v>28512</v>
      </c>
      <c r="BC17" s="882">
        <f>(Feed!$K$12/12)*1000</f>
        <v>28512</v>
      </c>
      <c r="BD17" s="882">
        <f>(Feed!$K$12/12)*1000</f>
        <v>28512</v>
      </c>
      <c r="BE17" s="882">
        <f>(Feed!$K$12/12)*1000</f>
        <v>28512</v>
      </c>
      <c r="BF17" s="882">
        <f>(Feed!$K$12/12)*1000</f>
        <v>28512</v>
      </c>
      <c r="BG17" s="882">
        <f>(Feed!$K$12/12)*1000</f>
        <v>28512</v>
      </c>
      <c r="BH17" s="882">
        <f>(Feed!$K$12/12)*1000</f>
        <v>28512</v>
      </c>
      <c r="BI17" s="882">
        <f>(Feed!$K$12/12)*1000</f>
        <v>28512</v>
      </c>
      <c r="BJ17" s="882">
        <f>(Feed!$K$12/12)*1000</f>
        <v>28512</v>
      </c>
      <c r="BK17" s="882">
        <f>(Feed!$K$12/12)*1000</f>
        <v>28512</v>
      </c>
      <c r="BL17" s="882">
        <f>(Feed!$K$12/12)*1000</f>
        <v>28512</v>
      </c>
      <c r="BM17" s="882">
        <f>(Feed!$K$12/12)*1000</f>
        <v>28512</v>
      </c>
      <c r="BN17" s="882">
        <f>(Feed!$K$12/12)*1000</f>
        <v>28512</v>
      </c>
      <c r="BO17" s="882">
        <f>(Feed!$K$12/12)*1000</f>
        <v>28512</v>
      </c>
      <c r="BP17" s="882">
        <f>(Feed!$K$12/12)*1000</f>
        <v>28512</v>
      </c>
      <c r="BQ17" s="882">
        <f>(Feed!$K$12/12)*1000</f>
        <v>28512</v>
      </c>
      <c r="BR17" s="882">
        <f>(Feed!$K$12/12)*1000</f>
        <v>28512</v>
      </c>
      <c r="BS17" s="882">
        <f>(Feed!$K$12/12)*1000</f>
        <v>28512</v>
      </c>
      <c r="BT17" s="882">
        <f>(Feed!$K$12/12)*1000</f>
        <v>28512</v>
      </c>
      <c r="BU17" s="882">
        <f>(Feed!$K$12/12)*1000</f>
        <v>28512</v>
      </c>
      <c r="BV17" s="882">
        <f>(Feed!$K$12/12)*1000</f>
        <v>28512</v>
      </c>
      <c r="BW17" s="882">
        <f>(Feed!$K$12/12)*1000</f>
        <v>28512</v>
      </c>
      <c r="BX17" s="882">
        <f>(Feed!$K$12/12)*1000</f>
        <v>28512</v>
      </c>
      <c r="BY17" s="882">
        <f>(Feed!$K$12/12)*1000</f>
        <v>28512</v>
      </c>
      <c r="BZ17" s="882">
        <f>(Feed!$K$12/12)*1000</f>
        <v>28512</v>
      </c>
      <c r="CA17" s="882">
        <f>(Feed!$K$12/12)*1000</f>
        <v>28512</v>
      </c>
      <c r="CB17" s="882">
        <f>(Feed!$K$12/12)*1000</f>
        <v>28512</v>
      </c>
      <c r="CC17" s="882">
        <f>(Feed!$K$12/12)*1000</f>
        <v>28512</v>
      </c>
      <c r="CD17" s="882">
        <f>(Feed!$K$12/12)*1000</f>
        <v>28512</v>
      </c>
      <c r="CE17" s="882">
        <f>(Feed!$K$12/12)*1000</f>
        <v>28512</v>
      </c>
      <c r="CF17" s="882">
        <f>(Feed!$K$12/12)*1000</f>
        <v>28512</v>
      </c>
      <c r="CG17" s="882">
        <f>(Feed!$K$12/12)*1000</f>
        <v>28512</v>
      </c>
      <c r="CH17" s="882">
        <f>(Feed!$K$12/12)*1000</f>
        <v>28512</v>
      </c>
      <c r="CI17" s="882">
        <f>(Feed!$K$12/12)*1000</f>
        <v>28512</v>
      </c>
      <c r="CJ17" s="882">
        <f>(Feed!$K$12/12)*1000</f>
        <v>28512</v>
      </c>
      <c r="CK17" s="882">
        <f>(Feed!$K$12/12)*1000</f>
        <v>28512</v>
      </c>
      <c r="CL17" s="882">
        <f>(Feed!$K$12/12)*1000</f>
        <v>28512</v>
      </c>
      <c r="CM17" s="882">
        <f t="shared" si="0"/>
        <v>28512</v>
      </c>
      <c r="CN17" s="347"/>
      <c r="CO17" s="347"/>
      <c r="CP17" s="347"/>
      <c r="CQ17" s="347"/>
      <c r="CR17" s="347"/>
      <c r="CS17" s="347"/>
      <c r="CT17" s="347"/>
      <c r="CU17" s="347"/>
      <c r="CV17" s="347"/>
      <c r="CW17" s="347"/>
      <c r="CX17" s="347"/>
      <c r="CY17" s="347"/>
      <c r="CZ17" s="347"/>
      <c r="DA17" s="347"/>
      <c r="DB17" s="347"/>
      <c r="DC17" s="347"/>
      <c r="DD17" s="347"/>
      <c r="DE17" s="347"/>
      <c r="DF17" s="347"/>
      <c r="DG17" s="347"/>
      <c r="DH17" s="347"/>
      <c r="DI17" s="347"/>
      <c r="DJ17" s="347"/>
      <c r="DK17" s="347"/>
      <c r="DL17" s="347"/>
      <c r="DM17" s="347"/>
      <c r="DN17" s="347"/>
      <c r="DO17" s="347"/>
      <c r="DP17" s="347"/>
      <c r="DQ17" s="347"/>
      <c r="DR17" s="347"/>
      <c r="DS17" s="347"/>
      <c r="DT17" s="347"/>
      <c r="DU17" s="347"/>
      <c r="DV17" s="347"/>
      <c r="DW17" s="347"/>
      <c r="DX17" s="347"/>
      <c r="DY17" s="347"/>
      <c r="DZ17" s="347"/>
      <c r="EA17" s="347"/>
      <c r="EB17" s="347"/>
      <c r="EC17" s="347"/>
      <c r="ED17" s="347"/>
      <c r="EE17" s="347"/>
      <c r="EF17" s="347"/>
      <c r="EG17" s="347"/>
      <c r="EH17" s="347"/>
      <c r="EI17" s="347"/>
      <c r="EJ17" s="347"/>
      <c r="EK17" s="347"/>
      <c r="EL17" s="347"/>
      <c r="EM17" s="347"/>
      <c r="EN17" s="347"/>
      <c r="EO17" s="347"/>
      <c r="EP17" s="347"/>
      <c r="EQ17" s="347"/>
      <c r="ER17" s="347"/>
      <c r="ES17" s="347"/>
      <c r="ET17" s="347"/>
      <c r="EU17" s="347"/>
      <c r="EV17" s="347"/>
      <c r="EW17" s="347"/>
      <c r="EX17" s="347"/>
      <c r="EY17" s="347"/>
      <c r="EZ17" s="347"/>
      <c r="FA17" s="347"/>
      <c r="FB17" s="347"/>
      <c r="FC17" s="347"/>
      <c r="FD17" s="347"/>
      <c r="FE17" s="347"/>
      <c r="FF17" s="347"/>
      <c r="FG17" s="347"/>
      <c r="FH17" s="347"/>
      <c r="FI17" s="347"/>
      <c r="FJ17" s="347"/>
      <c r="FK17" s="347"/>
      <c r="FL17" s="347"/>
      <c r="FM17" s="347"/>
      <c r="FN17" s="347"/>
      <c r="FO17" s="347"/>
      <c r="FP17" s="347"/>
      <c r="FQ17" s="347"/>
      <c r="FR17" s="347"/>
      <c r="FS17" s="347"/>
      <c r="FT17" s="347"/>
      <c r="FU17" s="347"/>
      <c r="FV17" s="347"/>
    </row>
    <row r="18" spans="1:178">
      <c r="A18" s="1409"/>
      <c r="B18" s="1154" t="s">
        <v>403</v>
      </c>
      <c r="C18" s="581" t="s">
        <v>402</v>
      </c>
      <c r="D18" s="581"/>
      <c r="E18" s="1412"/>
      <c r="F18" s="881" t="str">
        <f>F7</f>
        <v xml:space="preserve">Benzene </v>
      </c>
      <c r="G18" s="1325">
        <f>Feed!$K$14*1000/12</f>
        <v>8204.7900000000027</v>
      </c>
      <c r="H18" s="882">
        <f>Feed!$K$14*1000/12</f>
        <v>8204.7900000000027</v>
      </c>
      <c r="I18" s="882">
        <f>Feed!$K$14*1000/12</f>
        <v>8204.7900000000027</v>
      </c>
      <c r="J18" s="882">
        <f>Feed!$K$14*1000/12</f>
        <v>8204.7900000000027</v>
      </c>
      <c r="K18" s="882">
        <f>Feed!$K$14*1000/12</f>
        <v>8204.7900000000027</v>
      </c>
      <c r="L18" s="882">
        <f>Feed!$K$14*1000/12</f>
        <v>8204.7900000000027</v>
      </c>
      <c r="M18" s="882">
        <f>Feed!$K$14*1000/12</f>
        <v>8204.7900000000027</v>
      </c>
      <c r="N18" s="882">
        <f>Feed!$K$14*1000/12</f>
        <v>8204.7900000000027</v>
      </c>
      <c r="O18" s="882">
        <f>Feed!$K$14*1000/12</f>
        <v>8204.7900000000027</v>
      </c>
      <c r="P18" s="882">
        <f>Feed!$K$14*1000/12</f>
        <v>8204.7900000000027</v>
      </c>
      <c r="Q18" s="882">
        <f>Feed!$K$14*1000/12</f>
        <v>8204.7900000000027</v>
      </c>
      <c r="R18" s="882">
        <f>Feed!$K$14*1000/12</f>
        <v>8204.7900000000027</v>
      </c>
      <c r="S18" s="882">
        <f>Feed!$K$14*1000/12</f>
        <v>8204.7900000000027</v>
      </c>
      <c r="T18" s="882">
        <f>Feed!$K$14*1000/12</f>
        <v>8204.7900000000027</v>
      </c>
      <c r="U18" s="882">
        <f>Feed!$K$14*1000/12</f>
        <v>8204.7900000000027</v>
      </c>
      <c r="V18" s="882">
        <f>Feed!$K$14*1000/12</f>
        <v>8204.7900000000027</v>
      </c>
      <c r="W18" s="882">
        <f>Feed!$K$14*1000/12</f>
        <v>8204.7900000000027</v>
      </c>
      <c r="X18" s="882">
        <f>Feed!$K$14*1000/12</f>
        <v>8204.7900000000027</v>
      </c>
      <c r="Y18" s="882">
        <f>Feed!$K$14*1000/12</f>
        <v>8204.7900000000027</v>
      </c>
      <c r="Z18" s="882">
        <f>Feed!$K$14*1000/12</f>
        <v>8204.7900000000027</v>
      </c>
      <c r="AA18" s="882">
        <f>Feed!$K$14*1000/12</f>
        <v>8204.7900000000027</v>
      </c>
      <c r="AB18" s="882">
        <f>Feed!$K$14*1000/12</f>
        <v>8204.7900000000027</v>
      </c>
      <c r="AC18" s="882">
        <f>Feed!$K$14*1000/12</f>
        <v>8204.7900000000027</v>
      </c>
      <c r="AD18" s="882">
        <f>Feed!$K$14*1000/12</f>
        <v>8204.7900000000027</v>
      </c>
      <c r="AE18" s="882">
        <f>Feed!$K$14*1000/12</f>
        <v>8204.7900000000027</v>
      </c>
      <c r="AF18" s="882">
        <f>Feed!$K$14*1000/12</f>
        <v>8204.7900000000027</v>
      </c>
      <c r="AG18" s="882">
        <f>Feed!$K$14*1000/12</f>
        <v>8204.7900000000027</v>
      </c>
      <c r="AH18" s="882">
        <f>Feed!$K$14*1000/12</f>
        <v>8204.7900000000027</v>
      </c>
      <c r="AI18" s="882">
        <f>Feed!$K$14*1000/12</f>
        <v>8204.7900000000027</v>
      </c>
      <c r="AJ18" s="882">
        <f>Feed!$K$14*1000/12</f>
        <v>8204.7900000000027</v>
      </c>
      <c r="AK18" s="882">
        <f>Feed!$K$14*1000/12</f>
        <v>8204.7900000000027</v>
      </c>
      <c r="AL18" s="882">
        <f>Feed!$K$14*1000/12</f>
        <v>8204.7900000000027</v>
      </c>
      <c r="AM18" s="882">
        <f>Feed!$K$14*1000/12</f>
        <v>8204.7900000000027</v>
      </c>
      <c r="AN18" s="882">
        <f>Feed!$K$14*1000/12</f>
        <v>8204.7900000000027</v>
      </c>
      <c r="AO18" s="882">
        <f>Feed!$K$14*1000/12</f>
        <v>8204.7900000000027</v>
      </c>
      <c r="AP18" s="882">
        <f>Feed!$K$14*1000/12</f>
        <v>8204.7900000000027</v>
      </c>
      <c r="AQ18" s="882">
        <f>Feed!$K$14*1000/12</f>
        <v>8204.7900000000027</v>
      </c>
      <c r="AR18" s="882">
        <f>Feed!$K$14*1000/12</f>
        <v>8204.7900000000027</v>
      </c>
      <c r="AS18" s="882">
        <f>Feed!$K$14*1000/12</f>
        <v>8204.7900000000027</v>
      </c>
      <c r="AT18" s="882">
        <f>Feed!$K$14*1000/12</f>
        <v>8204.7900000000027</v>
      </c>
      <c r="AU18" s="882">
        <f>Feed!$K$14*1000/12</f>
        <v>8204.7900000000027</v>
      </c>
      <c r="AV18" s="882">
        <f>Feed!$K$14*1000/12</f>
        <v>8204.7900000000027</v>
      </c>
      <c r="AW18" s="882">
        <f>Feed!$K$14*1000/12</f>
        <v>8204.7900000000027</v>
      </c>
      <c r="AX18" s="882">
        <f>Feed!$K$14*1000/12</f>
        <v>8204.7900000000027</v>
      </c>
      <c r="AY18" s="882">
        <f>Feed!$K$14*1000/12</f>
        <v>8204.7900000000027</v>
      </c>
      <c r="AZ18" s="882">
        <f>Feed!$K$14*1000/12</f>
        <v>8204.7900000000027</v>
      </c>
      <c r="BA18" s="882">
        <f>Feed!$K$14*1000/12</f>
        <v>8204.7900000000027</v>
      </c>
      <c r="BB18" s="882">
        <f>Feed!$K$14*1000/12</f>
        <v>8204.7900000000027</v>
      </c>
      <c r="BC18" s="882">
        <f>Feed!$K$14*1000/12</f>
        <v>8204.7900000000027</v>
      </c>
      <c r="BD18" s="882">
        <f>Feed!$K$14*1000/12</f>
        <v>8204.7900000000027</v>
      </c>
      <c r="BE18" s="882">
        <f>Feed!$K$14*1000/12</f>
        <v>8204.7900000000027</v>
      </c>
      <c r="BF18" s="882">
        <f>Feed!$K$14*1000/12</f>
        <v>8204.7900000000027</v>
      </c>
      <c r="BG18" s="882">
        <f>Feed!$K$14*1000/12</f>
        <v>8204.7900000000027</v>
      </c>
      <c r="BH18" s="882">
        <f>Feed!$K$14*1000/12</f>
        <v>8204.7900000000027</v>
      </c>
      <c r="BI18" s="882">
        <f>Feed!$K$14*1000/12</f>
        <v>8204.7900000000027</v>
      </c>
      <c r="BJ18" s="882">
        <f>Feed!$K$14*1000/12</f>
        <v>8204.7900000000027</v>
      </c>
      <c r="BK18" s="882">
        <f>Feed!$K$14*1000/12</f>
        <v>8204.7900000000027</v>
      </c>
      <c r="BL18" s="882">
        <f>Feed!$K$14*1000/12</f>
        <v>8204.7900000000027</v>
      </c>
      <c r="BM18" s="882">
        <f>Feed!$K$14*1000/12</f>
        <v>8204.7900000000027</v>
      </c>
      <c r="BN18" s="882">
        <f>Feed!$K$14*1000/12</f>
        <v>8204.7900000000027</v>
      </c>
      <c r="BO18" s="882">
        <f>Feed!$K$14*1000/12</f>
        <v>8204.7900000000027</v>
      </c>
      <c r="BP18" s="882">
        <f>Feed!$K$14*1000/12</f>
        <v>8204.7900000000027</v>
      </c>
      <c r="BQ18" s="882">
        <f>Feed!$K$14*1000/12</f>
        <v>8204.7900000000027</v>
      </c>
      <c r="BR18" s="882">
        <f>Feed!$K$14*1000/12</f>
        <v>8204.7900000000027</v>
      </c>
      <c r="BS18" s="882">
        <f>Feed!$K$14*1000/12</f>
        <v>8204.7900000000027</v>
      </c>
      <c r="BT18" s="882">
        <f>Feed!$K$14*1000/12</f>
        <v>8204.7900000000027</v>
      </c>
      <c r="BU18" s="882">
        <f>Feed!$K$14*1000/12</f>
        <v>8204.7900000000027</v>
      </c>
      <c r="BV18" s="882">
        <f>Feed!$K$14*1000/12</f>
        <v>8204.7900000000027</v>
      </c>
      <c r="BW18" s="882">
        <f>Feed!$K$14*1000/12</f>
        <v>8204.7900000000027</v>
      </c>
      <c r="BX18" s="882">
        <f>Feed!$K$14*1000/12</f>
        <v>8204.7900000000027</v>
      </c>
      <c r="BY18" s="882">
        <f>Feed!$K$14*1000/12</f>
        <v>8204.7900000000027</v>
      </c>
      <c r="BZ18" s="882">
        <f>Feed!$K$14*1000/12</f>
        <v>8204.7900000000027</v>
      </c>
      <c r="CA18" s="882">
        <f>Feed!$K$14*1000/12</f>
        <v>8204.7900000000027</v>
      </c>
      <c r="CB18" s="882">
        <f>Feed!$K$14*1000/12</f>
        <v>8204.7900000000027</v>
      </c>
      <c r="CC18" s="882">
        <f>Feed!$K$14*1000/12</f>
        <v>8204.7900000000027</v>
      </c>
      <c r="CD18" s="882">
        <f>Feed!$K$14*1000/12</f>
        <v>8204.7900000000027</v>
      </c>
      <c r="CE18" s="882">
        <f>Feed!$K$14*1000/12</f>
        <v>8204.7900000000027</v>
      </c>
      <c r="CF18" s="882">
        <f>Feed!$K$14*1000/12</f>
        <v>8204.7900000000027</v>
      </c>
      <c r="CG18" s="882">
        <f>Feed!$K$14*1000/12</f>
        <v>8204.7900000000027</v>
      </c>
      <c r="CH18" s="882">
        <f>Feed!$K$14*1000/12</f>
        <v>8204.7900000000027</v>
      </c>
      <c r="CI18" s="882">
        <f>Feed!$K$14*1000/12</f>
        <v>8204.7900000000027</v>
      </c>
      <c r="CJ18" s="882">
        <f>Feed!$K$14*1000/12</f>
        <v>8204.7900000000027</v>
      </c>
      <c r="CK18" s="882">
        <f>Feed!$K$14*1000/12</f>
        <v>8204.7900000000027</v>
      </c>
      <c r="CL18" s="882">
        <f>Feed!$K$14*1000/12</f>
        <v>8204.7900000000027</v>
      </c>
      <c r="CM18" s="882">
        <f t="shared" si="0"/>
        <v>8204.7900000000045</v>
      </c>
      <c r="CN18" s="347"/>
      <c r="CO18" s="347"/>
      <c r="CP18" s="347"/>
      <c r="CQ18" s="347"/>
      <c r="CR18" s="347"/>
      <c r="CS18" s="347"/>
      <c r="CT18" s="347"/>
      <c r="CU18" s="347"/>
      <c r="CV18" s="347"/>
      <c r="CW18" s="347"/>
      <c r="CX18" s="347"/>
      <c r="CY18" s="347"/>
      <c r="CZ18" s="347"/>
      <c r="DA18" s="347"/>
      <c r="DB18" s="347"/>
      <c r="DC18" s="347"/>
      <c r="DD18" s="347"/>
      <c r="DE18" s="347"/>
      <c r="DF18" s="347"/>
      <c r="DG18" s="347"/>
      <c r="DH18" s="347"/>
      <c r="DI18" s="347"/>
      <c r="DJ18" s="347"/>
      <c r="DK18" s="347"/>
      <c r="DL18" s="347"/>
      <c r="DM18" s="347"/>
      <c r="DN18" s="347"/>
      <c r="DO18" s="347"/>
      <c r="DP18" s="347"/>
      <c r="DQ18" s="347"/>
      <c r="DR18" s="347"/>
      <c r="DS18" s="347"/>
      <c r="DT18" s="347"/>
      <c r="DU18" s="347"/>
      <c r="DV18" s="347"/>
      <c r="DW18" s="347"/>
      <c r="DX18" s="347"/>
      <c r="DY18" s="347"/>
      <c r="DZ18" s="347"/>
      <c r="EA18" s="347"/>
      <c r="EB18" s="347"/>
      <c r="EC18" s="347"/>
      <c r="ED18" s="347"/>
      <c r="EE18" s="347"/>
      <c r="EF18" s="347"/>
      <c r="EG18" s="347"/>
      <c r="EH18" s="347"/>
      <c r="EI18" s="347"/>
      <c r="EJ18" s="347"/>
      <c r="EK18" s="347"/>
      <c r="EL18" s="347"/>
      <c r="EM18" s="347"/>
      <c r="EN18" s="347"/>
      <c r="EO18" s="347"/>
      <c r="EP18" s="347"/>
      <c r="EQ18" s="347"/>
      <c r="ER18" s="347"/>
      <c r="ES18" s="347"/>
      <c r="ET18" s="347"/>
      <c r="EU18" s="347"/>
      <c r="EV18" s="347"/>
      <c r="EW18" s="347"/>
      <c r="EX18" s="347"/>
      <c r="EY18" s="347"/>
      <c r="EZ18" s="347"/>
      <c r="FA18" s="347"/>
      <c r="FB18" s="347"/>
      <c r="FC18" s="347"/>
      <c r="FD18" s="347"/>
      <c r="FE18" s="347"/>
      <c r="FF18" s="347"/>
      <c r="FG18" s="347"/>
      <c r="FH18" s="347"/>
      <c r="FI18" s="347"/>
      <c r="FJ18" s="347"/>
      <c r="FK18" s="347"/>
      <c r="FL18" s="347"/>
      <c r="FM18" s="347"/>
      <c r="FN18" s="347"/>
      <c r="FO18" s="347"/>
      <c r="FP18" s="347"/>
      <c r="FQ18" s="347"/>
      <c r="FR18" s="347"/>
      <c r="FS18" s="347"/>
      <c r="FT18" s="347"/>
      <c r="FU18" s="347"/>
      <c r="FV18" s="347"/>
    </row>
    <row r="19" spans="1:178">
      <c r="A19" s="1409"/>
      <c r="B19" s="1154" t="s">
        <v>403</v>
      </c>
      <c r="C19" s="581" t="s">
        <v>402</v>
      </c>
      <c r="D19" s="581"/>
      <c r="E19" s="1412"/>
      <c r="F19" s="881" t="str">
        <f>F8</f>
        <v xml:space="preserve"> 1,3 Butadiene </v>
      </c>
      <c r="G19" s="1325">
        <f>Feed!$K$15*1000/12</f>
        <v>8715.966666666669</v>
      </c>
      <c r="H19" s="882">
        <f>Feed!$K$15*1000/12</f>
        <v>8715.966666666669</v>
      </c>
      <c r="I19" s="882">
        <f>Feed!$K$15*1000/12</f>
        <v>8715.966666666669</v>
      </c>
      <c r="J19" s="882">
        <f>Feed!$K$15*1000/12</f>
        <v>8715.966666666669</v>
      </c>
      <c r="K19" s="882">
        <f>Feed!$K$15*1000/12</f>
        <v>8715.966666666669</v>
      </c>
      <c r="L19" s="882">
        <f>Feed!$K$15*1000/12</f>
        <v>8715.966666666669</v>
      </c>
      <c r="M19" s="882">
        <f>Feed!$K$15*1000/12</f>
        <v>8715.966666666669</v>
      </c>
      <c r="N19" s="882">
        <f>Feed!$K$15*1000/12</f>
        <v>8715.966666666669</v>
      </c>
      <c r="O19" s="882">
        <f>Feed!$K$15*1000/12</f>
        <v>8715.966666666669</v>
      </c>
      <c r="P19" s="882">
        <f>Feed!$K$15*1000/12</f>
        <v>8715.966666666669</v>
      </c>
      <c r="Q19" s="882">
        <f>Feed!$K$15*1000/12</f>
        <v>8715.966666666669</v>
      </c>
      <c r="R19" s="882">
        <f>Feed!$K$15*1000/12</f>
        <v>8715.966666666669</v>
      </c>
      <c r="S19" s="882">
        <f>Feed!$K$15*1000/12</f>
        <v>8715.966666666669</v>
      </c>
      <c r="T19" s="882">
        <f>Feed!$K$15*1000/12</f>
        <v>8715.966666666669</v>
      </c>
      <c r="U19" s="882">
        <f>Feed!$K$15*1000/12</f>
        <v>8715.966666666669</v>
      </c>
      <c r="V19" s="882">
        <f>Feed!$K$15*1000/12</f>
        <v>8715.966666666669</v>
      </c>
      <c r="W19" s="882">
        <f>Feed!$K$15*1000/12</f>
        <v>8715.966666666669</v>
      </c>
      <c r="X19" s="882">
        <f>Feed!$K$15*1000/12</f>
        <v>8715.966666666669</v>
      </c>
      <c r="Y19" s="882">
        <f>Feed!$K$15*1000/12</f>
        <v>8715.966666666669</v>
      </c>
      <c r="Z19" s="882">
        <f>Feed!$K$15*1000/12</f>
        <v>8715.966666666669</v>
      </c>
      <c r="AA19" s="882">
        <f>Feed!$K$15*1000/12</f>
        <v>8715.966666666669</v>
      </c>
      <c r="AB19" s="882">
        <f>Feed!$K$15*1000/12</f>
        <v>8715.966666666669</v>
      </c>
      <c r="AC19" s="882">
        <f>Feed!$K$15*1000/12</f>
        <v>8715.966666666669</v>
      </c>
      <c r="AD19" s="882">
        <f>Feed!$K$15*1000/12</f>
        <v>8715.966666666669</v>
      </c>
      <c r="AE19" s="882">
        <f>Feed!$K$15*1000/12</f>
        <v>8715.966666666669</v>
      </c>
      <c r="AF19" s="882">
        <f>Feed!$K$15*1000/12</f>
        <v>8715.966666666669</v>
      </c>
      <c r="AG19" s="882">
        <f>Feed!$K$15*1000/12</f>
        <v>8715.966666666669</v>
      </c>
      <c r="AH19" s="882">
        <f>Feed!$K$15*1000/12</f>
        <v>8715.966666666669</v>
      </c>
      <c r="AI19" s="882">
        <f>Feed!$K$15*1000/12</f>
        <v>8715.966666666669</v>
      </c>
      <c r="AJ19" s="882">
        <f>Feed!$K$15*1000/12</f>
        <v>8715.966666666669</v>
      </c>
      <c r="AK19" s="882">
        <f>Feed!$K$15*1000/12</f>
        <v>8715.966666666669</v>
      </c>
      <c r="AL19" s="882">
        <f>Feed!$K$15*1000/12</f>
        <v>8715.966666666669</v>
      </c>
      <c r="AM19" s="882">
        <f>Feed!$K$15*1000/12</f>
        <v>8715.966666666669</v>
      </c>
      <c r="AN19" s="882">
        <f>Feed!$K$15*1000/12</f>
        <v>8715.966666666669</v>
      </c>
      <c r="AO19" s="882">
        <f>Feed!$K$15*1000/12</f>
        <v>8715.966666666669</v>
      </c>
      <c r="AP19" s="882">
        <f>Feed!$K$15*1000/12</f>
        <v>8715.966666666669</v>
      </c>
      <c r="AQ19" s="882">
        <f>Feed!$K$15*1000/12</f>
        <v>8715.966666666669</v>
      </c>
      <c r="AR19" s="882">
        <f>Feed!$K$15*1000/12</f>
        <v>8715.966666666669</v>
      </c>
      <c r="AS19" s="882">
        <f>Feed!$K$15*1000/12</f>
        <v>8715.966666666669</v>
      </c>
      <c r="AT19" s="882">
        <f>Feed!$K$15*1000/12</f>
        <v>8715.966666666669</v>
      </c>
      <c r="AU19" s="882">
        <f>Feed!$K$15*1000/12</f>
        <v>8715.966666666669</v>
      </c>
      <c r="AV19" s="882">
        <f>Feed!$K$15*1000/12</f>
        <v>8715.966666666669</v>
      </c>
      <c r="AW19" s="882">
        <f>Feed!$K$15*1000/12</f>
        <v>8715.966666666669</v>
      </c>
      <c r="AX19" s="882">
        <f>Feed!$K$15*1000/12</f>
        <v>8715.966666666669</v>
      </c>
      <c r="AY19" s="882">
        <f>Feed!$K$15*1000/12</f>
        <v>8715.966666666669</v>
      </c>
      <c r="AZ19" s="882">
        <f>Feed!$K$15*1000/12</f>
        <v>8715.966666666669</v>
      </c>
      <c r="BA19" s="882">
        <f>Feed!$K$15*1000/12</f>
        <v>8715.966666666669</v>
      </c>
      <c r="BB19" s="882">
        <f>Feed!$K$15*1000/12</f>
        <v>8715.966666666669</v>
      </c>
      <c r="BC19" s="882">
        <f>Feed!$K$15*1000/12</f>
        <v>8715.966666666669</v>
      </c>
      <c r="BD19" s="882">
        <f>Feed!$K$15*1000/12</f>
        <v>8715.966666666669</v>
      </c>
      <c r="BE19" s="882">
        <f>Feed!$K$15*1000/12</f>
        <v>8715.966666666669</v>
      </c>
      <c r="BF19" s="882">
        <f>Feed!$K$15*1000/12</f>
        <v>8715.966666666669</v>
      </c>
      <c r="BG19" s="882">
        <f>Feed!$K$15*1000/12</f>
        <v>8715.966666666669</v>
      </c>
      <c r="BH19" s="882">
        <f>Feed!$K$15*1000/12</f>
        <v>8715.966666666669</v>
      </c>
      <c r="BI19" s="882">
        <f>Feed!$K$15*1000/12</f>
        <v>8715.966666666669</v>
      </c>
      <c r="BJ19" s="882">
        <f>Feed!$K$15*1000/12</f>
        <v>8715.966666666669</v>
      </c>
      <c r="BK19" s="882">
        <f>Feed!$K$15*1000/12</f>
        <v>8715.966666666669</v>
      </c>
      <c r="BL19" s="882">
        <f>Feed!$K$15*1000/12</f>
        <v>8715.966666666669</v>
      </c>
      <c r="BM19" s="882">
        <f>Feed!$K$15*1000/12</f>
        <v>8715.966666666669</v>
      </c>
      <c r="BN19" s="882">
        <f>Feed!$K$15*1000/12</f>
        <v>8715.966666666669</v>
      </c>
      <c r="BO19" s="882">
        <f>Feed!$K$15*1000/12</f>
        <v>8715.966666666669</v>
      </c>
      <c r="BP19" s="882">
        <f>Feed!$K$15*1000/12</f>
        <v>8715.966666666669</v>
      </c>
      <c r="BQ19" s="882">
        <f>Feed!$K$15*1000/12</f>
        <v>8715.966666666669</v>
      </c>
      <c r="BR19" s="882">
        <f>Feed!$K$15*1000/12</f>
        <v>8715.966666666669</v>
      </c>
      <c r="BS19" s="882">
        <f>Feed!$K$15*1000/12</f>
        <v>8715.966666666669</v>
      </c>
      <c r="BT19" s="882">
        <f>Feed!$K$15*1000/12</f>
        <v>8715.966666666669</v>
      </c>
      <c r="BU19" s="882">
        <f>Feed!$K$15*1000/12</f>
        <v>8715.966666666669</v>
      </c>
      <c r="BV19" s="882">
        <f>Feed!$K$15*1000/12</f>
        <v>8715.966666666669</v>
      </c>
      <c r="BW19" s="882">
        <f>Feed!$K$15*1000/12</f>
        <v>8715.966666666669</v>
      </c>
      <c r="BX19" s="882">
        <f>Feed!$K$15*1000/12</f>
        <v>8715.966666666669</v>
      </c>
      <c r="BY19" s="882">
        <f>Feed!$K$15*1000/12</f>
        <v>8715.966666666669</v>
      </c>
      <c r="BZ19" s="882">
        <f>Feed!$K$15*1000/12</f>
        <v>8715.966666666669</v>
      </c>
      <c r="CA19" s="882">
        <f>Feed!$K$15*1000/12</f>
        <v>8715.966666666669</v>
      </c>
      <c r="CB19" s="882">
        <f>Feed!$K$15*1000/12</f>
        <v>8715.966666666669</v>
      </c>
      <c r="CC19" s="882">
        <f>Feed!$K$15*1000/12</f>
        <v>8715.966666666669</v>
      </c>
      <c r="CD19" s="882">
        <f>Feed!$K$15*1000/12</f>
        <v>8715.966666666669</v>
      </c>
      <c r="CE19" s="882">
        <f>Feed!$K$15*1000/12</f>
        <v>8715.966666666669</v>
      </c>
      <c r="CF19" s="882">
        <f>Feed!$K$15*1000/12</f>
        <v>8715.966666666669</v>
      </c>
      <c r="CG19" s="882">
        <f>Feed!$K$15*1000/12</f>
        <v>8715.966666666669</v>
      </c>
      <c r="CH19" s="882">
        <f>Feed!$K$15*1000/12</f>
        <v>8715.966666666669</v>
      </c>
      <c r="CI19" s="882">
        <f>Feed!$K$15*1000/12</f>
        <v>8715.966666666669</v>
      </c>
      <c r="CJ19" s="882">
        <f>Feed!$K$15*1000/12</f>
        <v>8715.966666666669</v>
      </c>
      <c r="CK19" s="882">
        <f>Feed!$K$15*1000/12</f>
        <v>8715.966666666669</v>
      </c>
      <c r="CL19" s="882">
        <f>Feed!$K$15*1000/12</f>
        <v>8715.966666666669</v>
      </c>
      <c r="CM19" s="882">
        <f t="shared" si="0"/>
        <v>8715.9666666666726</v>
      </c>
      <c r="CN19" s="347"/>
      <c r="CO19" s="347"/>
      <c r="CP19" s="347"/>
      <c r="CQ19" s="347"/>
      <c r="CR19" s="347"/>
      <c r="CS19" s="347"/>
      <c r="CT19" s="347"/>
      <c r="CU19" s="347"/>
      <c r="CV19" s="347"/>
      <c r="CW19" s="347"/>
      <c r="CX19" s="347"/>
      <c r="CY19" s="347"/>
      <c r="CZ19" s="347"/>
      <c r="DA19" s="347"/>
      <c r="DB19" s="347"/>
      <c r="DC19" s="347"/>
      <c r="DD19" s="347"/>
      <c r="DE19" s="347"/>
      <c r="DF19" s="347"/>
      <c r="DG19" s="347"/>
      <c r="DH19" s="347"/>
      <c r="DI19" s="347"/>
      <c r="DJ19" s="347"/>
      <c r="DK19" s="347"/>
      <c r="DL19" s="347"/>
      <c r="DM19" s="347"/>
      <c r="DN19" s="347"/>
      <c r="DO19" s="347"/>
      <c r="DP19" s="347"/>
      <c r="DQ19" s="347"/>
      <c r="DR19" s="347"/>
      <c r="DS19" s="347"/>
      <c r="DT19" s="347"/>
      <c r="DU19" s="347"/>
      <c r="DV19" s="347"/>
      <c r="DW19" s="347"/>
      <c r="DX19" s="347"/>
      <c r="DY19" s="347"/>
      <c r="DZ19" s="347"/>
      <c r="EA19" s="347"/>
      <c r="EB19" s="347"/>
      <c r="EC19" s="347"/>
      <c r="ED19" s="347"/>
      <c r="EE19" s="347"/>
      <c r="EF19" s="347"/>
      <c r="EG19" s="347"/>
      <c r="EH19" s="347"/>
      <c r="EI19" s="347"/>
      <c r="EJ19" s="347"/>
      <c r="EK19" s="347"/>
      <c r="EL19" s="347"/>
      <c r="EM19" s="347"/>
      <c r="EN19" s="347"/>
      <c r="EO19" s="347"/>
      <c r="EP19" s="347"/>
      <c r="EQ19" s="347"/>
      <c r="ER19" s="347"/>
      <c r="ES19" s="347"/>
      <c r="ET19" s="347"/>
      <c r="EU19" s="347"/>
      <c r="EV19" s="347"/>
      <c r="EW19" s="347"/>
      <c r="EX19" s="347"/>
      <c r="EY19" s="347"/>
      <c r="EZ19" s="347"/>
      <c r="FA19" s="347"/>
      <c r="FB19" s="347"/>
      <c r="FC19" s="347"/>
      <c r="FD19" s="347"/>
      <c r="FE19" s="347"/>
      <c r="FF19" s="347"/>
      <c r="FG19" s="347"/>
      <c r="FH19" s="347"/>
      <c r="FI19" s="347"/>
      <c r="FJ19" s="347"/>
      <c r="FK19" s="347"/>
      <c r="FL19" s="347"/>
      <c r="FM19" s="347"/>
      <c r="FN19" s="347"/>
      <c r="FO19" s="347"/>
      <c r="FP19" s="347"/>
      <c r="FQ19" s="347"/>
      <c r="FR19" s="347"/>
      <c r="FS19" s="347"/>
      <c r="FT19" s="347"/>
      <c r="FU19" s="347"/>
      <c r="FV19" s="347"/>
    </row>
    <row r="20" spans="1:178">
      <c r="A20" s="1409"/>
      <c r="B20" s="1154" t="s">
        <v>403</v>
      </c>
      <c r="C20" s="581" t="s">
        <v>402</v>
      </c>
      <c r="D20" s="581"/>
      <c r="E20" s="1412"/>
      <c r="F20" s="881" t="str">
        <f>F9</f>
        <v xml:space="preserve"> Hydrogenated Pygas (HPG) </v>
      </c>
      <c r="G20" s="1325">
        <f>G12*'Cracker Yields'!$H$8+'Financial Model Eth. Furn. Add.'!G13*'Cracker Yields'!$I$8+'Financial Model Eth. Furn. Add.'!G14*'Cracker Yields'!$J$8+'Financial Model Eth. Furn. Add.'!G15*'Cracker Yields'!$K$8</f>
        <v>9845.7479999999996</v>
      </c>
      <c r="H20" s="882">
        <f>H12*'Cracker Yields'!$H$8+'Financial Model Eth. Furn. Add.'!H13*'Cracker Yields'!$I$8+'Financial Model Eth. Furn. Add.'!H14*'Cracker Yields'!$J$8+'Financial Model Eth. Furn. Add.'!H15*'Cracker Yields'!$K$8</f>
        <v>9845.7479999999996</v>
      </c>
      <c r="I20" s="882">
        <f>I12*'Cracker Yields'!$H$8+'Financial Model Eth. Furn. Add.'!I13*'Cracker Yields'!$I$8+'Financial Model Eth. Furn. Add.'!I14*'Cracker Yields'!$J$8+'Financial Model Eth. Furn. Add.'!I15*'Cracker Yields'!$K$8</f>
        <v>9845.7479999999996</v>
      </c>
      <c r="J20" s="882">
        <f>J12*'Cracker Yields'!$H$8+'Financial Model Eth. Furn. Add.'!J13*'Cracker Yields'!$I$8+'Financial Model Eth. Furn. Add.'!J14*'Cracker Yields'!$J$8+'Financial Model Eth. Furn. Add.'!J15*'Cracker Yields'!$K$8</f>
        <v>9845.7479999999996</v>
      </c>
      <c r="K20" s="882">
        <f>K12*'Cracker Yields'!$H$8+'Financial Model Eth. Furn. Add.'!K13*'Cracker Yields'!$I$8+'Financial Model Eth. Furn. Add.'!K14*'Cracker Yields'!$J$8+'Financial Model Eth. Furn. Add.'!K15*'Cracker Yields'!$K$8</f>
        <v>9845.7479999999996</v>
      </c>
      <c r="L20" s="882">
        <f>L12*'Cracker Yields'!$H$8+'Financial Model Eth. Furn. Add.'!L13*'Cracker Yields'!$I$8+'Financial Model Eth. Furn. Add.'!L14*'Cracker Yields'!$J$8+'Financial Model Eth. Furn. Add.'!L15*'Cracker Yields'!$K$8</f>
        <v>9845.7479999999996</v>
      </c>
      <c r="M20" s="882">
        <f>M12*'Cracker Yields'!$H$8+'Financial Model Eth. Furn. Add.'!M13*'Cracker Yields'!$I$8+'Financial Model Eth. Furn. Add.'!M14*'Cracker Yields'!$J$8+'Financial Model Eth. Furn. Add.'!M15*'Cracker Yields'!$K$8</f>
        <v>9845.7479999999996</v>
      </c>
      <c r="N20" s="882">
        <f>N12*'Cracker Yields'!$H$8+'Financial Model Eth. Furn. Add.'!N13*'Cracker Yields'!$I$8+'Financial Model Eth. Furn. Add.'!N14*'Cracker Yields'!$J$8+'Financial Model Eth. Furn. Add.'!N15*'Cracker Yields'!$K$8</f>
        <v>9845.7479999999996</v>
      </c>
      <c r="O20" s="882">
        <f>O12*'Cracker Yields'!$H$8+'Financial Model Eth. Furn. Add.'!O13*'Cracker Yields'!$I$8+'Financial Model Eth. Furn. Add.'!O14*'Cracker Yields'!$J$8+'Financial Model Eth. Furn. Add.'!O15*'Cracker Yields'!$K$8</f>
        <v>9845.7479999999996</v>
      </c>
      <c r="P20" s="882">
        <f>P12*'Cracker Yields'!$H$8+'Financial Model Eth. Furn. Add.'!P13*'Cracker Yields'!$I$8+'Financial Model Eth. Furn. Add.'!P14*'Cracker Yields'!$J$8+'Financial Model Eth. Furn. Add.'!P15*'Cracker Yields'!$K$8</f>
        <v>9845.7479999999996</v>
      </c>
      <c r="Q20" s="882">
        <f>Q12*'Cracker Yields'!$H$8+'Financial Model Eth. Furn. Add.'!Q13*'Cracker Yields'!$I$8+'Financial Model Eth. Furn. Add.'!Q14*'Cracker Yields'!$J$8+'Financial Model Eth. Furn. Add.'!Q15*'Cracker Yields'!$K$8</f>
        <v>9845.7479999999996</v>
      </c>
      <c r="R20" s="882">
        <f>R12*'Cracker Yields'!$H$8+'Financial Model Eth. Furn. Add.'!R13*'Cracker Yields'!$I$8+'Financial Model Eth. Furn. Add.'!R14*'Cracker Yields'!$J$8+'Financial Model Eth. Furn. Add.'!R15*'Cracker Yields'!$K$8</f>
        <v>9845.7479999999996</v>
      </c>
      <c r="S20" s="882">
        <f>S12*'Cracker Yields'!$H$8+'Financial Model Eth. Furn. Add.'!S13*'Cracker Yields'!$I$8+'Financial Model Eth. Furn. Add.'!S14*'Cracker Yields'!$J$8+'Financial Model Eth. Furn. Add.'!S15*'Cracker Yields'!$K$8</f>
        <v>9845.7479999999996</v>
      </c>
      <c r="T20" s="882">
        <f>T12*'Cracker Yields'!$H$8+'Financial Model Eth. Furn. Add.'!T13*'Cracker Yields'!$I$8+'Financial Model Eth. Furn. Add.'!T14*'Cracker Yields'!$J$8+'Financial Model Eth. Furn. Add.'!T15*'Cracker Yields'!$K$8</f>
        <v>9845.7479999999996</v>
      </c>
      <c r="U20" s="882">
        <f>U12*'Cracker Yields'!$H$8+'Financial Model Eth. Furn. Add.'!U13*'Cracker Yields'!$I$8+'Financial Model Eth. Furn. Add.'!U14*'Cracker Yields'!$J$8+'Financial Model Eth. Furn. Add.'!U15*'Cracker Yields'!$K$8</f>
        <v>9845.7479999999996</v>
      </c>
      <c r="V20" s="882">
        <f>V12*'Cracker Yields'!$H$8+'Financial Model Eth. Furn. Add.'!V13*'Cracker Yields'!$I$8+'Financial Model Eth. Furn. Add.'!V14*'Cracker Yields'!$J$8+'Financial Model Eth. Furn. Add.'!V15*'Cracker Yields'!$K$8</f>
        <v>9845.7479999999996</v>
      </c>
      <c r="W20" s="882">
        <f>W12*'Cracker Yields'!$H$8+'Financial Model Eth. Furn. Add.'!W13*'Cracker Yields'!$I$8+'Financial Model Eth. Furn. Add.'!W14*'Cracker Yields'!$J$8+'Financial Model Eth. Furn. Add.'!W15*'Cracker Yields'!$K$8</f>
        <v>9845.7479999999996</v>
      </c>
      <c r="X20" s="882">
        <f>X12*'Cracker Yields'!$H$8+'Financial Model Eth. Furn. Add.'!X13*'Cracker Yields'!$I$8+'Financial Model Eth. Furn. Add.'!X14*'Cracker Yields'!$J$8+'Financial Model Eth. Furn. Add.'!X15*'Cracker Yields'!$K$8</f>
        <v>9845.7479999999996</v>
      </c>
      <c r="Y20" s="882">
        <f>Y12*'Cracker Yields'!$H$8+'Financial Model Eth. Furn. Add.'!Y13*'Cracker Yields'!$I$8+'Financial Model Eth. Furn. Add.'!Y14*'Cracker Yields'!$J$8+'Financial Model Eth. Furn. Add.'!Y15*'Cracker Yields'!$K$8</f>
        <v>9845.7479999999996</v>
      </c>
      <c r="Z20" s="882">
        <f>Z12*'Cracker Yields'!$H$8+'Financial Model Eth. Furn. Add.'!Z13*'Cracker Yields'!$I$8+'Financial Model Eth. Furn. Add.'!Z14*'Cracker Yields'!$J$8+'Financial Model Eth. Furn. Add.'!Z15*'Cracker Yields'!$K$8</f>
        <v>9845.7479999999996</v>
      </c>
      <c r="AA20" s="882">
        <f>AA12*'Cracker Yields'!$H$8+'Financial Model Eth. Furn. Add.'!AA13*'Cracker Yields'!$I$8+'Financial Model Eth. Furn. Add.'!AA14*'Cracker Yields'!$J$8+'Financial Model Eth. Furn. Add.'!AA15*'Cracker Yields'!$K$8</f>
        <v>9845.7479999999996</v>
      </c>
      <c r="AB20" s="882">
        <f>AB12*'Cracker Yields'!$H$8+'Financial Model Eth. Furn. Add.'!AB13*'Cracker Yields'!$I$8+'Financial Model Eth. Furn. Add.'!AB14*'Cracker Yields'!$J$8+'Financial Model Eth. Furn. Add.'!AB15*'Cracker Yields'!$K$8</f>
        <v>9845.7479999999996</v>
      </c>
      <c r="AC20" s="882">
        <f>AC12*'Cracker Yields'!$H$8+'Financial Model Eth. Furn. Add.'!AC13*'Cracker Yields'!$I$8+'Financial Model Eth. Furn. Add.'!AC14*'Cracker Yields'!$J$8+'Financial Model Eth. Furn. Add.'!AC15*'Cracker Yields'!$K$8</f>
        <v>9845.7479999999996</v>
      </c>
      <c r="AD20" s="882">
        <f>AD12*'Cracker Yields'!$H$8+'Financial Model Eth. Furn. Add.'!AD13*'Cracker Yields'!$I$8+'Financial Model Eth. Furn. Add.'!AD14*'Cracker Yields'!$J$8+'Financial Model Eth. Furn. Add.'!AD15*'Cracker Yields'!$K$8</f>
        <v>9845.7479999999996</v>
      </c>
      <c r="AE20" s="882">
        <f>AE12*'Cracker Yields'!$H$8+'Financial Model Eth. Furn. Add.'!AE13*'Cracker Yields'!$I$8+'Financial Model Eth. Furn. Add.'!AE14*'Cracker Yields'!$J$8+'Financial Model Eth. Furn. Add.'!AE15*'Cracker Yields'!$K$8</f>
        <v>9845.7479999999996</v>
      </c>
      <c r="AF20" s="882">
        <f>AF12*'Cracker Yields'!$H$8+'Financial Model Eth. Furn. Add.'!AF13*'Cracker Yields'!$I$8+'Financial Model Eth. Furn. Add.'!AF14*'Cracker Yields'!$J$8+'Financial Model Eth. Furn. Add.'!AF15*'Cracker Yields'!$K$8</f>
        <v>9845.7479999999996</v>
      </c>
      <c r="AG20" s="882">
        <f>AG12*'Cracker Yields'!$H$8+'Financial Model Eth. Furn. Add.'!AG13*'Cracker Yields'!$I$8+'Financial Model Eth. Furn. Add.'!AG14*'Cracker Yields'!$J$8+'Financial Model Eth. Furn. Add.'!AG15*'Cracker Yields'!$K$8</f>
        <v>9845.7479999999996</v>
      </c>
      <c r="AH20" s="882">
        <f>AH12*'Cracker Yields'!$H$8+'Financial Model Eth. Furn. Add.'!AH13*'Cracker Yields'!$I$8+'Financial Model Eth. Furn. Add.'!AH14*'Cracker Yields'!$J$8+'Financial Model Eth. Furn. Add.'!AH15*'Cracker Yields'!$K$8</f>
        <v>9845.7479999999996</v>
      </c>
      <c r="AI20" s="882">
        <f>AI12*'Cracker Yields'!$H$8+'Financial Model Eth. Furn. Add.'!AI13*'Cracker Yields'!$I$8+'Financial Model Eth. Furn. Add.'!AI14*'Cracker Yields'!$J$8+'Financial Model Eth. Furn. Add.'!AI15*'Cracker Yields'!$K$8</f>
        <v>9845.7479999999996</v>
      </c>
      <c r="AJ20" s="882">
        <f>AJ12*'Cracker Yields'!$H$8+'Financial Model Eth. Furn. Add.'!AJ13*'Cracker Yields'!$I$8+'Financial Model Eth. Furn. Add.'!AJ14*'Cracker Yields'!$J$8+'Financial Model Eth. Furn. Add.'!AJ15*'Cracker Yields'!$K$8</f>
        <v>9845.7479999999996</v>
      </c>
      <c r="AK20" s="882">
        <f>AK12*'Cracker Yields'!$H$8+'Financial Model Eth. Furn. Add.'!AK13*'Cracker Yields'!$I$8+'Financial Model Eth. Furn. Add.'!AK14*'Cracker Yields'!$J$8+'Financial Model Eth. Furn. Add.'!AK15*'Cracker Yields'!$K$8</f>
        <v>9845.7479999999996</v>
      </c>
      <c r="AL20" s="882">
        <f>AL12*'Cracker Yields'!$H$8+'Financial Model Eth. Furn. Add.'!AL13*'Cracker Yields'!$I$8+'Financial Model Eth. Furn. Add.'!AL14*'Cracker Yields'!$J$8+'Financial Model Eth. Furn. Add.'!AL15*'Cracker Yields'!$K$8</f>
        <v>9845.7479999999996</v>
      </c>
      <c r="AM20" s="882">
        <f>AM12*'Cracker Yields'!$H$8+'Financial Model Eth. Furn. Add.'!AM13*'Cracker Yields'!$I$8+'Financial Model Eth. Furn. Add.'!AM14*'Cracker Yields'!$J$8+'Financial Model Eth. Furn. Add.'!AM15*'Cracker Yields'!$K$8</f>
        <v>9845.7479999999996</v>
      </c>
      <c r="AN20" s="882">
        <f>AN12*'Cracker Yields'!$H$8+'Financial Model Eth. Furn. Add.'!AN13*'Cracker Yields'!$I$8+'Financial Model Eth. Furn. Add.'!AN14*'Cracker Yields'!$J$8+'Financial Model Eth. Furn. Add.'!AN15*'Cracker Yields'!$K$8</f>
        <v>9845.7479999999996</v>
      </c>
      <c r="AO20" s="882">
        <f>AO12*'Cracker Yields'!$H$8+'Financial Model Eth. Furn. Add.'!AO13*'Cracker Yields'!$I$8+'Financial Model Eth. Furn. Add.'!AO14*'Cracker Yields'!$J$8+'Financial Model Eth. Furn. Add.'!AO15*'Cracker Yields'!$K$8</f>
        <v>9845.7479999999996</v>
      </c>
      <c r="AP20" s="882">
        <f>AP12*'Cracker Yields'!$H$8+'Financial Model Eth. Furn. Add.'!AP13*'Cracker Yields'!$I$8+'Financial Model Eth. Furn. Add.'!AP14*'Cracker Yields'!$J$8+'Financial Model Eth. Furn. Add.'!AP15*'Cracker Yields'!$K$8</f>
        <v>9845.7479999999996</v>
      </c>
      <c r="AQ20" s="882">
        <f>AQ12*'Cracker Yields'!$H$8+'Financial Model Eth. Furn. Add.'!AQ13*'Cracker Yields'!$I$8+'Financial Model Eth. Furn. Add.'!AQ14*'Cracker Yields'!$J$8+'Financial Model Eth. Furn. Add.'!AQ15*'Cracker Yields'!$K$8</f>
        <v>9845.7479999999996</v>
      </c>
      <c r="AR20" s="882">
        <f>AR12*'Cracker Yields'!$H$8+'Financial Model Eth. Furn. Add.'!AR13*'Cracker Yields'!$I$8+'Financial Model Eth. Furn. Add.'!AR14*'Cracker Yields'!$J$8+'Financial Model Eth. Furn. Add.'!AR15*'Cracker Yields'!$K$8</f>
        <v>9845.7479999999996</v>
      </c>
      <c r="AS20" s="882">
        <f>AS12*'Cracker Yields'!$H$8+'Financial Model Eth. Furn. Add.'!AS13*'Cracker Yields'!$I$8+'Financial Model Eth. Furn. Add.'!AS14*'Cracker Yields'!$J$8+'Financial Model Eth. Furn. Add.'!AS15*'Cracker Yields'!$K$8</f>
        <v>9845.7479999999996</v>
      </c>
      <c r="AT20" s="882">
        <f>AT12*'Cracker Yields'!$H$8+'Financial Model Eth. Furn. Add.'!AT13*'Cracker Yields'!$I$8+'Financial Model Eth. Furn. Add.'!AT14*'Cracker Yields'!$J$8+'Financial Model Eth. Furn. Add.'!AT15*'Cracker Yields'!$K$8</f>
        <v>9845.7479999999996</v>
      </c>
      <c r="AU20" s="882">
        <f>AU12*'Cracker Yields'!$H$8+'Financial Model Eth. Furn. Add.'!AU13*'Cracker Yields'!$I$8+'Financial Model Eth. Furn. Add.'!AU14*'Cracker Yields'!$J$8+'Financial Model Eth. Furn. Add.'!AU15*'Cracker Yields'!$K$8</f>
        <v>9845.7479999999996</v>
      </c>
      <c r="AV20" s="882">
        <f>AV12*'Cracker Yields'!$H$8+'Financial Model Eth. Furn. Add.'!AV13*'Cracker Yields'!$I$8+'Financial Model Eth. Furn. Add.'!AV14*'Cracker Yields'!$J$8+'Financial Model Eth. Furn. Add.'!AV15*'Cracker Yields'!$K$8</f>
        <v>9845.7479999999996</v>
      </c>
      <c r="AW20" s="882">
        <f>AW12*'Cracker Yields'!$H$8+'Financial Model Eth. Furn. Add.'!AW13*'Cracker Yields'!$I$8+'Financial Model Eth. Furn. Add.'!AW14*'Cracker Yields'!$J$8+'Financial Model Eth. Furn. Add.'!AW15*'Cracker Yields'!$K$8</f>
        <v>9845.7479999999996</v>
      </c>
      <c r="AX20" s="882">
        <f>AX12*'Cracker Yields'!$H$8+'Financial Model Eth. Furn. Add.'!AX13*'Cracker Yields'!$I$8+'Financial Model Eth. Furn. Add.'!AX14*'Cracker Yields'!$J$8+'Financial Model Eth. Furn. Add.'!AX15*'Cracker Yields'!$K$8</f>
        <v>9845.7479999999996</v>
      </c>
      <c r="AY20" s="882">
        <f>AY12*'Cracker Yields'!$H$8+'Financial Model Eth. Furn. Add.'!AY13*'Cracker Yields'!$I$8+'Financial Model Eth. Furn. Add.'!AY14*'Cracker Yields'!$J$8+'Financial Model Eth. Furn. Add.'!AY15*'Cracker Yields'!$K$8</f>
        <v>9845.7479999999996</v>
      </c>
      <c r="AZ20" s="882">
        <f>AZ12*'Cracker Yields'!$H$8+'Financial Model Eth. Furn. Add.'!AZ13*'Cracker Yields'!$I$8+'Financial Model Eth. Furn. Add.'!AZ14*'Cracker Yields'!$J$8+'Financial Model Eth. Furn. Add.'!AZ15*'Cracker Yields'!$K$8</f>
        <v>9845.7479999999996</v>
      </c>
      <c r="BA20" s="882">
        <f>BA12*'Cracker Yields'!$H$8+'Financial Model Eth. Furn. Add.'!BA13*'Cracker Yields'!$I$8+'Financial Model Eth. Furn. Add.'!BA14*'Cracker Yields'!$J$8+'Financial Model Eth. Furn. Add.'!BA15*'Cracker Yields'!$K$8</f>
        <v>9845.7479999999996</v>
      </c>
      <c r="BB20" s="882">
        <f>BB12*'Cracker Yields'!$H$8+'Financial Model Eth. Furn. Add.'!BB13*'Cracker Yields'!$I$8+'Financial Model Eth. Furn. Add.'!BB14*'Cracker Yields'!$J$8+'Financial Model Eth. Furn. Add.'!BB15*'Cracker Yields'!$K$8</f>
        <v>9845.7479999999996</v>
      </c>
      <c r="BC20" s="882">
        <f>BC12*'Cracker Yields'!$H$8+'Financial Model Eth. Furn. Add.'!BC13*'Cracker Yields'!$I$8+'Financial Model Eth. Furn. Add.'!BC14*'Cracker Yields'!$J$8+'Financial Model Eth. Furn. Add.'!BC15*'Cracker Yields'!$K$8</f>
        <v>9845.7479999999996</v>
      </c>
      <c r="BD20" s="882">
        <f>BD12*'Cracker Yields'!$H$8+'Financial Model Eth. Furn. Add.'!BD13*'Cracker Yields'!$I$8+'Financial Model Eth. Furn. Add.'!BD14*'Cracker Yields'!$J$8+'Financial Model Eth. Furn. Add.'!BD15*'Cracker Yields'!$K$8</f>
        <v>9845.7479999999996</v>
      </c>
      <c r="BE20" s="882">
        <f>BE12*'Cracker Yields'!$H$8+'Financial Model Eth. Furn. Add.'!BE13*'Cracker Yields'!$I$8+'Financial Model Eth. Furn. Add.'!BE14*'Cracker Yields'!$J$8+'Financial Model Eth. Furn. Add.'!BE15*'Cracker Yields'!$K$8</f>
        <v>9845.7479999999996</v>
      </c>
      <c r="BF20" s="882">
        <f>BF12*'Cracker Yields'!$H$8+'Financial Model Eth. Furn. Add.'!BF13*'Cracker Yields'!$I$8+'Financial Model Eth. Furn. Add.'!BF14*'Cracker Yields'!$J$8+'Financial Model Eth. Furn. Add.'!BF15*'Cracker Yields'!$K$8</f>
        <v>9845.7479999999996</v>
      </c>
      <c r="BG20" s="882">
        <f>BG12*'Cracker Yields'!$H$8+'Financial Model Eth. Furn. Add.'!BG13*'Cracker Yields'!$I$8+'Financial Model Eth. Furn. Add.'!BG14*'Cracker Yields'!$J$8+'Financial Model Eth. Furn. Add.'!BG15*'Cracker Yields'!$K$8</f>
        <v>9845.7479999999996</v>
      </c>
      <c r="BH20" s="882">
        <f>BH12*'Cracker Yields'!$H$8+'Financial Model Eth. Furn. Add.'!BH13*'Cracker Yields'!$I$8+'Financial Model Eth. Furn. Add.'!BH14*'Cracker Yields'!$J$8+'Financial Model Eth. Furn. Add.'!BH15*'Cracker Yields'!$K$8</f>
        <v>9845.7479999999996</v>
      </c>
      <c r="BI20" s="882">
        <f>BI12*'Cracker Yields'!$H$8+'Financial Model Eth. Furn. Add.'!BI13*'Cracker Yields'!$I$8+'Financial Model Eth. Furn. Add.'!BI14*'Cracker Yields'!$J$8+'Financial Model Eth. Furn. Add.'!BI15*'Cracker Yields'!$K$8</f>
        <v>9845.7479999999996</v>
      </c>
      <c r="BJ20" s="882">
        <f>BJ12*'Cracker Yields'!$H$8+'Financial Model Eth. Furn. Add.'!BJ13*'Cracker Yields'!$I$8+'Financial Model Eth. Furn. Add.'!BJ14*'Cracker Yields'!$J$8+'Financial Model Eth. Furn. Add.'!BJ15*'Cracker Yields'!$K$8</f>
        <v>9845.7479999999996</v>
      </c>
      <c r="BK20" s="882">
        <f>BK12*'Cracker Yields'!$H$8+'Financial Model Eth. Furn. Add.'!BK13*'Cracker Yields'!$I$8+'Financial Model Eth. Furn. Add.'!BK14*'Cracker Yields'!$J$8+'Financial Model Eth. Furn. Add.'!BK15*'Cracker Yields'!$K$8</f>
        <v>9845.7479999999996</v>
      </c>
      <c r="BL20" s="882">
        <f>BL12*'Cracker Yields'!$H$8+'Financial Model Eth. Furn. Add.'!BL13*'Cracker Yields'!$I$8+'Financial Model Eth. Furn. Add.'!BL14*'Cracker Yields'!$J$8+'Financial Model Eth. Furn. Add.'!BL15*'Cracker Yields'!$K$8</f>
        <v>9845.7479999999996</v>
      </c>
      <c r="BM20" s="882">
        <f>BM12*'Cracker Yields'!$H$8+'Financial Model Eth. Furn. Add.'!BM13*'Cracker Yields'!$I$8+'Financial Model Eth. Furn. Add.'!BM14*'Cracker Yields'!$J$8+'Financial Model Eth. Furn. Add.'!BM15*'Cracker Yields'!$K$8</f>
        <v>9845.7479999999996</v>
      </c>
      <c r="BN20" s="882">
        <f>BN12*'Cracker Yields'!$H$8+'Financial Model Eth. Furn. Add.'!BN13*'Cracker Yields'!$I$8+'Financial Model Eth. Furn. Add.'!BN14*'Cracker Yields'!$J$8+'Financial Model Eth. Furn. Add.'!BN15*'Cracker Yields'!$K$8</f>
        <v>9845.7479999999996</v>
      </c>
      <c r="BO20" s="882">
        <f>BO12*'Cracker Yields'!$H$8+'Financial Model Eth. Furn. Add.'!BO13*'Cracker Yields'!$I$8+'Financial Model Eth. Furn. Add.'!BO14*'Cracker Yields'!$J$8+'Financial Model Eth. Furn. Add.'!BO15*'Cracker Yields'!$K$8</f>
        <v>9845.7479999999996</v>
      </c>
      <c r="BP20" s="882">
        <f>BP12*'Cracker Yields'!$H$8+'Financial Model Eth. Furn. Add.'!BP13*'Cracker Yields'!$I$8+'Financial Model Eth. Furn. Add.'!BP14*'Cracker Yields'!$J$8+'Financial Model Eth. Furn. Add.'!BP15*'Cracker Yields'!$K$8</f>
        <v>9845.7479999999996</v>
      </c>
      <c r="BQ20" s="882">
        <f>BQ12*'Cracker Yields'!$H$8+'Financial Model Eth. Furn. Add.'!BQ13*'Cracker Yields'!$I$8+'Financial Model Eth. Furn. Add.'!BQ14*'Cracker Yields'!$J$8+'Financial Model Eth. Furn. Add.'!BQ15*'Cracker Yields'!$K$8</f>
        <v>9845.7479999999996</v>
      </c>
      <c r="BR20" s="882">
        <f>BR12*'Cracker Yields'!$H$8+'Financial Model Eth. Furn. Add.'!BR13*'Cracker Yields'!$I$8+'Financial Model Eth. Furn. Add.'!BR14*'Cracker Yields'!$J$8+'Financial Model Eth. Furn. Add.'!BR15*'Cracker Yields'!$K$8</f>
        <v>9845.7479999999996</v>
      </c>
      <c r="BS20" s="882">
        <f>BS12*'Cracker Yields'!$H$8+'Financial Model Eth. Furn. Add.'!BS13*'Cracker Yields'!$I$8+'Financial Model Eth. Furn. Add.'!BS14*'Cracker Yields'!$J$8+'Financial Model Eth. Furn. Add.'!BS15*'Cracker Yields'!$K$8</f>
        <v>9845.7479999999996</v>
      </c>
      <c r="BT20" s="882">
        <f>BT12*'Cracker Yields'!$H$8+'Financial Model Eth. Furn. Add.'!BT13*'Cracker Yields'!$I$8+'Financial Model Eth. Furn. Add.'!BT14*'Cracker Yields'!$J$8+'Financial Model Eth. Furn. Add.'!BT15*'Cracker Yields'!$K$8</f>
        <v>9845.7479999999996</v>
      </c>
      <c r="BU20" s="882">
        <f>BU12*'Cracker Yields'!$H$8+'Financial Model Eth. Furn. Add.'!BU13*'Cracker Yields'!$I$8+'Financial Model Eth. Furn. Add.'!BU14*'Cracker Yields'!$J$8+'Financial Model Eth. Furn. Add.'!BU15*'Cracker Yields'!$K$8</f>
        <v>9845.7479999999996</v>
      </c>
      <c r="BV20" s="882">
        <f>BV12*'Cracker Yields'!$H$8+'Financial Model Eth. Furn. Add.'!BV13*'Cracker Yields'!$I$8+'Financial Model Eth. Furn. Add.'!BV14*'Cracker Yields'!$J$8+'Financial Model Eth. Furn. Add.'!BV15*'Cracker Yields'!$K$8</f>
        <v>9845.7479999999996</v>
      </c>
      <c r="BW20" s="882">
        <f>BW12*'Cracker Yields'!$H$8+'Financial Model Eth. Furn. Add.'!BW13*'Cracker Yields'!$I$8+'Financial Model Eth. Furn. Add.'!BW14*'Cracker Yields'!$J$8+'Financial Model Eth. Furn. Add.'!BW15*'Cracker Yields'!$K$8</f>
        <v>9845.7479999999996</v>
      </c>
      <c r="BX20" s="882">
        <f>BX12*'Cracker Yields'!$H$8+'Financial Model Eth. Furn. Add.'!BX13*'Cracker Yields'!$I$8+'Financial Model Eth. Furn. Add.'!BX14*'Cracker Yields'!$J$8+'Financial Model Eth. Furn. Add.'!BX15*'Cracker Yields'!$K$8</f>
        <v>9845.7479999999996</v>
      </c>
      <c r="BY20" s="882">
        <f>BY12*'Cracker Yields'!$H$8+'Financial Model Eth. Furn. Add.'!BY13*'Cracker Yields'!$I$8+'Financial Model Eth. Furn. Add.'!BY14*'Cracker Yields'!$J$8+'Financial Model Eth. Furn. Add.'!BY15*'Cracker Yields'!$K$8</f>
        <v>9845.7479999999996</v>
      </c>
      <c r="BZ20" s="882">
        <f>BZ12*'Cracker Yields'!$H$8+'Financial Model Eth. Furn. Add.'!BZ13*'Cracker Yields'!$I$8+'Financial Model Eth. Furn. Add.'!BZ14*'Cracker Yields'!$J$8+'Financial Model Eth. Furn. Add.'!BZ15*'Cracker Yields'!$K$8</f>
        <v>9845.7479999999996</v>
      </c>
      <c r="CA20" s="882">
        <f>CA12*'Cracker Yields'!$H$8+'Financial Model Eth. Furn. Add.'!CA13*'Cracker Yields'!$I$8+'Financial Model Eth. Furn. Add.'!CA14*'Cracker Yields'!$J$8+'Financial Model Eth. Furn. Add.'!CA15*'Cracker Yields'!$K$8</f>
        <v>9845.7479999999996</v>
      </c>
      <c r="CB20" s="882">
        <f>CB12*'Cracker Yields'!$H$8+'Financial Model Eth. Furn. Add.'!CB13*'Cracker Yields'!$I$8+'Financial Model Eth. Furn. Add.'!CB14*'Cracker Yields'!$J$8+'Financial Model Eth. Furn. Add.'!CB15*'Cracker Yields'!$K$8</f>
        <v>9845.7479999999996</v>
      </c>
      <c r="CC20" s="882">
        <f>CC12*'Cracker Yields'!$H$8+'Financial Model Eth. Furn. Add.'!CC13*'Cracker Yields'!$I$8+'Financial Model Eth. Furn. Add.'!CC14*'Cracker Yields'!$J$8+'Financial Model Eth. Furn. Add.'!CC15*'Cracker Yields'!$K$8</f>
        <v>9845.7479999999996</v>
      </c>
      <c r="CD20" s="882">
        <f>CD12*'Cracker Yields'!$H$8+'Financial Model Eth. Furn. Add.'!CD13*'Cracker Yields'!$I$8+'Financial Model Eth. Furn. Add.'!CD14*'Cracker Yields'!$J$8+'Financial Model Eth. Furn. Add.'!CD15*'Cracker Yields'!$K$8</f>
        <v>9845.7479999999996</v>
      </c>
      <c r="CE20" s="882">
        <f>CE12*'Cracker Yields'!$H$8+'Financial Model Eth. Furn. Add.'!CE13*'Cracker Yields'!$I$8+'Financial Model Eth. Furn. Add.'!CE14*'Cracker Yields'!$J$8+'Financial Model Eth. Furn. Add.'!CE15*'Cracker Yields'!$K$8</f>
        <v>9845.7479999999996</v>
      </c>
      <c r="CF20" s="882">
        <f>CF12*'Cracker Yields'!$H$8+'Financial Model Eth. Furn. Add.'!CF13*'Cracker Yields'!$I$8+'Financial Model Eth. Furn. Add.'!CF14*'Cracker Yields'!$J$8+'Financial Model Eth. Furn. Add.'!CF15*'Cracker Yields'!$K$8</f>
        <v>9845.7479999999996</v>
      </c>
      <c r="CG20" s="882">
        <f>CG12*'Cracker Yields'!$H$8+'Financial Model Eth. Furn. Add.'!CG13*'Cracker Yields'!$I$8+'Financial Model Eth. Furn. Add.'!CG14*'Cracker Yields'!$J$8+'Financial Model Eth. Furn. Add.'!CG15*'Cracker Yields'!$K$8</f>
        <v>9845.7479999999996</v>
      </c>
      <c r="CH20" s="882">
        <f>CH12*'Cracker Yields'!$H$8+'Financial Model Eth. Furn. Add.'!CH13*'Cracker Yields'!$I$8+'Financial Model Eth. Furn. Add.'!CH14*'Cracker Yields'!$J$8+'Financial Model Eth. Furn. Add.'!CH15*'Cracker Yields'!$K$8</f>
        <v>9845.7479999999996</v>
      </c>
      <c r="CI20" s="882">
        <f>CI12*'Cracker Yields'!$H$8+'Financial Model Eth. Furn. Add.'!CI13*'Cracker Yields'!$I$8+'Financial Model Eth. Furn. Add.'!CI14*'Cracker Yields'!$J$8+'Financial Model Eth. Furn. Add.'!CI15*'Cracker Yields'!$K$8</f>
        <v>9845.7479999999996</v>
      </c>
      <c r="CJ20" s="882">
        <f>CJ12*'Cracker Yields'!$H$8+'Financial Model Eth. Furn. Add.'!CJ13*'Cracker Yields'!$I$8+'Financial Model Eth. Furn. Add.'!CJ14*'Cracker Yields'!$J$8+'Financial Model Eth. Furn. Add.'!CJ15*'Cracker Yields'!$K$8</f>
        <v>9845.7479999999996</v>
      </c>
      <c r="CK20" s="882">
        <f>CK12*'Cracker Yields'!$H$8+'Financial Model Eth. Furn. Add.'!CK13*'Cracker Yields'!$I$8+'Financial Model Eth. Furn. Add.'!CK14*'Cracker Yields'!$J$8+'Financial Model Eth. Furn. Add.'!CK15*'Cracker Yields'!$K$8</f>
        <v>9845.7479999999996</v>
      </c>
      <c r="CL20" s="882">
        <f>CL12*'Cracker Yields'!$H$8+'Financial Model Eth. Furn. Add.'!CL13*'Cracker Yields'!$I$8+'Financial Model Eth. Furn. Add.'!CL14*'Cracker Yields'!$J$8+'Financial Model Eth. Furn. Add.'!CL15*'Cracker Yields'!$K$8</f>
        <v>9845.7479999999996</v>
      </c>
      <c r="CM20" s="53">
        <f t="shared" si="0"/>
        <v>9845.7480000000123</v>
      </c>
      <c r="CN20" s="347"/>
      <c r="CO20" s="347"/>
      <c r="CP20" s="347"/>
      <c r="CQ20" s="347"/>
      <c r="CR20" s="347"/>
      <c r="CS20" s="347"/>
      <c r="CT20" s="347"/>
      <c r="CU20" s="347"/>
      <c r="CV20" s="347"/>
      <c r="CW20" s="347"/>
      <c r="CX20" s="347"/>
      <c r="CY20" s="347"/>
      <c r="CZ20" s="347"/>
      <c r="DA20" s="347"/>
      <c r="DB20" s="347"/>
      <c r="DC20" s="347"/>
      <c r="DD20" s="347"/>
      <c r="DE20" s="347"/>
      <c r="DF20" s="347"/>
      <c r="DG20" s="347"/>
      <c r="DH20" s="347"/>
      <c r="DI20" s="347"/>
      <c r="DJ20" s="347"/>
      <c r="DK20" s="347"/>
      <c r="DL20" s="347"/>
      <c r="DM20" s="347"/>
      <c r="DN20" s="347"/>
      <c r="DO20" s="347"/>
      <c r="DP20" s="347"/>
      <c r="DQ20" s="347"/>
      <c r="DR20" s="347"/>
      <c r="DS20" s="347"/>
      <c r="DT20" s="347"/>
      <c r="DU20" s="347"/>
      <c r="DV20" s="347"/>
      <c r="DW20" s="347"/>
      <c r="DX20" s="347"/>
      <c r="DY20" s="347"/>
      <c r="DZ20" s="347"/>
      <c r="EA20" s="347"/>
      <c r="EB20" s="347"/>
      <c r="EC20" s="347"/>
      <c r="ED20" s="347"/>
      <c r="EE20" s="347"/>
      <c r="EF20" s="347"/>
      <c r="EG20" s="347"/>
      <c r="EH20" s="347"/>
      <c r="EI20" s="347"/>
      <c r="EJ20" s="347"/>
      <c r="EK20" s="347"/>
      <c r="EL20" s="347"/>
      <c r="EM20" s="347"/>
      <c r="EN20" s="347"/>
      <c r="EO20" s="347"/>
      <c r="EP20" s="347"/>
      <c r="EQ20" s="347"/>
      <c r="ER20" s="347"/>
      <c r="ES20" s="347"/>
      <c r="ET20" s="347"/>
      <c r="EU20" s="347"/>
      <c r="EV20" s="347"/>
      <c r="EW20" s="347"/>
      <c r="EX20" s="347"/>
      <c r="EY20" s="347"/>
      <c r="EZ20" s="347"/>
      <c r="FA20" s="347"/>
      <c r="FB20" s="347"/>
      <c r="FC20" s="347"/>
      <c r="FD20" s="347"/>
      <c r="FE20" s="347"/>
      <c r="FF20" s="347"/>
      <c r="FG20" s="347"/>
      <c r="FH20" s="347"/>
      <c r="FI20" s="347"/>
      <c r="FJ20" s="347"/>
      <c r="FK20" s="347"/>
      <c r="FL20" s="347"/>
      <c r="FM20" s="347"/>
      <c r="FN20" s="347"/>
      <c r="FO20" s="347"/>
      <c r="FP20" s="347"/>
      <c r="FQ20" s="347"/>
      <c r="FR20" s="347"/>
      <c r="FS20" s="347"/>
      <c r="FT20" s="347"/>
      <c r="FU20" s="347"/>
      <c r="FV20" s="347"/>
    </row>
    <row r="21" spans="1:178">
      <c r="A21" s="1409"/>
      <c r="B21" s="1154" t="s">
        <v>403</v>
      </c>
      <c r="C21" s="581" t="s">
        <v>402</v>
      </c>
      <c r="D21" s="581"/>
      <c r="E21" s="1412"/>
      <c r="F21" s="881" t="str">
        <f>F10</f>
        <v xml:space="preserve"> CBFS </v>
      </c>
      <c r="G21" s="1325">
        <f>G12*'Cracker Yields'!$H$5+'Financial Model Eth. Furn. Add.'!G13*'Cracker Yields'!$I$5+'Financial Model Eth. Furn. Add.'!G14*'Cracker Yields'!$J$5+'Financial Model Eth. Furn. Add.'!G15*'Cracker Yields'!$K$5</f>
        <v>3781.75</v>
      </c>
      <c r="H21" s="882">
        <f>H12*'Cracker Yields'!$H$5+'Financial Model Eth. Furn. Add.'!H13*'Cracker Yields'!$I$5+'Financial Model Eth. Furn. Add.'!H14*'Cracker Yields'!$J$5+'Financial Model Eth. Furn. Add.'!H15*'Cracker Yields'!$K$5</f>
        <v>3781.75</v>
      </c>
      <c r="I21" s="882">
        <f>I12*'Cracker Yields'!$H$5+'Financial Model Eth. Furn. Add.'!I13*'Cracker Yields'!$I$5+'Financial Model Eth. Furn. Add.'!I14*'Cracker Yields'!$J$5+'Financial Model Eth. Furn. Add.'!I15*'Cracker Yields'!$K$5</f>
        <v>3781.75</v>
      </c>
      <c r="J21" s="882">
        <f>J12*'Cracker Yields'!$H$5+'Financial Model Eth. Furn. Add.'!J13*'Cracker Yields'!$I$5+'Financial Model Eth. Furn. Add.'!J14*'Cracker Yields'!$J$5+'Financial Model Eth. Furn. Add.'!J15*'Cracker Yields'!$K$5</f>
        <v>3781.75</v>
      </c>
      <c r="K21" s="882">
        <f>K12*'Cracker Yields'!$H$5+'Financial Model Eth. Furn. Add.'!K13*'Cracker Yields'!$I$5+'Financial Model Eth. Furn. Add.'!K14*'Cracker Yields'!$J$5+'Financial Model Eth. Furn. Add.'!K15*'Cracker Yields'!$K$5</f>
        <v>3781.75</v>
      </c>
      <c r="L21" s="882">
        <f>L12*'Cracker Yields'!$H$5+'Financial Model Eth. Furn. Add.'!L13*'Cracker Yields'!$I$5+'Financial Model Eth. Furn. Add.'!L14*'Cracker Yields'!$J$5+'Financial Model Eth. Furn. Add.'!L15*'Cracker Yields'!$K$5</f>
        <v>3781.75</v>
      </c>
      <c r="M21" s="882">
        <f>M12*'Cracker Yields'!$H$5+'Financial Model Eth. Furn. Add.'!M13*'Cracker Yields'!$I$5+'Financial Model Eth. Furn. Add.'!M14*'Cracker Yields'!$J$5+'Financial Model Eth. Furn. Add.'!M15*'Cracker Yields'!$K$5</f>
        <v>3781.75</v>
      </c>
      <c r="N21" s="882">
        <f>N12*'Cracker Yields'!$H$5+'Financial Model Eth. Furn. Add.'!N13*'Cracker Yields'!$I$5+'Financial Model Eth. Furn. Add.'!N14*'Cracker Yields'!$J$5+'Financial Model Eth. Furn. Add.'!N15*'Cracker Yields'!$K$5</f>
        <v>3781.75</v>
      </c>
      <c r="O21" s="882">
        <f>O12*'Cracker Yields'!$H$5+'Financial Model Eth. Furn. Add.'!O13*'Cracker Yields'!$I$5+'Financial Model Eth. Furn. Add.'!O14*'Cracker Yields'!$J$5+'Financial Model Eth. Furn. Add.'!O15*'Cracker Yields'!$K$5</f>
        <v>3781.75</v>
      </c>
      <c r="P21" s="882">
        <f>P12*'Cracker Yields'!$H$5+'Financial Model Eth. Furn. Add.'!P13*'Cracker Yields'!$I$5+'Financial Model Eth. Furn. Add.'!P14*'Cracker Yields'!$J$5+'Financial Model Eth. Furn. Add.'!P15*'Cracker Yields'!$K$5</f>
        <v>3781.75</v>
      </c>
      <c r="Q21" s="882">
        <f>Q12*'Cracker Yields'!$H$5+'Financial Model Eth. Furn. Add.'!Q13*'Cracker Yields'!$I$5+'Financial Model Eth. Furn. Add.'!Q14*'Cracker Yields'!$J$5+'Financial Model Eth. Furn. Add.'!Q15*'Cracker Yields'!$K$5</f>
        <v>3781.75</v>
      </c>
      <c r="R21" s="882">
        <f>R12*'Cracker Yields'!$H$5+'Financial Model Eth. Furn. Add.'!R13*'Cracker Yields'!$I$5+'Financial Model Eth. Furn. Add.'!R14*'Cracker Yields'!$J$5+'Financial Model Eth. Furn. Add.'!R15*'Cracker Yields'!$K$5</f>
        <v>3781.75</v>
      </c>
      <c r="S21" s="882">
        <f>S12*'Cracker Yields'!$H$5+'Financial Model Eth. Furn. Add.'!S13*'Cracker Yields'!$I$5+'Financial Model Eth. Furn. Add.'!S14*'Cracker Yields'!$J$5+'Financial Model Eth. Furn. Add.'!S15*'Cracker Yields'!$K$5</f>
        <v>3781.75</v>
      </c>
      <c r="T21" s="882">
        <f>T12*'Cracker Yields'!$H$5+'Financial Model Eth. Furn. Add.'!T13*'Cracker Yields'!$I$5+'Financial Model Eth. Furn. Add.'!T14*'Cracker Yields'!$J$5+'Financial Model Eth. Furn. Add.'!T15*'Cracker Yields'!$K$5</f>
        <v>3781.75</v>
      </c>
      <c r="U21" s="882">
        <f>U12*'Cracker Yields'!$H$5+'Financial Model Eth. Furn. Add.'!U13*'Cracker Yields'!$I$5+'Financial Model Eth. Furn. Add.'!U14*'Cracker Yields'!$J$5+'Financial Model Eth. Furn. Add.'!U15*'Cracker Yields'!$K$5</f>
        <v>3781.75</v>
      </c>
      <c r="V21" s="882">
        <f>V12*'Cracker Yields'!$H$5+'Financial Model Eth. Furn. Add.'!V13*'Cracker Yields'!$I$5+'Financial Model Eth. Furn. Add.'!V14*'Cracker Yields'!$J$5+'Financial Model Eth. Furn. Add.'!V15*'Cracker Yields'!$K$5</f>
        <v>3781.75</v>
      </c>
      <c r="W21" s="882">
        <f>W12*'Cracker Yields'!$H$5+'Financial Model Eth. Furn. Add.'!W13*'Cracker Yields'!$I$5+'Financial Model Eth. Furn. Add.'!W14*'Cracker Yields'!$J$5+'Financial Model Eth. Furn. Add.'!W15*'Cracker Yields'!$K$5</f>
        <v>3781.75</v>
      </c>
      <c r="X21" s="882">
        <f>X12*'Cracker Yields'!$H$5+'Financial Model Eth. Furn. Add.'!X13*'Cracker Yields'!$I$5+'Financial Model Eth. Furn. Add.'!X14*'Cracker Yields'!$J$5+'Financial Model Eth. Furn. Add.'!X15*'Cracker Yields'!$K$5</f>
        <v>3781.75</v>
      </c>
      <c r="Y21" s="882">
        <f>Y12*'Cracker Yields'!$H$5+'Financial Model Eth. Furn. Add.'!Y13*'Cracker Yields'!$I$5+'Financial Model Eth. Furn. Add.'!Y14*'Cracker Yields'!$J$5+'Financial Model Eth. Furn. Add.'!Y15*'Cracker Yields'!$K$5</f>
        <v>3781.75</v>
      </c>
      <c r="Z21" s="882">
        <f>Z12*'Cracker Yields'!$H$5+'Financial Model Eth. Furn. Add.'!Z13*'Cracker Yields'!$I$5+'Financial Model Eth. Furn. Add.'!Z14*'Cracker Yields'!$J$5+'Financial Model Eth. Furn. Add.'!Z15*'Cracker Yields'!$K$5</f>
        <v>3781.75</v>
      </c>
      <c r="AA21" s="882">
        <f>AA12*'Cracker Yields'!$H$5+'Financial Model Eth. Furn. Add.'!AA13*'Cracker Yields'!$I$5+'Financial Model Eth. Furn. Add.'!AA14*'Cracker Yields'!$J$5+'Financial Model Eth. Furn. Add.'!AA15*'Cracker Yields'!$K$5</f>
        <v>3781.75</v>
      </c>
      <c r="AB21" s="882">
        <f>AB12*'Cracker Yields'!$H$5+'Financial Model Eth. Furn. Add.'!AB13*'Cracker Yields'!$I$5+'Financial Model Eth. Furn. Add.'!AB14*'Cracker Yields'!$J$5+'Financial Model Eth. Furn. Add.'!AB15*'Cracker Yields'!$K$5</f>
        <v>3781.75</v>
      </c>
      <c r="AC21" s="882">
        <f>AC12*'Cracker Yields'!$H$5+'Financial Model Eth. Furn. Add.'!AC13*'Cracker Yields'!$I$5+'Financial Model Eth. Furn. Add.'!AC14*'Cracker Yields'!$J$5+'Financial Model Eth. Furn. Add.'!AC15*'Cracker Yields'!$K$5</f>
        <v>3781.75</v>
      </c>
      <c r="AD21" s="882">
        <f>AD12*'Cracker Yields'!$H$5+'Financial Model Eth. Furn. Add.'!AD13*'Cracker Yields'!$I$5+'Financial Model Eth. Furn. Add.'!AD14*'Cracker Yields'!$J$5+'Financial Model Eth. Furn. Add.'!AD15*'Cracker Yields'!$K$5</f>
        <v>3781.75</v>
      </c>
      <c r="AE21" s="882">
        <f>AE12*'Cracker Yields'!$H$5+'Financial Model Eth. Furn. Add.'!AE13*'Cracker Yields'!$I$5+'Financial Model Eth. Furn. Add.'!AE14*'Cracker Yields'!$J$5+'Financial Model Eth. Furn. Add.'!AE15*'Cracker Yields'!$K$5</f>
        <v>3781.75</v>
      </c>
      <c r="AF21" s="882">
        <f>AF12*'Cracker Yields'!$H$5+'Financial Model Eth. Furn. Add.'!AF13*'Cracker Yields'!$I$5+'Financial Model Eth. Furn. Add.'!AF14*'Cracker Yields'!$J$5+'Financial Model Eth. Furn. Add.'!AF15*'Cracker Yields'!$K$5</f>
        <v>3781.75</v>
      </c>
      <c r="AG21" s="882">
        <f>AG12*'Cracker Yields'!$H$5+'Financial Model Eth. Furn. Add.'!AG13*'Cracker Yields'!$I$5+'Financial Model Eth. Furn. Add.'!AG14*'Cracker Yields'!$J$5+'Financial Model Eth. Furn. Add.'!AG15*'Cracker Yields'!$K$5</f>
        <v>3781.75</v>
      </c>
      <c r="AH21" s="882">
        <f>AH12*'Cracker Yields'!$H$5+'Financial Model Eth. Furn. Add.'!AH13*'Cracker Yields'!$I$5+'Financial Model Eth. Furn. Add.'!AH14*'Cracker Yields'!$J$5+'Financial Model Eth. Furn. Add.'!AH15*'Cracker Yields'!$K$5</f>
        <v>3781.75</v>
      </c>
      <c r="AI21" s="882">
        <f>AI12*'Cracker Yields'!$H$5+'Financial Model Eth. Furn. Add.'!AI13*'Cracker Yields'!$I$5+'Financial Model Eth. Furn. Add.'!AI14*'Cracker Yields'!$J$5+'Financial Model Eth. Furn. Add.'!AI15*'Cracker Yields'!$K$5</f>
        <v>3781.75</v>
      </c>
      <c r="AJ21" s="882">
        <f>AJ12*'Cracker Yields'!$H$5+'Financial Model Eth. Furn. Add.'!AJ13*'Cracker Yields'!$I$5+'Financial Model Eth. Furn. Add.'!AJ14*'Cracker Yields'!$J$5+'Financial Model Eth. Furn. Add.'!AJ15*'Cracker Yields'!$K$5</f>
        <v>3781.75</v>
      </c>
      <c r="AK21" s="882">
        <f>AK12*'Cracker Yields'!$H$5+'Financial Model Eth. Furn. Add.'!AK13*'Cracker Yields'!$I$5+'Financial Model Eth. Furn. Add.'!AK14*'Cracker Yields'!$J$5+'Financial Model Eth. Furn. Add.'!AK15*'Cracker Yields'!$K$5</f>
        <v>3781.75</v>
      </c>
      <c r="AL21" s="882">
        <f>AL12*'Cracker Yields'!$H$5+'Financial Model Eth. Furn. Add.'!AL13*'Cracker Yields'!$I$5+'Financial Model Eth. Furn. Add.'!AL14*'Cracker Yields'!$J$5+'Financial Model Eth. Furn. Add.'!AL15*'Cracker Yields'!$K$5</f>
        <v>3781.75</v>
      </c>
      <c r="AM21" s="882">
        <f>AM12*'Cracker Yields'!$H$5+'Financial Model Eth. Furn. Add.'!AM13*'Cracker Yields'!$I$5+'Financial Model Eth. Furn. Add.'!AM14*'Cracker Yields'!$J$5+'Financial Model Eth. Furn. Add.'!AM15*'Cracker Yields'!$K$5</f>
        <v>3781.75</v>
      </c>
      <c r="AN21" s="882">
        <f>AN12*'Cracker Yields'!$H$5+'Financial Model Eth. Furn. Add.'!AN13*'Cracker Yields'!$I$5+'Financial Model Eth. Furn. Add.'!AN14*'Cracker Yields'!$J$5+'Financial Model Eth. Furn. Add.'!AN15*'Cracker Yields'!$K$5</f>
        <v>3781.75</v>
      </c>
      <c r="AO21" s="882">
        <f>AO12*'Cracker Yields'!$H$5+'Financial Model Eth. Furn. Add.'!AO13*'Cracker Yields'!$I$5+'Financial Model Eth. Furn. Add.'!AO14*'Cracker Yields'!$J$5+'Financial Model Eth. Furn. Add.'!AO15*'Cracker Yields'!$K$5</f>
        <v>3781.75</v>
      </c>
      <c r="AP21" s="882">
        <f>AP12*'Cracker Yields'!$H$5+'Financial Model Eth. Furn. Add.'!AP13*'Cracker Yields'!$I$5+'Financial Model Eth. Furn. Add.'!AP14*'Cracker Yields'!$J$5+'Financial Model Eth. Furn. Add.'!AP15*'Cracker Yields'!$K$5</f>
        <v>3781.75</v>
      </c>
      <c r="AQ21" s="882">
        <f>AQ12*'Cracker Yields'!$H$5+'Financial Model Eth. Furn. Add.'!AQ13*'Cracker Yields'!$I$5+'Financial Model Eth. Furn. Add.'!AQ14*'Cracker Yields'!$J$5+'Financial Model Eth. Furn. Add.'!AQ15*'Cracker Yields'!$K$5</f>
        <v>3781.75</v>
      </c>
      <c r="AR21" s="882">
        <f>AR12*'Cracker Yields'!$H$5+'Financial Model Eth. Furn. Add.'!AR13*'Cracker Yields'!$I$5+'Financial Model Eth. Furn. Add.'!AR14*'Cracker Yields'!$J$5+'Financial Model Eth. Furn. Add.'!AR15*'Cracker Yields'!$K$5</f>
        <v>3781.75</v>
      </c>
      <c r="AS21" s="882">
        <f>AS12*'Cracker Yields'!$H$5+'Financial Model Eth. Furn. Add.'!AS13*'Cracker Yields'!$I$5+'Financial Model Eth. Furn. Add.'!AS14*'Cracker Yields'!$J$5+'Financial Model Eth. Furn. Add.'!AS15*'Cracker Yields'!$K$5</f>
        <v>3781.75</v>
      </c>
      <c r="AT21" s="882">
        <f>AT12*'Cracker Yields'!$H$5+'Financial Model Eth. Furn. Add.'!AT13*'Cracker Yields'!$I$5+'Financial Model Eth. Furn. Add.'!AT14*'Cracker Yields'!$J$5+'Financial Model Eth. Furn. Add.'!AT15*'Cracker Yields'!$K$5</f>
        <v>3781.75</v>
      </c>
      <c r="AU21" s="882">
        <f>AU12*'Cracker Yields'!$H$5+'Financial Model Eth. Furn. Add.'!AU13*'Cracker Yields'!$I$5+'Financial Model Eth. Furn. Add.'!AU14*'Cracker Yields'!$J$5+'Financial Model Eth. Furn. Add.'!AU15*'Cracker Yields'!$K$5</f>
        <v>3781.75</v>
      </c>
      <c r="AV21" s="882">
        <f>AV12*'Cracker Yields'!$H$5+'Financial Model Eth. Furn. Add.'!AV13*'Cracker Yields'!$I$5+'Financial Model Eth. Furn. Add.'!AV14*'Cracker Yields'!$J$5+'Financial Model Eth. Furn. Add.'!AV15*'Cracker Yields'!$K$5</f>
        <v>3781.75</v>
      </c>
      <c r="AW21" s="882">
        <f>AW12*'Cracker Yields'!$H$5+'Financial Model Eth. Furn. Add.'!AW13*'Cracker Yields'!$I$5+'Financial Model Eth. Furn. Add.'!AW14*'Cracker Yields'!$J$5+'Financial Model Eth. Furn. Add.'!AW15*'Cracker Yields'!$K$5</f>
        <v>3781.75</v>
      </c>
      <c r="AX21" s="882">
        <f>AX12*'Cracker Yields'!$H$5+'Financial Model Eth. Furn. Add.'!AX13*'Cracker Yields'!$I$5+'Financial Model Eth. Furn. Add.'!AX14*'Cracker Yields'!$J$5+'Financial Model Eth. Furn. Add.'!AX15*'Cracker Yields'!$K$5</f>
        <v>3781.75</v>
      </c>
      <c r="AY21" s="882">
        <f>AY12*'Cracker Yields'!$H$5+'Financial Model Eth. Furn. Add.'!AY13*'Cracker Yields'!$I$5+'Financial Model Eth. Furn. Add.'!AY14*'Cracker Yields'!$J$5+'Financial Model Eth. Furn. Add.'!AY15*'Cracker Yields'!$K$5</f>
        <v>3781.75</v>
      </c>
      <c r="AZ21" s="882">
        <f>AZ12*'Cracker Yields'!$H$5+'Financial Model Eth. Furn. Add.'!AZ13*'Cracker Yields'!$I$5+'Financial Model Eth. Furn. Add.'!AZ14*'Cracker Yields'!$J$5+'Financial Model Eth. Furn. Add.'!AZ15*'Cracker Yields'!$K$5</f>
        <v>3781.75</v>
      </c>
      <c r="BA21" s="882">
        <f>BA12*'Cracker Yields'!$H$5+'Financial Model Eth. Furn. Add.'!BA13*'Cracker Yields'!$I$5+'Financial Model Eth. Furn. Add.'!BA14*'Cracker Yields'!$J$5+'Financial Model Eth. Furn. Add.'!BA15*'Cracker Yields'!$K$5</f>
        <v>3781.75</v>
      </c>
      <c r="BB21" s="882">
        <f>BB12*'Cracker Yields'!$H$5+'Financial Model Eth. Furn. Add.'!BB13*'Cracker Yields'!$I$5+'Financial Model Eth. Furn. Add.'!BB14*'Cracker Yields'!$J$5+'Financial Model Eth. Furn. Add.'!BB15*'Cracker Yields'!$K$5</f>
        <v>3781.75</v>
      </c>
      <c r="BC21" s="882">
        <f>BC12*'Cracker Yields'!$H$5+'Financial Model Eth. Furn. Add.'!BC13*'Cracker Yields'!$I$5+'Financial Model Eth. Furn. Add.'!BC14*'Cracker Yields'!$J$5+'Financial Model Eth. Furn. Add.'!BC15*'Cracker Yields'!$K$5</f>
        <v>3781.75</v>
      </c>
      <c r="BD21" s="882">
        <f>BD12*'Cracker Yields'!$H$5+'Financial Model Eth. Furn. Add.'!BD13*'Cracker Yields'!$I$5+'Financial Model Eth. Furn. Add.'!BD14*'Cracker Yields'!$J$5+'Financial Model Eth. Furn. Add.'!BD15*'Cracker Yields'!$K$5</f>
        <v>3781.75</v>
      </c>
      <c r="BE21" s="882">
        <f>BE12*'Cracker Yields'!$H$5+'Financial Model Eth. Furn. Add.'!BE13*'Cracker Yields'!$I$5+'Financial Model Eth. Furn. Add.'!BE14*'Cracker Yields'!$J$5+'Financial Model Eth. Furn. Add.'!BE15*'Cracker Yields'!$K$5</f>
        <v>3781.75</v>
      </c>
      <c r="BF21" s="882">
        <f>BF12*'Cracker Yields'!$H$5+'Financial Model Eth. Furn. Add.'!BF13*'Cracker Yields'!$I$5+'Financial Model Eth. Furn. Add.'!BF14*'Cracker Yields'!$J$5+'Financial Model Eth. Furn. Add.'!BF15*'Cracker Yields'!$K$5</f>
        <v>3781.75</v>
      </c>
      <c r="BG21" s="882">
        <f>BG12*'Cracker Yields'!$H$5+'Financial Model Eth. Furn. Add.'!BG13*'Cracker Yields'!$I$5+'Financial Model Eth. Furn. Add.'!BG14*'Cracker Yields'!$J$5+'Financial Model Eth. Furn. Add.'!BG15*'Cracker Yields'!$K$5</f>
        <v>3781.75</v>
      </c>
      <c r="BH21" s="882">
        <f>BH12*'Cracker Yields'!$H$5+'Financial Model Eth. Furn. Add.'!BH13*'Cracker Yields'!$I$5+'Financial Model Eth. Furn. Add.'!BH14*'Cracker Yields'!$J$5+'Financial Model Eth. Furn. Add.'!BH15*'Cracker Yields'!$K$5</f>
        <v>3781.75</v>
      </c>
      <c r="BI21" s="882">
        <f>BI12*'Cracker Yields'!$H$5+'Financial Model Eth. Furn. Add.'!BI13*'Cracker Yields'!$I$5+'Financial Model Eth. Furn. Add.'!BI14*'Cracker Yields'!$J$5+'Financial Model Eth. Furn. Add.'!BI15*'Cracker Yields'!$K$5</f>
        <v>3781.75</v>
      </c>
      <c r="BJ21" s="882">
        <f>BJ12*'Cracker Yields'!$H$5+'Financial Model Eth. Furn. Add.'!BJ13*'Cracker Yields'!$I$5+'Financial Model Eth. Furn. Add.'!BJ14*'Cracker Yields'!$J$5+'Financial Model Eth. Furn. Add.'!BJ15*'Cracker Yields'!$K$5</f>
        <v>3781.75</v>
      </c>
      <c r="BK21" s="882">
        <f>BK12*'Cracker Yields'!$H$5+'Financial Model Eth. Furn. Add.'!BK13*'Cracker Yields'!$I$5+'Financial Model Eth. Furn. Add.'!BK14*'Cracker Yields'!$J$5+'Financial Model Eth. Furn. Add.'!BK15*'Cracker Yields'!$K$5</f>
        <v>3781.75</v>
      </c>
      <c r="BL21" s="882">
        <f>BL12*'Cracker Yields'!$H$5+'Financial Model Eth. Furn. Add.'!BL13*'Cracker Yields'!$I$5+'Financial Model Eth. Furn. Add.'!BL14*'Cracker Yields'!$J$5+'Financial Model Eth. Furn. Add.'!BL15*'Cracker Yields'!$K$5</f>
        <v>3781.75</v>
      </c>
      <c r="BM21" s="882">
        <f>BM12*'Cracker Yields'!$H$5+'Financial Model Eth. Furn. Add.'!BM13*'Cracker Yields'!$I$5+'Financial Model Eth. Furn. Add.'!BM14*'Cracker Yields'!$J$5+'Financial Model Eth. Furn. Add.'!BM15*'Cracker Yields'!$K$5</f>
        <v>3781.75</v>
      </c>
      <c r="BN21" s="882">
        <f>BN12*'Cracker Yields'!$H$5+'Financial Model Eth. Furn. Add.'!BN13*'Cracker Yields'!$I$5+'Financial Model Eth. Furn. Add.'!BN14*'Cracker Yields'!$J$5+'Financial Model Eth. Furn. Add.'!BN15*'Cracker Yields'!$K$5</f>
        <v>3781.75</v>
      </c>
      <c r="BO21" s="882">
        <f>BO12*'Cracker Yields'!$H$5+'Financial Model Eth. Furn. Add.'!BO13*'Cracker Yields'!$I$5+'Financial Model Eth. Furn. Add.'!BO14*'Cracker Yields'!$J$5+'Financial Model Eth. Furn. Add.'!BO15*'Cracker Yields'!$K$5</f>
        <v>3781.75</v>
      </c>
      <c r="BP21" s="882">
        <f>BP12*'Cracker Yields'!$H$5+'Financial Model Eth. Furn. Add.'!BP13*'Cracker Yields'!$I$5+'Financial Model Eth. Furn. Add.'!BP14*'Cracker Yields'!$J$5+'Financial Model Eth. Furn. Add.'!BP15*'Cracker Yields'!$K$5</f>
        <v>3781.75</v>
      </c>
      <c r="BQ21" s="882">
        <f>BQ12*'Cracker Yields'!$H$5+'Financial Model Eth. Furn. Add.'!BQ13*'Cracker Yields'!$I$5+'Financial Model Eth. Furn. Add.'!BQ14*'Cracker Yields'!$J$5+'Financial Model Eth. Furn. Add.'!BQ15*'Cracker Yields'!$K$5</f>
        <v>3781.75</v>
      </c>
      <c r="BR21" s="882">
        <f>BR12*'Cracker Yields'!$H$5+'Financial Model Eth. Furn. Add.'!BR13*'Cracker Yields'!$I$5+'Financial Model Eth. Furn. Add.'!BR14*'Cracker Yields'!$J$5+'Financial Model Eth. Furn. Add.'!BR15*'Cracker Yields'!$K$5</f>
        <v>3781.75</v>
      </c>
      <c r="BS21" s="882">
        <f>BS12*'Cracker Yields'!$H$5+'Financial Model Eth. Furn. Add.'!BS13*'Cracker Yields'!$I$5+'Financial Model Eth. Furn. Add.'!BS14*'Cracker Yields'!$J$5+'Financial Model Eth. Furn. Add.'!BS15*'Cracker Yields'!$K$5</f>
        <v>3781.75</v>
      </c>
      <c r="BT21" s="882">
        <f>BT12*'Cracker Yields'!$H$5+'Financial Model Eth. Furn. Add.'!BT13*'Cracker Yields'!$I$5+'Financial Model Eth. Furn. Add.'!BT14*'Cracker Yields'!$J$5+'Financial Model Eth. Furn. Add.'!BT15*'Cracker Yields'!$K$5</f>
        <v>3781.75</v>
      </c>
      <c r="BU21" s="882">
        <f>BU12*'Cracker Yields'!$H$5+'Financial Model Eth. Furn. Add.'!BU13*'Cracker Yields'!$I$5+'Financial Model Eth. Furn. Add.'!BU14*'Cracker Yields'!$J$5+'Financial Model Eth. Furn. Add.'!BU15*'Cracker Yields'!$K$5</f>
        <v>3781.75</v>
      </c>
      <c r="BV21" s="882">
        <f>BV12*'Cracker Yields'!$H$5+'Financial Model Eth. Furn. Add.'!BV13*'Cracker Yields'!$I$5+'Financial Model Eth. Furn. Add.'!BV14*'Cracker Yields'!$J$5+'Financial Model Eth. Furn. Add.'!BV15*'Cracker Yields'!$K$5</f>
        <v>3781.75</v>
      </c>
      <c r="BW21" s="882">
        <f>BW12*'Cracker Yields'!$H$5+'Financial Model Eth. Furn. Add.'!BW13*'Cracker Yields'!$I$5+'Financial Model Eth. Furn. Add.'!BW14*'Cracker Yields'!$J$5+'Financial Model Eth. Furn. Add.'!BW15*'Cracker Yields'!$K$5</f>
        <v>3781.75</v>
      </c>
      <c r="BX21" s="882">
        <f>BX12*'Cracker Yields'!$H$5+'Financial Model Eth. Furn. Add.'!BX13*'Cracker Yields'!$I$5+'Financial Model Eth. Furn. Add.'!BX14*'Cracker Yields'!$J$5+'Financial Model Eth. Furn. Add.'!BX15*'Cracker Yields'!$K$5</f>
        <v>3781.75</v>
      </c>
      <c r="BY21" s="882">
        <f>BY12*'Cracker Yields'!$H$5+'Financial Model Eth. Furn. Add.'!BY13*'Cracker Yields'!$I$5+'Financial Model Eth. Furn. Add.'!BY14*'Cracker Yields'!$J$5+'Financial Model Eth. Furn. Add.'!BY15*'Cracker Yields'!$K$5</f>
        <v>3781.75</v>
      </c>
      <c r="BZ21" s="882">
        <f>BZ12*'Cracker Yields'!$H$5+'Financial Model Eth. Furn. Add.'!BZ13*'Cracker Yields'!$I$5+'Financial Model Eth. Furn. Add.'!BZ14*'Cracker Yields'!$J$5+'Financial Model Eth. Furn. Add.'!BZ15*'Cracker Yields'!$K$5</f>
        <v>3781.75</v>
      </c>
      <c r="CA21" s="882">
        <f>CA12*'Cracker Yields'!$H$5+'Financial Model Eth. Furn. Add.'!CA13*'Cracker Yields'!$I$5+'Financial Model Eth. Furn. Add.'!CA14*'Cracker Yields'!$J$5+'Financial Model Eth. Furn. Add.'!CA15*'Cracker Yields'!$K$5</f>
        <v>3781.75</v>
      </c>
      <c r="CB21" s="882">
        <f>CB12*'Cracker Yields'!$H$5+'Financial Model Eth. Furn. Add.'!CB13*'Cracker Yields'!$I$5+'Financial Model Eth. Furn. Add.'!CB14*'Cracker Yields'!$J$5+'Financial Model Eth. Furn. Add.'!CB15*'Cracker Yields'!$K$5</f>
        <v>3781.75</v>
      </c>
      <c r="CC21" s="882">
        <f>CC12*'Cracker Yields'!$H$5+'Financial Model Eth. Furn. Add.'!CC13*'Cracker Yields'!$I$5+'Financial Model Eth. Furn. Add.'!CC14*'Cracker Yields'!$J$5+'Financial Model Eth. Furn. Add.'!CC15*'Cracker Yields'!$K$5</f>
        <v>3781.75</v>
      </c>
      <c r="CD21" s="882">
        <f>CD12*'Cracker Yields'!$H$5+'Financial Model Eth. Furn. Add.'!CD13*'Cracker Yields'!$I$5+'Financial Model Eth. Furn. Add.'!CD14*'Cracker Yields'!$J$5+'Financial Model Eth. Furn. Add.'!CD15*'Cracker Yields'!$K$5</f>
        <v>3781.75</v>
      </c>
      <c r="CE21" s="882">
        <f>CE12*'Cracker Yields'!$H$5+'Financial Model Eth. Furn. Add.'!CE13*'Cracker Yields'!$I$5+'Financial Model Eth. Furn. Add.'!CE14*'Cracker Yields'!$J$5+'Financial Model Eth. Furn. Add.'!CE15*'Cracker Yields'!$K$5</f>
        <v>3781.75</v>
      </c>
      <c r="CF21" s="882">
        <f>CF12*'Cracker Yields'!$H$5+'Financial Model Eth. Furn. Add.'!CF13*'Cracker Yields'!$I$5+'Financial Model Eth. Furn. Add.'!CF14*'Cracker Yields'!$J$5+'Financial Model Eth. Furn. Add.'!CF15*'Cracker Yields'!$K$5</f>
        <v>3781.75</v>
      </c>
      <c r="CG21" s="882">
        <f>CG12*'Cracker Yields'!$H$5+'Financial Model Eth. Furn. Add.'!CG13*'Cracker Yields'!$I$5+'Financial Model Eth. Furn. Add.'!CG14*'Cracker Yields'!$J$5+'Financial Model Eth. Furn. Add.'!CG15*'Cracker Yields'!$K$5</f>
        <v>3781.75</v>
      </c>
      <c r="CH21" s="882">
        <f>CH12*'Cracker Yields'!$H$5+'Financial Model Eth. Furn. Add.'!CH13*'Cracker Yields'!$I$5+'Financial Model Eth. Furn. Add.'!CH14*'Cracker Yields'!$J$5+'Financial Model Eth. Furn. Add.'!CH15*'Cracker Yields'!$K$5</f>
        <v>3781.75</v>
      </c>
      <c r="CI21" s="882">
        <f>CI12*'Cracker Yields'!$H$5+'Financial Model Eth. Furn. Add.'!CI13*'Cracker Yields'!$I$5+'Financial Model Eth. Furn. Add.'!CI14*'Cracker Yields'!$J$5+'Financial Model Eth. Furn. Add.'!CI15*'Cracker Yields'!$K$5</f>
        <v>3781.75</v>
      </c>
      <c r="CJ21" s="882">
        <f>CJ12*'Cracker Yields'!$H$5+'Financial Model Eth. Furn. Add.'!CJ13*'Cracker Yields'!$I$5+'Financial Model Eth. Furn. Add.'!CJ14*'Cracker Yields'!$J$5+'Financial Model Eth. Furn. Add.'!CJ15*'Cracker Yields'!$K$5</f>
        <v>3781.75</v>
      </c>
      <c r="CK21" s="882">
        <f>CK12*'Cracker Yields'!$H$5+'Financial Model Eth. Furn. Add.'!CK13*'Cracker Yields'!$I$5+'Financial Model Eth. Furn. Add.'!CK14*'Cracker Yields'!$J$5+'Financial Model Eth. Furn. Add.'!CK15*'Cracker Yields'!$K$5</f>
        <v>3781.75</v>
      </c>
      <c r="CL21" s="882">
        <f>CL12*'Cracker Yields'!$H$5+'Financial Model Eth. Furn. Add.'!CL13*'Cracker Yields'!$I$5+'Financial Model Eth. Furn. Add.'!CL14*'Cracker Yields'!$J$5+'Financial Model Eth. Furn. Add.'!CL15*'Cracker Yields'!$K$5</f>
        <v>3781.75</v>
      </c>
      <c r="CM21" s="53">
        <f t="shared" si="0"/>
        <v>3781.75</v>
      </c>
      <c r="CN21" s="347"/>
      <c r="CO21" s="347"/>
      <c r="CP21" s="347"/>
      <c r="CQ21" s="347"/>
      <c r="CR21" s="347"/>
      <c r="CS21" s="347"/>
      <c r="CT21" s="347"/>
      <c r="CU21" s="347"/>
      <c r="CV21" s="347"/>
      <c r="CW21" s="347"/>
      <c r="CX21" s="347"/>
      <c r="CY21" s="347"/>
      <c r="CZ21" s="347"/>
      <c r="DA21" s="347"/>
      <c r="DB21" s="347"/>
      <c r="DC21" s="347"/>
      <c r="DD21" s="347"/>
      <c r="DE21" s="347"/>
      <c r="DF21" s="347"/>
      <c r="DG21" s="347"/>
      <c r="DH21" s="347"/>
      <c r="DI21" s="347"/>
      <c r="DJ21" s="347"/>
      <c r="DK21" s="347"/>
      <c r="DL21" s="347"/>
      <c r="DM21" s="347"/>
      <c r="DN21" s="347"/>
      <c r="DO21" s="347"/>
      <c r="DP21" s="347"/>
      <c r="DQ21" s="347"/>
      <c r="DR21" s="347"/>
      <c r="DS21" s="347"/>
      <c r="DT21" s="347"/>
      <c r="DU21" s="347"/>
      <c r="DV21" s="347"/>
      <c r="DW21" s="347"/>
      <c r="DX21" s="347"/>
      <c r="DY21" s="347"/>
      <c r="DZ21" s="347"/>
      <c r="EA21" s="347"/>
      <c r="EB21" s="347"/>
      <c r="EC21" s="347"/>
      <c r="ED21" s="347"/>
      <c r="EE21" s="347"/>
      <c r="EF21" s="347"/>
      <c r="EG21" s="347"/>
      <c r="EH21" s="347"/>
      <c r="EI21" s="347"/>
      <c r="EJ21" s="347"/>
      <c r="EK21" s="347"/>
      <c r="EL21" s="347"/>
      <c r="EM21" s="347"/>
      <c r="EN21" s="347"/>
      <c r="EO21" s="347"/>
      <c r="EP21" s="347"/>
      <c r="EQ21" s="347"/>
      <c r="ER21" s="347"/>
      <c r="ES21" s="347"/>
      <c r="ET21" s="347"/>
      <c r="EU21" s="347"/>
      <c r="EV21" s="347"/>
      <c r="EW21" s="347"/>
      <c r="EX21" s="347"/>
      <c r="EY21" s="347"/>
      <c r="EZ21" s="347"/>
      <c r="FA21" s="347"/>
      <c r="FB21" s="347"/>
      <c r="FC21" s="347"/>
      <c r="FD21" s="347"/>
      <c r="FE21" s="347"/>
      <c r="FF21" s="347"/>
      <c r="FG21" s="347"/>
      <c r="FH21" s="347"/>
      <c r="FI21" s="347"/>
      <c r="FJ21" s="347"/>
      <c r="FK21" s="347"/>
      <c r="FL21" s="347"/>
      <c r="FM21" s="347"/>
      <c r="FN21" s="347"/>
      <c r="FO21" s="347"/>
      <c r="FP21" s="347"/>
      <c r="FQ21" s="347"/>
      <c r="FR21" s="347"/>
      <c r="FS21" s="347"/>
      <c r="FT21" s="347"/>
      <c r="FU21" s="347"/>
      <c r="FV21" s="347"/>
    </row>
    <row r="22" spans="1:178">
      <c r="A22" s="1410"/>
      <c r="B22" s="859" t="s">
        <v>403</v>
      </c>
      <c r="C22" s="860" t="s">
        <v>402</v>
      </c>
      <c r="D22" s="860"/>
      <c r="E22" s="1413"/>
      <c r="F22" s="883" t="str">
        <f>F11</f>
        <v xml:space="preserve"> C9+   </v>
      </c>
      <c r="G22" s="1325">
        <f>G12*'Cracker Yields'!$H$11+'Financial Model Eth. Furn. Add.'!G13*'Cracker Yields'!$I$11+'Financial Model Eth. Furn. Add.'!G14*'Cracker Yields'!$J$11+'Financial Model Eth. Furn. Add.'!G15*'Cracker Yields'!$K$11</f>
        <v>1772.2346400000001</v>
      </c>
      <c r="H22" s="884">
        <f>H12*'Cracker Yields'!$H$11+'Financial Model Eth. Furn. Add.'!H13*'Cracker Yields'!$I$11+'Financial Model Eth. Furn. Add.'!H14*'Cracker Yields'!$J$11+'Financial Model Eth. Furn. Add.'!H15*'Cracker Yields'!$K$11</f>
        <v>1772.2346400000001</v>
      </c>
      <c r="I22" s="884">
        <f>I12*'Cracker Yields'!$H$11+'Financial Model Eth. Furn. Add.'!I13*'Cracker Yields'!$I$11+'Financial Model Eth. Furn. Add.'!I14*'Cracker Yields'!$J$11+'Financial Model Eth. Furn. Add.'!I15*'Cracker Yields'!$K$11</f>
        <v>1772.2346400000001</v>
      </c>
      <c r="J22" s="884">
        <f>J12*'Cracker Yields'!$H$11+'Financial Model Eth. Furn. Add.'!J13*'Cracker Yields'!$I$11+'Financial Model Eth. Furn. Add.'!J14*'Cracker Yields'!$J$11+'Financial Model Eth. Furn. Add.'!J15*'Cracker Yields'!$K$11</f>
        <v>1772.2346400000001</v>
      </c>
      <c r="K22" s="884">
        <f>K12*'Cracker Yields'!$H$11+'Financial Model Eth. Furn. Add.'!K13*'Cracker Yields'!$I$11+'Financial Model Eth. Furn. Add.'!K14*'Cracker Yields'!$J$11+'Financial Model Eth. Furn. Add.'!K15*'Cracker Yields'!$K$11</f>
        <v>1772.2346400000001</v>
      </c>
      <c r="L22" s="884">
        <f>L12*'Cracker Yields'!$H$11+'Financial Model Eth. Furn. Add.'!L13*'Cracker Yields'!$I$11+'Financial Model Eth. Furn. Add.'!L14*'Cracker Yields'!$J$11+'Financial Model Eth. Furn. Add.'!L15*'Cracker Yields'!$K$11</f>
        <v>1772.2346400000001</v>
      </c>
      <c r="M22" s="884">
        <f>M12*'Cracker Yields'!$H$11+'Financial Model Eth. Furn. Add.'!M13*'Cracker Yields'!$I$11+'Financial Model Eth. Furn. Add.'!M14*'Cracker Yields'!$J$11+'Financial Model Eth. Furn. Add.'!M15*'Cracker Yields'!$K$11</f>
        <v>1772.2346400000001</v>
      </c>
      <c r="N22" s="884">
        <f>N12*'Cracker Yields'!$H$11+'Financial Model Eth. Furn. Add.'!N13*'Cracker Yields'!$I$11+'Financial Model Eth. Furn. Add.'!N14*'Cracker Yields'!$J$11+'Financial Model Eth. Furn. Add.'!N15*'Cracker Yields'!$K$11</f>
        <v>1772.2346400000001</v>
      </c>
      <c r="O22" s="884">
        <f>O12*'Cracker Yields'!$H$11+'Financial Model Eth. Furn. Add.'!O13*'Cracker Yields'!$I$11+'Financial Model Eth. Furn. Add.'!O14*'Cracker Yields'!$J$11+'Financial Model Eth. Furn. Add.'!O15*'Cracker Yields'!$K$11</f>
        <v>1772.2346400000001</v>
      </c>
      <c r="P22" s="884">
        <f>P12*'Cracker Yields'!$H$11+'Financial Model Eth. Furn. Add.'!P13*'Cracker Yields'!$I$11+'Financial Model Eth. Furn. Add.'!P14*'Cracker Yields'!$J$11+'Financial Model Eth. Furn. Add.'!P15*'Cracker Yields'!$K$11</f>
        <v>1772.2346400000001</v>
      </c>
      <c r="Q22" s="884">
        <f>Q12*'Cracker Yields'!$H$11+'Financial Model Eth. Furn. Add.'!Q13*'Cracker Yields'!$I$11+'Financial Model Eth. Furn. Add.'!Q14*'Cracker Yields'!$J$11+'Financial Model Eth. Furn. Add.'!Q15*'Cracker Yields'!$K$11</f>
        <v>1772.2346400000001</v>
      </c>
      <c r="R22" s="884">
        <f>R12*'Cracker Yields'!$H$11+'Financial Model Eth. Furn. Add.'!R13*'Cracker Yields'!$I$11+'Financial Model Eth. Furn. Add.'!R14*'Cracker Yields'!$J$11+'Financial Model Eth. Furn. Add.'!R15*'Cracker Yields'!$K$11</f>
        <v>1772.2346400000001</v>
      </c>
      <c r="S22" s="884">
        <f>S12*'Cracker Yields'!$H$11+'Financial Model Eth. Furn. Add.'!S13*'Cracker Yields'!$I$11+'Financial Model Eth. Furn. Add.'!S14*'Cracker Yields'!$J$11+'Financial Model Eth. Furn. Add.'!S15*'Cracker Yields'!$K$11</f>
        <v>1772.2346400000001</v>
      </c>
      <c r="T22" s="884">
        <f>T12*'Cracker Yields'!$H$11+'Financial Model Eth. Furn. Add.'!T13*'Cracker Yields'!$I$11+'Financial Model Eth. Furn. Add.'!T14*'Cracker Yields'!$J$11+'Financial Model Eth. Furn. Add.'!T15*'Cracker Yields'!$K$11</f>
        <v>1772.2346400000001</v>
      </c>
      <c r="U22" s="884">
        <f>U12*'Cracker Yields'!$H$11+'Financial Model Eth. Furn. Add.'!U13*'Cracker Yields'!$I$11+'Financial Model Eth. Furn. Add.'!U14*'Cracker Yields'!$J$11+'Financial Model Eth. Furn. Add.'!U15*'Cracker Yields'!$K$11</f>
        <v>1772.2346400000001</v>
      </c>
      <c r="V22" s="884">
        <f>V12*'Cracker Yields'!$H$11+'Financial Model Eth. Furn. Add.'!V13*'Cracker Yields'!$I$11+'Financial Model Eth. Furn. Add.'!V14*'Cracker Yields'!$J$11+'Financial Model Eth. Furn. Add.'!V15*'Cracker Yields'!$K$11</f>
        <v>1772.2346400000001</v>
      </c>
      <c r="W22" s="884">
        <f>W12*'Cracker Yields'!$H$11+'Financial Model Eth. Furn. Add.'!W13*'Cracker Yields'!$I$11+'Financial Model Eth. Furn. Add.'!W14*'Cracker Yields'!$J$11+'Financial Model Eth. Furn. Add.'!W15*'Cracker Yields'!$K$11</f>
        <v>1772.2346400000001</v>
      </c>
      <c r="X22" s="884">
        <f>X12*'Cracker Yields'!$H$11+'Financial Model Eth. Furn. Add.'!X13*'Cracker Yields'!$I$11+'Financial Model Eth. Furn. Add.'!X14*'Cracker Yields'!$J$11+'Financial Model Eth. Furn. Add.'!X15*'Cracker Yields'!$K$11</f>
        <v>1772.2346400000001</v>
      </c>
      <c r="Y22" s="884">
        <f>Y12*'Cracker Yields'!$H$11+'Financial Model Eth. Furn. Add.'!Y13*'Cracker Yields'!$I$11+'Financial Model Eth. Furn. Add.'!Y14*'Cracker Yields'!$J$11+'Financial Model Eth. Furn. Add.'!Y15*'Cracker Yields'!$K$11</f>
        <v>1772.2346400000001</v>
      </c>
      <c r="Z22" s="884">
        <f>Z12*'Cracker Yields'!$H$11+'Financial Model Eth. Furn. Add.'!Z13*'Cracker Yields'!$I$11+'Financial Model Eth. Furn. Add.'!Z14*'Cracker Yields'!$J$11+'Financial Model Eth. Furn. Add.'!Z15*'Cracker Yields'!$K$11</f>
        <v>1772.2346400000001</v>
      </c>
      <c r="AA22" s="884">
        <f>AA12*'Cracker Yields'!$H$11+'Financial Model Eth. Furn. Add.'!AA13*'Cracker Yields'!$I$11+'Financial Model Eth. Furn. Add.'!AA14*'Cracker Yields'!$J$11+'Financial Model Eth. Furn. Add.'!AA15*'Cracker Yields'!$K$11</f>
        <v>1772.2346400000001</v>
      </c>
      <c r="AB22" s="884">
        <f>AB12*'Cracker Yields'!$H$11+'Financial Model Eth. Furn. Add.'!AB13*'Cracker Yields'!$I$11+'Financial Model Eth. Furn. Add.'!AB14*'Cracker Yields'!$J$11+'Financial Model Eth. Furn. Add.'!AB15*'Cracker Yields'!$K$11</f>
        <v>1772.2346400000001</v>
      </c>
      <c r="AC22" s="884">
        <f>AC12*'Cracker Yields'!$H$11+'Financial Model Eth. Furn. Add.'!AC13*'Cracker Yields'!$I$11+'Financial Model Eth. Furn. Add.'!AC14*'Cracker Yields'!$J$11+'Financial Model Eth. Furn. Add.'!AC15*'Cracker Yields'!$K$11</f>
        <v>1772.2346400000001</v>
      </c>
      <c r="AD22" s="884">
        <f>AD12*'Cracker Yields'!$H$11+'Financial Model Eth. Furn. Add.'!AD13*'Cracker Yields'!$I$11+'Financial Model Eth. Furn. Add.'!AD14*'Cracker Yields'!$J$11+'Financial Model Eth. Furn. Add.'!AD15*'Cracker Yields'!$K$11</f>
        <v>1772.2346400000001</v>
      </c>
      <c r="AE22" s="884">
        <f>AE12*'Cracker Yields'!$H$11+'Financial Model Eth. Furn. Add.'!AE13*'Cracker Yields'!$I$11+'Financial Model Eth. Furn. Add.'!AE14*'Cracker Yields'!$J$11+'Financial Model Eth. Furn. Add.'!AE15*'Cracker Yields'!$K$11</f>
        <v>1772.2346400000001</v>
      </c>
      <c r="AF22" s="884">
        <f>AF12*'Cracker Yields'!$H$11+'Financial Model Eth. Furn. Add.'!AF13*'Cracker Yields'!$I$11+'Financial Model Eth. Furn. Add.'!AF14*'Cracker Yields'!$J$11+'Financial Model Eth. Furn. Add.'!AF15*'Cracker Yields'!$K$11</f>
        <v>1772.2346400000001</v>
      </c>
      <c r="AG22" s="884">
        <f>AG12*'Cracker Yields'!$H$11+'Financial Model Eth. Furn. Add.'!AG13*'Cracker Yields'!$I$11+'Financial Model Eth. Furn. Add.'!AG14*'Cracker Yields'!$J$11+'Financial Model Eth. Furn. Add.'!AG15*'Cracker Yields'!$K$11</f>
        <v>1772.2346400000001</v>
      </c>
      <c r="AH22" s="884">
        <f>AH12*'Cracker Yields'!$H$11+'Financial Model Eth. Furn. Add.'!AH13*'Cracker Yields'!$I$11+'Financial Model Eth. Furn. Add.'!AH14*'Cracker Yields'!$J$11+'Financial Model Eth. Furn. Add.'!AH15*'Cracker Yields'!$K$11</f>
        <v>1772.2346400000001</v>
      </c>
      <c r="AI22" s="884">
        <f>AI12*'Cracker Yields'!$H$11+'Financial Model Eth. Furn. Add.'!AI13*'Cracker Yields'!$I$11+'Financial Model Eth. Furn. Add.'!AI14*'Cracker Yields'!$J$11+'Financial Model Eth. Furn. Add.'!AI15*'Cracker Yields'!$K$11</f>
        <v>1772.2346400000001</v>
      </c>
      <c r="AJ22" s="884">
        <f>AJ12*'Cracker Yields'!$H$11+'Financial Model Eth. Furn. Add.'!AJ13*'Cracker Yields'!$I$11+'Financial Model Eth. Furn. Add.'!AJ14*'Cracker Yields'!$J$11+'Financial Model Eth. Furn. Add.'!AJ15*'Cracker Yields'!$K$11</f>
        <v>1772.2346400000001</v>
      </c>
      <c r="AK22" s="884">
        <f>AK12*'Cracker Yields'!$H$11+'Financial Model Eth. Furn. Add.'!AK13*'Cracker Yields'!$I$11+'Financial Model Eth. Furn. Add.'!AK14*'Cracker Yields'!$J$11+'Financial Model Eth. Furn. Add.'!AK15*'Cracker Yields'!$K$11</f>
        <v>1772.2346400000001</v>
      </c>
      <c r="AL22" s="884">
        <f>AL12*'Cracker Yields'!$H$11+'Financial Model Eth. Furn. Add.'!AL13*'Cracker Yields'!$I$11+'Financial Model Eth. Furn. Add.'!AL14*'Cracker Yields'!$J$11+'Financial Model Eth. Furn. Add.'!AL15*'Cracker Yields'!$K$11</f>
        <v>1772.2346400000001</v>
      </c>
      <c r="AM22" s="884">
        <f>AM12*'Cracker Yields'!$H$11+'Financial Model Eth. Furn. Add.'!AM13*'Cracker Yields'!$I$11+'Financial Model Eth. Furn. Add.'!AM14*'Cracker Yields'!$J$11+'Financial Model Eth. Furn. Add.'!AM15*'Cracker Yields'!$K$11</f>
        <v>1772.2346400000001</v>
      </c>
      <c r="AN22" s="884">
        <f>AN12*'Cracker Yields'!$H$11+'Financial Model Eth. Furn. Add.'!AN13*'Cracker Yields'!$I$11+'Financial Model Eth. Furn. Add.'!AN14*'Cracker Yields'!$J$11+'Financial Model Eth. Furn. Add.'!AN15*'Cracker Yields'!$K$11</f>
        <v>1772.2346400000001</v>
      </c>
      <c r="AO22" s="884">
        <f>AO12*'Cracker Yields'!$H$11+'Financial Model Eth. Furn. Add.'!AO13*'Cracker Yields'!$I$11+'Financial Model Eth. Furn. Add.'!AO14*'Cracker Yields'!$J$11+'Financial Model Eth. Furn. Add.'!AO15*'Cracker Yields'!$K$11</f>
        <v>1772.2346400000001</v>
      </c>
      <c r="AP22" s="884">
        <f>AP12*'Cracker Yields'!$H$11+'Financial Model Eth. Furn. Add.'!AP13*'Cracker Yields'!$I$11+'Financial Model Eth. Furn. Add.'!AP14*'Cracker Yields'!$J$11+'Financial Model Eth. Furn. Add.'!AP15*'Cracker Yields'!$K$11</f>
        <v>1772.2346400000001</v>
      </c>
      <c r="AQ22" s="884">
        <f>AQ12*'Cracker Yields'!$H$11+'Financial Model Eth. Furn. Add.'!AQ13*'Cracker Yields'!$I$11+'Financial Model Eth. Furn. Add.'!AQ14*'Cracker Yields'!$J$11+'Financial Model Eth. Furn. Add.'!AQ15*'Cracker Yields'!$K$11</f>
        <v>1772.2346400000001</v>
      </c>
      <c r="AR22" s="884">
        <f>AR12*'Cracker Yields'!$H$11+'Financial Model Eth. Furn. Add.'!AR13*'Cracker Yields'!$I$11+'Financial Model Eth. Furn. Add.'!AR14*'Cracker Yields'!$J$11+'Financial Model Eth. Furn. Add.'!AR15*'Cracker Yields'!$K$11</f>
        <v>1772.2346400000001</v>
      </c>
      <c r="AS22" s="884">
        <f>AS12*'Cracker Yields'!$H$11+'Financial Model Eth. Furn. Add.'!AS13*'Cracker Yields'!$I$11+'Financial Model Eth. Furn. Add.'!AS14*'Cracker Yields'!$J$11+'Financial Model Eth. Furn. Add.'!AS15*'Cracker Yields'!$K$11</f>
        <v>1772.2346400000001</v>
      </c>
      <c r="AT22" s="884">
        <f>AT12*'Cracker Yields'!$H$11+'Financial Model Eth. Furn. Add.'!AT13*'Cracker Yields'!$I$11+'Financial Model Eth. Furn. Add.'!AT14*'Cracker Yields'!$J$11+'Financial Model Eth. Furn. Add.'!AT15*'Cracker Yields'!$K$11</f>
        <v>1772.2346400000001</v>
      </c>
      <c r="AU22" s="884">
        <f>AU12*'Cracker Yields'!$H$11+'Financial Model Eth. Furn. Add.'!AU13*'Cracker Yields'!$I$11+'Financial Model Eth. Furn. Add.'!AU14*'Cracker Yields'!$J$11+'Financial Model Eth. Furn. Add.'!AU15*'Cracker Yields'!$K$11</f>
        <v>1772.2346400000001</v>
      </c>
      <c r="AV22" s="884">
        <f>AV12*'Cracker Yields'!$H$11+'Financial Model Eth. Furn. Add.'!AV13*'Cracker Yields'!$I$11+'Financial Model Eth. Furn. Add.'!AV14*'Cracker Yields'!$J$11+'Financial Model Eth. Furn. Add.'!AV15*'Cracker Yields'!$K$11</f>
        <v>1772.2346400000001</v>
      </c>
      <c r="AW22" s="884">
        <f>AW12*'Cracker Yields'!$H$11+'Financial Model Eth. Furn. Add.'!AW13*'Cracker Yields'!$I$11+'Financial Model Eth. Furn. Add.'!AW14*'Cracker Yields'!$J$11+'Financial Model Eth. Furn. Add.'!AW15*'Cracker Yields'!$K$11</f>
        <v>1772.2346400000001</v>
      </c>
      <c r="AX22" s="884">
        <f>AX12*'Cracker Yields'!$H$11+'Financial Model Eth. Furn. Add.'!AX13*'Cracker Yields'!$I$11+'Financial Model Eth. Furn. Add.'!AX14*'Cracker Yields'!$J$11+'Financial Model Eth. Furn. Add.'!AX15*'Cracker Yields'!$K$11</f>
        <v>1772.2346400000001</v>
      </c>
      <c r="AY22" s="884">
        <f>AY12*'Cracker Yields'!$H$11+'Financial Model Eth. Furn. Add.'!AY13*'Cracker Yields'!$I$11+'Financial Model Eth. Furn. Add.'!AY14*'Cracker Yields'!$J$11+'Financial Model Eth. Furn. Add.'!AY15*'Cracker Yields'!$K$11</f>
        <v>1772.2346400000001</v>
      </c>
      <c r="AZ22" s="884">
        <f>AZ12*'Cracker Yields'!$H$11+'Financial Model Eth. Furn. Add.'!AZ13*'Cracker Yields'!$I$11+'Financial Model Eth. Furn. Add.'!AZ14*'Cracker Yields'!$J$11+'Financial Model Eth. Furn. Add.'!AZ15*'Cracker Yields'!$K$11</f>
        <v>1772.2346400000001</v>
      </c>
      <c r="BA22" s="884">
        <f>BA12*'Cracker Yields'!$H$11+'Financial Model Eth. Furn. Add.'!BA13*'Cracker Yields'!$I$11+'Financial Model Eth. Furn. Add.'!BA14*'Cracker Yields'!$J$11+'Financial Model Eth. Furn. Add.'!BA15*'Cracker Yields'!$K$11</f>
        <v>1772.2346400000001</v>
      </c>
      <c r="BB22" s="884">
        <f>BB12*'Cracker Yields'!$H$11+'Financial Model Eth. Furn. Add.'!BB13*'Cracker Yields'!$I$11+'Financial Model Eth. Furn. Add.'!BB14*'Cracker Yields'!$J$11+'Financial Model Eth. Furn. Add.'!BB15*'Cracker Yields'!$K$11</f>
        <v>1772.2346400000001</v>
      </c>
      <c r="BC22" s="884">
        <f>BC12*'Cracker Yields'!$H$11+'Financial Model Eth. Furn. Add.'!BC13*'Cracker Yields'!$I$11+'Financial Model Eth. Furn. Add.'!BC14*'Cracker Yields'!$J$11+'Financial Model Eth. Furn. Add.'!BC15*'Cracker Yields'!$K$11</f>
        <v>1772.2346400000001</v>
      </c>
      <c r="BD22" s="884">
        <f>BD12*'Cracker Yields'!$H$11+'Financial Model Eth. Furn. Add.'!BD13*'Cracker Yields'!$I$11+'Financial Model Eth. Furn. Add.'!BD14*'Cracker Yields'!$J$11+'Financial Model Eth. Furn. Add.'!BD15*'Cracker Yields'!$K$11</f>
        <v>1772.2346400000001</v>
      </c>
      <c r="BE22" s="884">
        <f>BE12*'Cracker Yields'!$H$11+'Financial Model Eth. Furn. Add.'!BE13*'Cracker Yields'!$I$11+'Financial Model Eth. Furn. Add.'!BE14*'Cracker Yields'!$J$11+'Financial Model Eth. Furn. Add.'!BE15*'Cracker Yields'!$K$11</f>
        <v>1772.2346400000001</v>
      </c>
      <c r="BF22" s="884">
        <f>BF12*'Cracker Yields'!$H$11+'Financial Model Eth. Furn. Add.'!BF13*'Cracker Yields'!$I$11+'Financial Model Eth. Furn. Add.'!BF14*'Cracker Yields'!$J$11+'Financial Model Eth. Furn. Add.'!BF15*'Cracker Yields'!$K$11</f>
        <v>1772.2346400000001</v>
      </c>
      <c r="BG22" s="884">
        <f>BG12*'Cracker Yields'!$H$11+'Financial Model Eth. Furn. Add.'!BG13*'Cracker Yields'!$I$11+'Financial Model Eth. Furn. Add.'!BG14*'Cracker Yields'!$J$11+'Financial Model Eth. Furn. Add.'!BG15*'Cracker Yields'!$K$11</f>
        <v>1772.2346400000001</v>
      </c>
      <c r="BH22" s="884">
        <f>BH12*'Cracker Yields'!$H$11+'Financial Model Eth. Furn. Add.'!BH13*'Cracker Yields'!$I$11+'Financial Model Eth. Furn. Add.'!BH14*'Cracker Yields'!$J$11+'Financial Model Eth. Furn. Add.'!BH15*'Cracker Yields'!$K$11</f>
        <v>1772.2346400000001</v>
      </c>
      <c r="BI22" s="884">
        <f>BI12*'Cracker Yields'!$H$11+'Financial Model Eth. Furn. Add.'!BI13*'Cracker Yields'!$I$11+'Financial Model Eth. Furn. Add.'!BI14*'Cracker Yields'!$J$11+'Financial Model Eth. Furn. Add.'!BI15*'Cracker Yields'!$K$11</f>
        <v>1772.2346400000001</v>
      </c>
      <c r="BJ22" s="884">
        <f>BJ12*'Cracker Yields'!$H$11+'Financial Model Eth. Furn. Add.'!BJ13*'Cracker Yields'!$I$11+'Financial Model Eth. Furn. Add.'!BJ14*'Cracker Yields'!$J$11+'Financial Model Eth. Furn. Add.'!BJ15*'Cracker Yields'!$K$11</f>
        <v>1772.2346400000001</v>
      </c>
      <c r="BK22" s="884">
        <f>BK12*'Cracker Yields'!$H$11+'Financial Model Eth. Furn. Add.'!BK13*'Cracker Yields'!$I$11+'Financial Model Eth. Furn. Add.'!BK14*'Cracker Yields'!$J$11+'Financial Model Eth. Furn. Add.'!BK15*'Cracker Yields'!$K$11</f>
        <v>1772.2346400000001</v>
      </c>
      <c r="BL22" s="884">
        <f>BL12*'Cracker Yields'!$H$11+'Financial Model Eth. Furn. Add.'!BL13*'Cracker Yields'!$I$11+'Financial Model Eth. Furn. Add.'!BL14*'Cracker Yields'!$J$11+'Financial Model Eth. Furn. Add.'!BL15*'Cracker Yields'!$K$11</f>
        <v>1772.2346400000001</v>
      </c>
      <c r="BM22" s="884">
        <f>BM12*'Cracker Yields'!$H$11+'Financial Model Eth. Furn. Add.'!BM13*'Cracker Yields'!$I$11+'Financial Model Eth. Furn. Add.'!BM14*'Cracker Yields'!$J$11+'Financial Model Eth. Furn. Add.'!BM15*'Cracker Yields'!$K$11</f>
        <v>1772.2346400000001</v>
      </c>
      <c r="BN22" s="884">
        <f>BN12*'Cracker Yields'!$H$11+'Financial Model Eth. Furn. Add.'!BN13*'Cracker Yields'!$I$11+'Financial Model Eth. Furn. Add.'!BN14*'Cracker Yields'!$J$11+'Financial Model Eth. Furn. Add.'!BN15*'Cracker Yields'!$K$11</f>
        <v>1772.2346400000001</v>
      </c>
      <c r="BO22" s="884">
        <f>BO12*'Cracker Yields'!$H$11+'Financial Model Eth. Furn. Add.'!BO13*'Cracker Yields'!$I$11+'Financial Model Eth. Furn. Add.'!BO14*'Cracker Yields'!$J$11+'Financial Model Eth. Furn. Add.'!BO15*'Cracker Yields'!$K$11</f>
        <v>1772.2346400000001</v>
      </c>
      <c r="BP22" s="884">
        <f>BP12*'Cracker Yields'!$H$11+'Financial Model Eth. Furn. Add.'!BP13*'Cracker Yields'!$I$11+'Financial Model Eth. Furn. Add.'!BP14*'Cracker Yields'!$J$11+'Financial Model Eth. Furn. Add.'!BP15*'Cracker Yields'!$K$11</f>
        <v>1772.2346400000001</v>
      </c>
      <c r="BQ22" s="884">
        <f>BQ12*'Cracker Yields'!$H$11+'Financial Model Eth. Furn. Add.'!BQ13*'Cracker Yields'!$I$11+'Financial Model Eth. Furn. Add.'!BQ14*'Cracker Yields'!$J$11+'Financial Model Eth. Furn. Add.'!BQ15*'Cracker Yields'!$K$11</f>
        <v>1772.2346400000001</v>
      </c>
      <c r="BR22" s="884">
        <f>BR12*'Cracker Yields'!$H$11+'Financial Model Eth. Furn. Add.'!BR13*'Cracker Yields'!$I$11+'Financial Model Eth. Furn. Add.'!BR14*'Cracker Yields'!$J$11+'Financial Model Eth. Furn. Add.'!BR15*'Cracker Yields'!$K$11</f>
        <v>1772.2346400000001</v>
      </c>
      <c r="BS22" s="884">
        <f>BS12*'Cracker Yields'!$H$11+'Financial Model Eth. Furn. Add.'!BS13*'Cracker Yields'!$I$11+'Financial Model Eth. Furn. Add.'!BS14*'Cracker Yields'!$J$11+'Financial Model Eth. Furn. Add.'!BS15*'Cracker Yields'!$K$11</f>
        <v>1772.2346400000001</v>
      </c>
      <c r="BT22" s="884">
        <f>BT12*'Cracker Yields'!$H$11+'Financial Model Eth. Furn. Add.'!BT13*'Cracker Yields'!$I$11+'Financial Model Eth. Furn. Add.'!BT14*'Cracker Yields'!$J$11+'Financial Model Eth. Furn. Add.'!BT15*'Cracker Yields'!$K$11</f>
        <v>1772.2346400000001</v>
      </c>
      <c r="BU22" s="884">
        <f>BU12*'Cracker Yields'!$H$11+'Financial Model Eth. Furn. Add.'!BU13*'Cracker Yields'!$I$11+'Financial Model Eth. Furn. Add.'!BU14*'Cracker Yields'!$J$11+'Financial Model Eth. Furn. Add.'!BU15*'Cracker Yields'!$K$11</f>
        <v>1772.2346400000001</v>
      </c>
      <c r="BV22" s="884">
        <f>BV12*'Cracker Yields'!$H$11+'Financial Model Eth. Furn. Add.'!BV13*'Cracker Yields'!$I$11+'Financial Model Eth. Furn. Add.'!BV14*'Cracker Yields'!$J$11+'Financial Model Eth. Furn. Add.'!BV15*'Cracker Yields'!$K$11</f>
        <v>1772.2346400000001</v>
      </c>
      <c r="BW22" s="884">
        <f>BW12*'Cracker Yields'!$H$11+'Financial Model Eth. Furn. Add.'!BW13*'Cracker Yields'!$I$11+'Financial Model Eth. Furn. Add.'!BW14*'Cracker Yields'!$J$11+'Financial Model Eth. Furn. Add.'!BW15*'Cracker Yields'!$K$11</f>
        <v>1772.2346400000001</v>
      </c>
      <c r="BX22" s="884">
        <f>BX12*'Cracker Yields'!$H$11+'Financial Model Eth. Furn. Add.'!BX13*'Cracker Yields'!$I$11+'Financial Model Eth. Furn. Add.'!BX14*'Cracker Yields'!$J$11+'Financial Model Eth. Furn. Add.'!BX15*'Cracker Yields'!$K$11</f>
        <v>1772.2346400000001</v>
      </c>
      <c r="BY22" s="884">
        <f>BY12*'Cracker Yields'!$H$11+'Financial Model Eth. Furn. Add.'!BY13*'Cracker Yields'!$I$11+'Financial Model Eth. Furn. Add.'!BY14*'Cracker Yields'!$J$11+'Financial Model Eth. Furn. Add.'!BY15*'Cracker Yields'!$K$11</f>
        <v>1772.2346400000001</v>
      </c>
      <c r="BZ22" s="884">
        <f>BZ12*'Cracker Yields'!$H$11+'Financial Model Eth. Furn. Add.'!BZ13*'Cracker Yields'!$I$11+'Financial Model Eth. Furn. Add.'!BZ14*'Cracker Yields'!$J$11+'Financial Model Eth. Furn. Add.'!BZ15*'Cracker Yields'!$K$11</f>
        <v>1772.2346400000001</v>
      </c>
      <c r="CA22" s="884">
        <f>CA12*'Cracker Yields'!$H$11+'Financial Model Eth. Furn. Add.'!CA13*'Cracker Yields'!$I$11+'Financial Model Eth. Furn. Add.'!CA14*'Cracker Yields'!$J$11+'Financial Model Eth. Furn. Add.'!CA15*'Cracker Yields'!$K$11</f>
        <v>1772.2346400000001</v>
      </c>
      <c r="CB22" s="884">
        <f>CB12*'Cracker Yields'!$H$11+'Financial Model Eth. Furn. Add.'!CB13*'Cracker Yields'!$I$11+'Financial Model Eth. Furn. Add.'!CB14*'Cracker Yields'!$J$11+'Financial Model Eth. Furn. Add.'!CB15*'Cracker Yields'!$K$11</f>
        <v>1772.2346400000001</v>
      </c>
      <c r="CC22" s="884">
        <f>CC12*'Cracker Yields'!$H$11+'Financial Model Eth. Furn. Add.'!CC13*'Cracker Yields'!$I$11+'Financial Model Eth. Furn. Add.'!CC14*'Cracker Yields'!$J$11+'Financial Model Eth. Furn. Add.'!CC15*'Cracker Yields'!$K$11</f>
        <v>1772.2346400000001</v>
      </c>
      <c r="CD22" s="884">
        <f>CD12*'Cracker Yields'!$H$11+'Financial Model Eth. Furn. Add.'!CD13*'Cracker Yields'!$I$11+'Financial Model Eth. Furn. Add.'!CD14*'Cracker Yields'!$J$11+'Financial Model Eth. Furn. Add.'!CD15*'Cracker Yields'!$K$11</f>
        <v>1772.2346400000001</v>
      </c>
      <c r="CE22" s="884">
        <f>CE12*'Cracker Yields'!$H$11+'Financial Model Eth. Furn. Add.'!CE13*'Cracker Yields'!$I$11+'Financial Model Eth. Furn. Add.'!CE14*'Cracker Yields'!$J$11+'Financial Model Eth. Furn. Add.'!CE15*'Cracker Yields'!$K$11</f>
        <v>1772.2346400000001</v>
      </c>
      <c r="CF22" s="884">
        <f>CF12*'Cracker Yields'!$H$11+'Financial Model Eth. Furn. Add.'!CF13*'Cracker Yields'!$I$11+'Financial Model Eth. Furn. Add.'!CF14*'Cracker Yields'!$J$11+'Financial Model Eth. Furn. Add.'!CF15*'Cracker Yields'!$K$11</f>
        <v>1772.2346400000001</v>
      </c>
      <c r="CG22" s="884">
        <f>CG12*'Cracker Yields'!$H$11+'Financial Model Eth. Furn. Add.'!CG13*'Cracker Yields'!$I$11+'Financial Model Eth. Furn. Add.'!CG14*'Cracker Yields'!$J$11+'Financial Model Eth. Furn. Add.'!CG15*'Cracker Yields'!$K$11</f>
        <v>1772.2346400000001</v>
      </c>
      <c r="CH22" s="884">
        <f>CH12*'Cracker Yields'!$H$11+'Financial Model Eth. Furn. Add.'!CH13*'Cracker Yields'!$I$11+'Financial Model Eth. Furn. Add.'!CH14*'Cracker Yields'!$J$11+'Financial Model Eth. Furn. Add.'!CH15*'Cracker Yields'!$K$11</f>
        <v>1772.2346400000001</v>
      </c>
      <c r="CI22" s="884">
        <f>CI12*'Cracker Yields'!$H$11+'Financial Model Eth. Furn. Add.'!CI13*'Cracker Yields'!$I$11+'Financial Model Eth. Furn. Add.'!CI14*'Cracker Yields'!$J$11+'Financial Model Eth. Furn. Add.'!CI15*'Cracker Yields'!$K$11</f>
        <v>1772.2346400000001</v>
      </c>
      <c r="CJ22" s="884">
        <f>CJ12*'Cracker Yields'!$H$11+'Financial Model Eth. Furn. Add.'!CJ13*'Cracker Yields'!$I$11+'Financial Model Eth. Furn. Add.'!CJ14*'Cracker Yields'!$J$11+'Financial Model Eth. Furn. Add.'!CJ15*'Cracker Yields'!$K$11</f>
        <v>1772.2346400000001</v>
      </c>
      <c r="CK22" s="884">
        <f>CK12*'Cracker Yields'!$H$11+'Financial Model Eth. Furn. Add.'!CK13*'Cracker Yields'!$I$11+'Financial Model Eth. Furn. Add.'!CK14*'Cracker Yields'!$J$11+'Financial Model Eth. Furn. Add.'!CK15*'Cracker Yields'!$K$11</f>
        <v>1772.2346400000001</v>
      </c>
      <c r="CL22" s="884">
        <f>CL12*'Cracker Yields'!$H$11+'Financial Model Eth. Furn. Add.'!CL13*'Cracker Yields'!$I$11+'Financial Model Eth. Furn. Add.'!CL14*'Cracker Yields'!$J$11+'Financial Model Eth. Furn. Add.'!CL15*'Cracker Yields'!$K$11</f>
        <v>1772.2346400000001</v>
      </c>
      <c r="CM22" s="54">
        <f t="shared" si="0"/>
        <v>1772.2346399999997</v>
      </c>
      <c r="CN22" s="347"/>
      <c r="CO22" s="347"/>
      <c r="CP22" s="347"/>
      <c r="CQ22" s="347"/>
      <c r="CR22" s="347"/>
      <c r="CS22" s="347"/>
      <c r="CT22" s="347"/>
      <c r="CU22" s="347"/>
      <c r="CV22" s="347"/>
      <c r="CW22" s="347"/>
      <c r="CX22" s="347"/>
      <c r="CY22" s="347"/>
      <c r="CZ22" s="347"/>
      <c r="DA22" s="347"/>
      <c r="DB22" s="347"/>
      <c r="DC22" s="347"/>
      <c r="DD22" s="347"/>
      <c r="DE22" s="347"/>
      <c r="DF22" s="347"/>
      <c r="DG22" s="347"/>
      <c r="DH22" s="347"/>
      <c r="DI22" s="347"/>
      <c r="DJ22" s="347"/>
      <c r="DK22" s="347"/>
      <c r="DL22" s="347"/>
      <c r="DM22" s="347"/>
      <c r="DN22" s="347"/>
      <c r="DO22" s="347"/>
      <c r="DP22" s="347"/>
      <c r="DQ22" s="347"/>
      <c r="DR22" s="347"/>
      <c r="DS22" s="347"/>
      <c r="DT22" s="347"/>
      <c r="DU22" s="347"/>
      <c r="DV22" s="347"/>
      <c r="DW22" s="347"/>
      <c r="DX22" s="347"/>
      <c r="DY22" s="347"/>
      <c r="DZ22" s="347"/>
      <c r="EA22" s="347"/>
      <c r="EB22" s="347"/>
      <c r="EC22" s="347"/>
      <c r="ED22" s="347"/>
      <c r="EE22" s="347"/>
      <c r="EF22" s="347"/>
      <c r="EG22" s="347"/>
      <c r="EH22" s="347"/>
      <c r="EI22" s="347"/>
      <c r="EJ22" s="347"/>
      <c r="EK22" s="347"/>
      <c r="EL22" s="347"/>
      <c r="EM22" s="347"/>
      <c r="EN22" s="347"/>
      <c r="EO22" s="347"/>
      <c r="EP22" s="347"/>
      <c r="EQ22" s="347"/>
      <c r="ER22" s="347"/>
      <c r="ES22" s="347"/>
      <c r="ET22" s="347"/>
      <c r="EU22" s="347"/>
      <c r="EV22" s="347"/>
      <c r="EW22" s="347"/>
      <c r="EX22" s="347"/>
      <c r="EY22" s="347"/>
      <c r="EZ22" s="347"/>
      <c r="FA22" s="347"/>
      <c r="FB22" s="347"/>
      <c r="FC22" s="347"/>
      <c r="FD22" s="347"/>
      <c r="FE22" s="347"/>
      <c r="FF22" s="347"/>
      <c r="FG22" s="347"/>
      <c r="FH22" s="347"/>
      <c r="FI22" s="347"/>
      <c r="FJ22" s="347"/>
      <c r="FK22" s="347"/>
      <c r="FL22" s="347"/>
      <c r="FM22" s="347"/>
      <c r="FN22" s="347"/>
      <c r="FO22" s="347"/>
      <c r="FP22" s="347"/>
      <c r="FQ22" s="347"/>
      <c r="FR22" s="347"/>
      <c r="FS22" s="347"/>
      <c r="FT22" s="347"/>
      <c r="FU22" s="347"/>
      <c r="FV22" s="347"/>
    </row>
    <row r="23" spans="1:178">
      <c r="A23" s="1394" t="s">
        <v>404</v>
      </c>
      <c r="B23" s="1154" t="s">
        <v>403</v>
      </c>
      <c r="C23" s="581" t="s">
        <v>402</v>
      </c>
      <c r="D23" s="581">
        <v>27.86</v>
      </c>
      <c r="E23" s="347"/>
      <c r="F23" s="885" t="s">
        <v>203</v>
      </c>
      <c r="G23" s="597">
        <f>$D$23*G16/1000</f>
        <v>3187.7597733333328</v>
      </c>
      <c r="H23" s="597">
        <f t="shared" ref="H23:BS23" si="1">$D$23*H16/1000</f>
        <v>3187.7597733333328</v>
      </c>
      <c r="I23" s="597">
        <f t="shared" si="1"/>
        <v>3187.7597733333328</v>
      </c>
      <c r="J23" s="597">
        <f t="shared" si="1"/>
        <v>3187.7597733333328</v>
      </c>
      <c r="K23" s="597">
        <f t="shared" si="1"/>
        <v>3187.7597733333328</v>
      </c>
      <c r="L23" s="597">
        <f t="shared" si="1"/>
        <v>3187.7597733333328</v>
      </c>
      <c r="M23" s="597">
        <f t="shared" si="1"/>
        <v>3187.7597733333328</v>
      </c>
      <c r="N23" s="597">
        <f t="shared" si="1"/>
        <v>3187.7597733333328</v>
      </c>
      <c r="O23" s="597">
        <f t="shared" si="1"/>
        <v>3187.7597733333328</v>
      </c>
      <c r="P23" s="597">
        <f t="shared" si="1"/>
        <v>3187.7597733333328</v>
      </c>
      <c r="Q23" s="597">
        <f t="shared" si="1"/>
        <v>3187.7597733333328</v>
      </c>
      <c r="R23" s="597">
        <f t="shared" si="1"/>
        <v>3187.7597733333328</v>
      </c>
      <c r="S23" s="597">
        <f t="shared" si="1"/>
        <v>3187.7597733333328</v>
      </c>
      <c r="T23" s="597">
        <f t="shared" si="1"/>
        <v>3187.7597733333328</v>
      </c>
      <c r="U23" s="597">
        <f t="shared" si="1"/>
        <v>3187.7597733333328</v>
      </c>
      <c r="V23" s="597">
        <f t="shared" si="1"/>
        <v>3187.7597733333328</v>
      </c>
      <c r="W23" s="597">
        <f t="shared" si="1"/>
        <v>3187.7597733333328</v>
      </c>
      <c r="X23" s="597">
        <f t="shared" si="1"/>
        <v>3187.7597733333328</v>
      </c>
      <c r="Y23" s="597">
        <f t="shared" si="1"/>
        <v>3187.7597733333328</v>
      </c>
      <c r="Z23" s="597">
        <f t="shared" si="1"/>
        <v>3187.7597733333328</v>
      </c>
      <c r="AA23" s="597">
        <f t="shared" si="1"/>
        <v>3187.7597733333328</v>
      </c>
      <c r="AB23" s="597">
        <f t="shared" si="1"/>
        <v>3187.7597733333328</v>
      </c>
      <c r="AC23" s="597">
        <f t="shared" si="1"/>
        <v>3187.7597733333328</v>
      </c>
      <c r="AD23" s="597">
        <f t="shared" si="1"/>
        <v>3187.7597733333328</v>
      </c>
      <c r="AE23" s="597">
        <f t="shared" si="1"/>
        <v>3187.7597733333328</v>
      </c>
      <c r="AF23" s="597">
        <f t="shared" si="1"/>
        <v>3187.7597733333328</v>
      </c>
      <c r="AG23" s="597">
        <f t="shared" si="1"/>
        <v>3187.7597733333328</v>
      </c>
      <c r="AH23" s="597">
        <f t="shared" si="1"/>
        <v>3187.7597733333328</v>
      </c>
      <c r="AI23" s="597">
        <f t="shared" si="1"/>
        <v>3187.7597733333328</v>
      </c>
      <c r="AJ23" s="597">
        <f t="shared" si="1"/>
        <v>3187.7597733333328</v>
      </c>
      <c r="AK23" s="597">
        <f t="shared" si="1"/>
        <v>3187.7597733333328</v>
      </c>
      <c r="AL23" s="597">
        <f t="shared" si="1"/>
        <v>3187.7597733333328</v>
      </c>
      <c r="AM23" s="597">
        <f t="shared" si="1"/>
        <v>3187.7597733333328</v>
      </c>
      <c r="AN23" s="597">
        <f t="shared" si="1"/>
        <v>3187.7597733333328</v>
      </c>
      <c r="AO23" s="597">
        <f t="shared" si="1"/>
        <v>3187.7597733333328</v>
      </c>
      <c r="AP23" s="597">
        <f t="shared" si="1"/>
        <v>3187.7597733333328</v>
      </c>
      <c r="AQ23" s="597">
        <f t="shared" si="1"/>
        <v>3187.7597733333328</v>
      </c>
      <c r="AR23" s="597">
        <f t="shared" si="1"/>
        <v>3187.7597733333328</v>
      </c>
      <c r="AS23" s="597">
        <f t="shared" si="1"/>
        <v>3187.7597733333328</v>
      </c>
      <c r="AT23" s="597">
        <f t="shared" si="1"/>
        <v>3187.7597733333328</v>
      </c>
      <c r="AU23" s="597">
        <f t="shared" si="1"/>
        <v>3187.7597733333328</v>
      </c>
      <c r="AV23" s="597">
        <f t="shared" si="1"/>
        <v>3187.7597733333328</v>
      </c>
      <c r="AW23" s="597">
        <f t="shared" si="1"/>
        <v>3187.7597733333328</v>
      </c>
      <c r="AX23" s="597">
        <f t="shared" si="1"/>
        <v>3187.7597733333328</v>
      </c>
      <c r="AY23" s="597">
        <f t="shared" si="1"/>
        <v>3187.7597733333328</v>
      </c>
      <c r="AZ23" s="597">
        <f t="shared" si="1"/>
        <v>3187.7597733333328</v>
      </c>
      <c r="BA23" s="597">
        <f t="shared" si="1"/>
        <v>3187.7597733333328</v>
      </c>
      <c r="BB23" s="597">
        <f t="shared" si="1"/>
        <v>3187.7597733333328</v>
      </c>
      <c r="BC23" s="597">
        <f t="shared" si="1"/>
        <v>3187.7597733333328</v>
      </c>
      <c r="BD23" s="597">
        <f t="shared" si="1"/>
        <v>3187.7597733333328</v>
      </c>
      <c r="BE23" s="597">
        <f t="shared" si="1"/>
        <v>3187.7597733333328</v>
      </c>
      <c r="BF23" s="597">
        <f t="shared" si="1"/>
        <v>3187.7597733333328</v>
      </c>
      <c r="BG23" s="597">
        <f t="shared" si="1"/>
        <v>3187.7597733333328</v>
      </c>
      <c r="BH23" s="597">
        <f t="shared" si="1"/>
        <v>3187.7597733333328</v>
      </c>
      <c r="BI23" s="597">
        <f t="shared" si="1"/>
        <v>3187.7597733333328</v>
      </c>
      <c r="BJ23" s="597">
        <f t="shared" si="1"/>
        <v>3187.7597733333328</v>
      </c>
      <c r="BK23" s="597">
        <f t="shared" si="1"/>
        <v>3187.7597733333328</v>
      </c>
      <c r="BL23" s="597">
        <f t="shared" si="1"/>
        <v>3187.7597733333328</v>
      </c>
      <c r="BM23" s="597">
        <f t="shared" si="1"/>
        <v>3187.7597733333328</v>
      </c>
      <c r="BN23" s="597">
        <f t="shared" si="1"/>
        <v>3187.7597733333328</v>
      </c>
      <c r="BO23" s="597">
        <f t="shared" si="1"/>
        <v>3187.7597733333328</v>
      </c>
      <c r="BP23" s="597">
        <f t="shared" si="1"/>
        <v>3187.7597733333328</v>
      </c>
      <c r="BQ23" s="597">
        <f t="shared" si="1"/>
        <v>3187.7597733333328</v>
      </c>
      <c r="BR23" s="597">
        <f t="shared" si="1"/>
        <v>3187.7597733333328</v>
      </c>
      <c r="BS23" s="597">
        <f t="shared" si="1"/>
        <v>3187.7597733333328</v>
      </c>
      <c r="BT23" s="597">
        <f t="shared" ref="BT23:CL23" si="2">$D$23*BT16/1000</f>
        <v>3187.7597733333328</v>
      </c>
      <c r="BU23" s="597">
        <f t="shared" si="2"/>
        <v>3187.7597733333328</v>
      </c>
      <c r="BV23" s="597">
        <f t="shared" si="2"/>
        <v>3187.7597733333328</v>
      </c>
      <c r="BW23" s="597">
        <f t="shared" si="2"/>
        <v>3187.7597733333328</v>
      </c>
      <c r="BX23" s="597">
        <f t="shared" si="2"/>
        <v>3187.7597733333328</v>
      </c>
      <c r="BY23" s="597">
        <f t="shared" si="2"/>
        <v>3187.7597733333328</v>
      </c>
      <c r="BZ23" s="597">
        <f t="shared" si="2"/>
        <v>3187.7597733333328</v>
      </c>
      <c r="CA23" s="597">
        <f t="shared" si="2"/>
        <v>3187.7597733333328</v>
      </c>
      <c r="CB23" s="597">
        <f t="shared" si="2"/>
        <v>3187.7597733333328</v>
      </c>
      <c r="CC23" s="597">
        <f t="shared" si="2"/>
        <v>3187.7597733333328</v>
      </c>
      <c r="CD23" s="597">
        <f t="shared" si="2"/>
        <v>3187.7597733333328</v>
      </c>
      <c r="CE23" s="597">
        <f t="shared" si="2"/>
        <v>3187.7597733333328</v>
      </c>
      <c r="CF23" s="597">
        <f t="shared" si="2"/>
        <v>3187.7597733333328</v>
      </c>
      <c r="CG23" s="597">
        <f t="shared" si="2"/>
        <v>3187.7597733333328</v>
      </c>
      <c r="CH23" s="597">
        <f t="shared" si="2"/>
        <v>3187.7597733333328</v>
      </c>
      <c r="CI23" s="597">
        <f t="shared" si="2"/>
        <v>3187.7597733333328</v>
      </c>
      <c r="CJ23" s="597">
        <f t="shared" si="2"/>
        <v>3187.7597733333328</v>
      </c>
      <c r="CK23" s="597">
        <f t="shared" si="2"/>
        <v>3187.7597733333328</v>
      </c>
      <c r="CL23" s="597">
        <f t="shared" si="2"/>
        <v>3187.7597733333328</v>
      </c>
      <c r="CM23" s="597">
        <f t="shared" si="0"/>
        <v>3187.7597733333296</v>
      </c>
      <c r="CN23" s="347"/>
      <c r="CO23" s="347"/>
      <c r="CP23" s="347"/>
      <c r="CQ23" s="347"/>
      <c r="CR23" s="347"/>
      <c r="CS23" s="347"/>
      <c r="CT23" s="347"/>
      <c r="CU23" s="347"/>
      <c r="CV23" s="347"/>
      <c r="CW23" s="347"/>
      <c r="CX23" s="347"/>
      <c r="CY23" s="347"/>
      <c r="CZ23" s="347"/>
      <c r="DA23" s="347"/>
      <c r="DB23" s="347"/>
      <c r="DC23" s="347"/>
      <c r="DD23" s="347"/>
      <c r="DE23" s="347"/>
      <c r="DF23" s="347"/>
      <c r="DG23" s="347"/>
      <c r="DH23" s="347"/>
      <c r="DI23" s="347"/>
      <c r="DJ23" s="347"/>
      <c r="DK23" s="347"/>
      <c r="DL23" s="347"/>
      <c r="DM23" s="347"/>
      <c r="DN23" s="347"/>
      <c r="DO23" s="347"/>
      <c r="DP23" s="347"/>
      <c r="DQ23" s="347"/>
      <c r="DR23" s="347"/>
      <c r="DS23" s="347"/>
      <c r="DT23" s="347"/>
      <c r="DU23" s="347"/>
      <c r="DV23" s="347"/>
      <c r="DW23" s="347"/>
      <c r="DX23" s="347"/>
      <c r="DY23" s="347"/>
      <c r="DZ23" s="347"/>
      <c r="EA23" s="347"/>
      <c r="EB23" s="347"/>
      <c r="EC23" s="347"/>
      <c r="ED23" s="347"/>
      <c r="EE23" s="347"/>
      <c r="EF23" s="347"/>
      <c r="EG23" s="347"/>
      <c r="EH23" s="347"/>
      <c r="EI23" s="347"/>
      <c r="EJ23" s="347"/>
      <c r="EK23" s="347"/>
      <c r="EL23" s="347"/>
      <c r="EM23" s="347"/>
      <c r="EN23" s="347"/>
      <c r="EO23" s="347"/>
      <c r="EP23" s="347"/>
      <c r="EQ23" s="347"/>
      <c r="ER23" s="347"/>
      <c r="ES23" s="347"/>
      <c r="ET23" s="347"/>
      <c r="EU23" s="347"/>
      <c r="EV23" s="347"/>
      <c r="EW23" s="347"/>
      <c r="EX23" s="347"/>
      <c r="EY23" s="347"/>
      <c r="EZ23" s="347"/>
      <c r="FA23" s="347"/>
      <c r="FB23" s="347"/>
      <c r="FC23" s="347"/>
      <c r="FD23" s="347"/>
      <c r="FE23" s="347"/>
      <c r="FF23" s="347"/>
      <c r="FG23" s="347"/>
      <c r="FH23" s="347"/>
      <c r="FI23" s="347"/>
      <c r="FJ23" s="347"/>
      <c r="FK23" s="347"/>
      <c r="FL23" s="347"/>
      <c r="FM23" s="347"/>
      <c r="FN23" s="347"/>
      <c r="FO23" s="347"/>
      <c r="FP23" s="347"/>
      <c r="FQ23" s="347"/>
      <c r="FR23" s="347"/>
      <c r="FS23" s="347"/>
      <c r="FT23" s="347"/>
      <c r="FU23" s="347"/>
      <c r="FV23" s="347"/>
    </row>
    <row r="24" spans="1:178">
      <c r="A24" s="1394"/>
      <c r="B24" s="1154" t="s">
        <v>403</v>
      </c>
      <c r="C24" s="581" t="s">
        <v>402</v>
      </c>
      <c r="D24" s="581">
        <v>0.23</v>
      </c>
      <c r="E24" s="347"/>
      <c r="F24" s="885" t="s">
        <v>204</v>
      </c>
      <c r="G24" s="597">
        <f>$D$24*G13</f>
        <v>4695.8333333333339</v>
      </c>
      <c r="H24" s="597">
        <f t="shared" ref="H24:BS24" si="3">$D$24*H13</f>
        <v>4695.8333333333339</v>
      </c>
      <c r="I24" s="597">
        <f t="shared" si="3"/>
        <v>4695.8333333333339</v>
      </c>
      <c r="J24" s="597">
        <f t="shared" si="3"/>
        <v>4695.8333333333339</v>
      </c>
      <c r="K24" s="597">
        <f t="shared" si="3"/>
        <v>4695.8333333333339</v>
      </c>
      <c r="L24" s="597">
        <f t="shared" si="3"/>
        <v>4695.8333333333339</v>
      </c>
      <c r="M24" s="597">
        <f t="shared" si="3"/>
        <v>4695.8333333333339</v>
      </c>
      <c r="N24" s="597">
        <f t="shared" si="3"/>
        <v>4695.8333333333339</v>
      </c>
      <c r="O24" s="597">
        <f t="shared" si="3"/>
        <v>4695.8333333333339</v>
      </c>
      <c r="P24" s="597">
        <f t="shared" si="3"/>
        <v>4695.8333333333339</v>
      </c>
      <c r="Q24" s="597">
        <f t="shared" si="3"/>
        <v>4695.8333333333339</v>
      </c>
      <c r="R24" s="597">
        <f t="shared" si="3"/>
        <v>4695.8333333333339</v>
      </c>
      <c r="S24" s="597">
        <f t="shared" si="3"/>
        <v>4695.8333333333339</v>
      </c>
      <c r="T24" s="597">
        <f t="shared" si="3"/>
        <v>4695.8333333333339</v>
      </c>
      <c r="U24" s="597">
        <f t="shared" si="3"/>
        <v>4695.8333333333339</v>
      </c>
      <c r="V24" s="597">
        <f t="shared" si="3"/>
        <v>4695.8333333333339</v>
      </c>
      <c r="W24" s="597">
        <f t="shared" si="3"/>
        <v>4695.8333333333339</v>
      </c>
      <c r="X24" s="597">
        <f t="shared" si="3"/>
        <v>4695.8333333333339</v>
      </c>
      <c r="Y24" s="597">
        <f t="shared" si="3"/>
        <v>4695.8333333333339</v>
      </c>
      <c r="Z24" s="597">
        <f t="shared" si="3"/>
        <v>4695.8333333333339</v>
      </c>
      <c r="AA24" s="597">
        <f t="shared" si="3"/>
        <v>4695.8333333333339</v>
      </c>
      <c r="AB24" s="597">
        <f t="shared" si="3"/>
        <v>4695.8333333333339</v>
      </c>
      <c r="AC24" s="597">
        <f t="shared" si="3"/>
        <v>4695.8333333333339</v>
      </c>
      <c r="AD24" s="597">
        <f t="shared" si="3"/>
        <v>4695.8333333333339</v>
      </c>
      <c r="AE24" s="597">
        <f t="shared" si="3"/>
        <v>4695.8333333333339</v>
      </c>
      <c r="AF24" s="597">
        <f t="shared" si="3"/>
        <v>4695.8333333333339</v>
      </c>
      <c r="AG24" s="597">
        <f t="shared" si="3"/>
        <v>4695.8333333333339</v>
      </c>
      <c r="AH24" s="597">
        <f t="shared" si="3"/>
        <v>4695.8333333333339</v>
      </c>
      <c r="AI24" s="597">
        <f t="shared" si="3"/>
        <v>4695.8333333333339</v>
      </c>
      <c r="AJ24" s="597">
        <f t="shared" si="3"/>
        <v>4695.8333333333339</v>
      </c>
      <c r="AK24" s="597">
        <f t="shared" si="3"/>
        <v>4695.8333333333339</v>
      </c>
      <c r="AL24" s="597">
        <f t="shared" si="3"/>
        <v>4695.8333333333339</v>
      </c>
      <c r="AM24" s="597">
        <f t="shared" si="3"/>
        <v>4695.8333333333339</v>
      </c>
      <c r="AN24" s="597">
        <f t="shared" si="3"/>
        <v>4695.8333333333339</v>
      </c>
      <c r="AO24" s="597">
        <f t="shared" si="3"/>
        <v>4695.8333333333339</v>
      </c>
      <c r="AP24" s="597">
        <f t="shared" si="3"/>
        <v>4695.8333333333339</v>
      </c>
      <c r="AQ24" s="597">
        <f t="shared" si="3"/>
        <v>4695.8333333333339</v>
      </c>
      <c r="AR24" s="597">
        <f t="shared" si="3"/>
        <v>4695.8333333333339</v>
      </c>
      <c r="AS24" s="597">
        <f t="shared" si="3"/>
        <v>4695.8333333333339</v>
      </c>
      <c r="AT24" s="597">
        <f t="shared" si="3"/>
        <v>4695.8333333333339</v>
      </c>
      <c r="AU24" s="597">
        <f t="shared" si="3"/>
        <v>4695.8333333333339</v>
      </c>
      <c r="AV24" s="597">
        <f t="shared" si="3"/>
        <v>4695.8333333333339</v>
      </c>
      <c r="AW24" s="597">
        <f t="shared" si="3"/>
        <v>4695.8333333333339</v>
      </c>
      <c r="AX24" s="597">
        <f t="shared" si="3"/>
        <v>4695.8333333333339</v>
      </c>
      <c r="AY24" s="597">
        <f t="shared" si="3"/>
        <v>4695.8333333333339</v>
      </c>
      <c r="AZ24" s="597">
        <f t="shared" si="3"/>
        <v>4695.8333333333339</v>
      </c>
      <c r="BA24" s="597">
        <f t="shared" si="3"/>
        <v>4695.8333333333339</v>
      </c>
      <c r="BB24" s="597">
        <f t="shared" si="3"/>
        <v>4695.8333333333339</v>
      </c>
      <c r="BC24" s="597">
        <f t="shared" si="3"/>
        <v>4695.8333333333339</v>
      </c>
      <c r="BD24" s="597">
        <f t="shared" si="3"/>
        <v>4695.8333333333339</v>
      </c>
      <c r="BE24" s="597">
        <f t="shared" si="3"/>
        <v>4695.8333333333339</v>
      </c>
      <c r="BF24" s="597">
        <f t="shared" si="3"/>
        <v>4695.8333333333339</v>
      </c>
      <c r="BG24" s="597">
        <f t="shared" si="3"/>
        <v>4695.8333333333339</v>
      </c>
      <c r="BH24" s="597">
        <f t="shared" si="3"/>
        <v>4695.8333333333339</v>
      </c>
      <c r="BI24" s="597">
        <f t="shared" si="3"/>
        <v>4695.8333333333339</v>
      </c>
      <c r="BJ24" s="597">
        <f t="shared" si="3"/>
        <v>4695.8333333333339</v>
      </c>
      <c r="BK24" s="597">
        <f t="shared" si="3"/>
        <v>4695.8333333333339</v>
      </c>
      <c r="BL24" s="597">
        <f t="shared" si="3"/>
        <v>4695.8333333333339</v>
      </c>
      <c r="BM24" s="597">
        <f t="shared" si="3"/>
        <v>4695.8333333333339</v>
      </c>
      <c r="BN24" s="597">
        <f t="shared" si="3"/>
        <v>4695.8333333333339</v>
      </c>
      <c r="BO24" s="597">
        <f t="shared" si="3"/>
        <v>4695.8333333333339</v>
      </c>
      <c r="BP24" s="597">
        <f t="shared" si="3"/>
        <v>4695.8333333333339</v>
      </c>
      <c r="BQ24" s="597">
        <f t="shared" si="3"/>
        <v>4695.8333333333339</v>
      </c>
      <c r="BR24" s="597">
        <f t="shared" si="3"/>
        <v>4695.8333333333339</v>
      </c>
      <c r="BS24" s="597">
        <f t="shared" si="3"/>
        <v>4695.8333333333339</v>
      </c>
      <c r="BT24" s="597">
        <f t="shared" ref="BT24:CL24" si="4">$D$24*BT13</f>
        <v>4695.8333333333339</v>
      </c>
      <c r="BU24" s="597">
        <f t="shared" si="4"/>
        <v>4695.8333333333339</v>
      </c>
      <c r="BV24" s="597">
        <f t="shared" si="4"/>
        <v>4695.8333333333339</v>
      </c>
      <c r="BW24" s="597">
        <f t="shared" si="4"/>
        <v>4695.8333333333339</v>
      </c>
      <c r="BX24" s="597">
        <f t="shared" si="4"/>
        <v>4695.8333333333339</v>
      </c>
      <c r="BY24" s="597">
        <f t="shared" si="4"/>
        <v>4695.8333333333339</v>
      </c>
      <c r="BZ24" s="597">
        <f t="shared" si="4"/>
        <v>4695.8333333333339</v>
      </c>
      <c r="CA24" s="597">
        <f t="shared" si="4"/>
        <v>4695.8333333333339</v>
      </c>
      <c r="CB24" s="597">
        <f t="shared" si="4"/>
        <v>4695.8333333333339</v>
      </c>
      <c r="CC24" s="597">
        <f t="shared" si="4"/>
        <v>4695.8333333333339</v>
      </c>
      <c r="CD24" s="597">
        <f t="shared" si="4"/>
        <v>4695.8333333333339</v>
      </c>
      <c r="CE24" s="597">
        <f t="shared" si="4"/>
        <v>4695.8333333333339</v>
      </c>
      <c r="CF24" s="597">
        <f t="shared" si="4"/>
        <v>4695.8333333333339</v>
      </c>
      <c r="CG24" s="597">
        <f t="shared" si="4"/>
        <v>4695.8333333333339</v>
      </c>
      <c r="CH24" s="597">
        <f t="shared" si="4"/>
        <v>4695.8333333333339</v>
      </c>
      <c r="CI24" s="597">
        <f t="shared" si="4"/>
        <v>4695.8333333333339</v>
      </c>
      <c r="CJ24" s="597">
        <f t="shared" si="4"/>
        <v>4695.8333333333339</v>
      </c>
      <c r="CK24" s="597">
        <f t="shared" si="4"/>
        <v>4695.8333333333339</v>
      </c>
      <c r="CL24" s="597">
        <f t="shared" si="4"/>
        <v>4695.8333333333339</v>
      </c>
      <c r="CM24" s="597">
        <f t="shared" si="0"/>
        <v>4695.8333333333294</v>
      </c>
      <c r="CN24" s="347"/>
      <c r="CO24" s="347"/>
      <c r="CP24" s="347"/>
      <c r="CQ24" s="347"/>
      <c r="CR24" s="347"/>
      <c r="CS24" s="347"/>
      <c r="CT24" s="347"/>
      <c r="CU24" s="347"/>
      <c r="CV24" s="347"/>
      <c r="CW24" s="347"/>
      <c r="CX24" s="347"/>
      <c r="CY24" s="347"/>
      <c r="CZ24" s="347"/>
      <c r="DA24" s="347"/>
      <c r="DB24" s="347"/>
      <c r="DC24" s="347"/>
      <c r="DD24" s="347"/>
      <c r="DE24" s="347"/>
      <c r="DF24" s="347"/>
      <c r="DG24" s="347"/>
      <c r="DH24" s="347"/>
      <c r="DI24" s="347"/>
      <c r="DJ24" s="347"/>
      <c r="DK24" s="347"/>
      <c r="DL24" s="347"/>
      <c r="DM24" s="347"/>
      <c r="DN24" s="347"/>
      <c r="DO24" s="347"/>
      <c r="DP24" s="347"/>
      <c r="DQ24" s="347"/>
      <c r="DR24" s="347"/>
      <c r="DS24" s="347"/>
      <c r="DT24" s="347"/>
      <c r="DU24" s="347"/>
      <c r="DV24" s="347"/>
      <c r="DW24" s="347"/>
      <c r="DX24" s="347"/>
      <c r="DY24" s="347"/>
      <c r="DZ24" s="347"/>
      <c r="EA24" s="347"/>
      <c r="EB24" s="347"/>
      <c r="EC24" s="347"/>
      <c r="ED24" s="347"/>
      <c r="EE24" s="347"/>
      <c r="EF24" s="347"/>
      <c r="EG24" s="347"/>
      <c r="EH24" s="347"/>
      <c r="EI24" s="347"/>
      <c r="EJ24" s="347"/>
      <c r="EK24" s="347"/>
      <c r="EL24" s="347"/>
      <c r="EM24" s="347"/>
      <c r="EN24" s="347"/>
      <c r="EO24" s="347"/>
      <c r="EP24" s="347"/>
      <c r="EQ24" s="347"/>
      <c r="ER24" s="347"/>
      <c r="ES24" s="347"/>
      <c r="ET24" s="347"/>
      <c r="EU24" s="347"/>
      <c r="EV24" s="347"/>
      <c r="EW24" s="347"/>
      <c r="EX24" s="347"/>
      <c r="EY24" s="347"/>
      <c r="EZ24" s="347"/>
      <c r="FA24" s="347"/>
      <c r="FB24" s="347"/>
      <c r="FC24" s="347"/>
      <c r="FD24" s="347"/>
      <c r="FE24" s="347"/>
      <c r="FF24" s="347"/>
      <c r="FG24" s="347"/>
      <c r="FH24" s="347"/>
      <c r="FI24" s="347"/>
      <c r="FJ24" s="347"/>
      <c r="FK24" s="347"/>
      <c r="FL24" s="347"/>
      <c r="FM24" s="347"/>
      <c r="FN24" s="347"/>
      <c r="FO24" s="347"/>
      <c r="FP24" s="347"/>
      <c r="FQ24" s="347"/>
      <c r="FR24" s="347"/>
      <c r="FS24" s="347"/>
      <c r="FT24" s="347"/>
      <c r="FU24" s="347"/>
      <c r="FV24" s="347"/>
    </row>
    <row r="25" spans="1:178">
      <c r="A25" s="1394"/>
      <c r="B25" s="1154" t="s">
        <v>403</v>
      </c>
      <c r="C25" s="581" t="s">
        <v>402</v>
      </c>
      <c r="D25" s="581">
        <v>0.26500000000000001</v>
      </c>
      <c r="E25" s="347"/>
      <c r="F25" s="885" t="s">
        <v>205</v>
      </c>
      <c r="G25" s="597">
        <f>$D$25*G14</f>
        <v>3003.3333333333335</v>
      </c>
      <c r="H25" s="597">
        <f t="shared" ref="H25:BS25" si="5">$D$25*H14</f>
        <v>3003.3333333333335</v>
      </c>
      <c r="I25" s="597">
        <f t="shared" si="5"/>
        <v>3003.3333333333335</v>
      </c>
      <c r="J25" s="597">
        <f t="shared" si="5"/>
        <v>3003.3333333333335</v>
      </c>
      <c r="K25" s="597">
        <f t="shared" si="5"/>
        <v>3003.3333333333335</v>
      </c>
      <c r="L25" s="597">
        <f t="shared" si="5"/>
        <v>3003.3333333333335</v>
      </c>
      <c r="M25" s="597">
        <f t="shared" si="5"/>
        <v>3003.3333333333335</v>
      </c>
      <c r="N25" s="597">
        <f t="shared" si="5"/>
        <v>3003.3333333333335</v>
      </c>
      <c r="O25" s="597">
        <f t="shared" si="5"/>
        <v>3003.3333333333335</v>
      </c>
      <c r="P25" s="597">
        <f t="shared" si="5"/>
        <v>3003.3333333333335</v>
      </c>
      <c r="Q25" s="597">
        <f t="shared" si="5"/>
        <v>3003.3333333333335</v>
      </c>
      <c r="R25" s="597">
        <f t="shared" si="5"/>
        <v>3003.3333333333335</v>
      </c>
      <c r="S25" s="597">
        <f t="shared" si="5"/>
        <v>3003.3333333333335</v>
      </c>
      <c r="T25" s="597">
        <f t="shared" si="5"/>
        <v>3003.3333333333335</v>
      </c>
      <c r="U25" s="597">
        <f t="shared" si="5"/>
        <v>3003.3333333333335</v>
      </c>
      <c r="V25" s="597">
        <f t="shared" si="5"/>
        <v>3003.3333333333335</v>
      </c>
      <c r="W25" s="597">
        <f t="shared" si="5"/>
        <v>3003.3333333333335</v>
      </c>
      <c r="X25" s="597">
        <f t="shared" si="5"/>
        <v>3003.3333333333335</v>
      </c>
      <c r="Y25" s="597">
        <f t="shared" si="5"/>
        <v>3003.3333333333335</v>
      </c>
      <c r="Z25" s="597">
        <f t="shared" si="5"/>
        <v>3003.3333333333335</v>
      </c>
      <c r="AA25" s="597">
        <f t="shared" si="5"/>
        <v>3003.3333333333335</v>
      </c>
      <c r="AB25" s="597">
        <f t="shared" si="5"/>
        <v>3003.3333333333335</v>
      </c>
      <c r="AC25" s="597">
        <f t="shared" si="5"/>
        <v>3003.3333333333335</v>
      </c>
      <c r="AD25" s="597">
        <f t="shared" si="5"/>
        <v>3003.3333333333335</v>
      </c>
      <c r="AE25" s="597">
        <f t="shared" si="5"/>
        <v>3003.3333333333335</v>
      </c>
      <c r="AF25" s="597">
        <f t="shared" si="5"/>
        <v>3003.3333333333335</v>
      </c>
      <c r="AG25" s="597">
        <f t="shared" si="5"/>
        <v>3003.3333333333335</v>
      </c>
      <c r="AH25" s="597">
        <f t="shared" si="5"/>
        <v>3003.3333333333335</v>
      </c>
      <c r="AI25" s="597">
        <f t="shared" si="5"/>
        <v>3003.3333333333335</v>
      </c>
      <c r="AJ25" s="597">
        <f t="shared" si="5"/>
        <v>3003.3333333333335</v>
      </c>
      <c r="AK25" s="597">
        <f t="shared" si="5"/>
        <v>3003.3333333333335</v>
      </c>
      <c r="AL25" s="597">
        <f t="shared" si="5"/>
        <v>3003.3333333333335</v>
      </c>
      <c r="AM25" s="597">
        <f t="shared" si="5"/>
        <v>3003.3333333333335</v>
      </c>
      <c r="AN25" s="597">
        <f t="shared" si="5"/>
        <v>3003.3333333333335</v>
      </c>
      <c r="AO25" s="597">
        <f t="shared" si="5"/>
        <v>3003.3333333333335</v>
      </c>
      <c r="AP25" s="597">
        <f t="shared" si="5"/>
        <v>3003.3333333333335</v>
      </c>
      <c r="AQ25" s="597">
        <f t="shared" si="5"/>
        <v>3003.3333333333335</v>
      </c>
      <c r="AR25" s="597">
        <f t="shared" si="5"/>
        <v>3003.3333333333335</v>
      </c>
      <c r="AS25" s="597">
        <f t="shared" si="5"/>
        <v>3003.3333333333335</v>
      </c>
      <c r="AT25" s="597">
        <f t="shared" si="5"/>
        <v>3003.3333333333335</v>
      </c>
      <c r="AU25" s="597">
        <f t="shared" si="5"/>
        <v>3003.3333333333335</v>
      </c>
      <c r="AV25" s="597">
        <f t="shared" si="5"/>
        <v>3003.3333333333335</v>
      </c>
      <c r="AW25" s="597">
        <f t="shared" si="5"/>
        <v>3003.3333333333335</v>
      </c>
      <c r="AX25" s="597">
        <f t="shared" si="5"/>
        <v>3003.3333333333335</v>
      </c>
      <c r="AY25" s="597">
        <f t="shared" si="5"/>
        <v>3003.3333333333335</v>
      </c>
      <c r="AZ25" s="597">
        <f t="shared" si="5"/>
        <v>3003.3333333333335</v>
      </c>
      <c r="BA25" s="597">
        <f t="shared" si="5"/>
        <v>3003.3333333333335</v>
      </c>
      <c r="BB25" s="597">
        <f t="shared" si="5"/>
        <v>3003.3333333333335</v>
      </c>
      <c r="BC25" s="597">
        <f t="shared" si="5"/>
        <v>3003.3333333333335</v>
      </c>
      <c r="BD25" s="597">
        <f t="shared" si="5"/>
        <v>3003.3333333333335</v>
      </c>
      <c r="BE25" s="597">
        <f t="shared" si="5"/>
        <v>3003.3333333333335</v>
      </c>
      <c r="BF25" s="597">
        <f t="shared" si="5"/>
        <v>3003.3333333333335</v>
      </c>
      <c r="BG25" s="597">
        <f t="shared" si="5"/>
        <v>3003.3333333333335</v>
      </c>
      <c r="BH25" s="597">
        <f t="shared" si="5"/>
        <v>3003.3333333333335</v>
      </c>
      <c r="BI25" s="597">
        <f t="shared" si="5"/>
        <v>3003.3333333333335</v>
      </c>
      <c r="BJ25" s="597">
        <f t="shared" si="5"/>
        <v>3003.3333333333335</v>
      </c>
      <c r="BK25" s="597">
        <f t="shared" si="5"/>
        <v>3003.3333333333335</v>
      </c>
      <c r="BL25" s="597">
        <f t="shared" si="5"/>
        <v>3003.3333333333335</v>
      </c>
      <c r="BM25" s="597">
        <f t="shared" si="5"/>
        <v>3003.3333333333335</v>
      </c>
      <c r="BN25" s="597">
        <f t="shared" si="5"/>
        <v>3003.3333333333335</v>
      </c>
      <c r="BO25" s="597">
        <f t="shared" si="5"/>
        <v>3003.3333333333335</v>
      </c>
      <c r="BP25" s="597">
        <f t="shared" si="5"/>
        <v>3003.3333333333335</v>
      </c>
      <c r="BQ25" s="597">
        <f t="shared" si="5"/>
        <v>3003.3333333333335</v>
      </c>
      <c r="BR25" s="597">
        <f t="shared" si="5"/>
        <v>3003.3333333333335</v>
      </c>
      <c r="BS25" s="597">
        <f t="shared" si="5"/>
        <v>3003.3333333333335</v>
      </c>
      <c r="BT25" s="597">
        <f t="shared" ref="BT25:CL25" si="6">$D$25*BT14</f>
        <v>3003.3333333333335</v>
      </c>
      <c r="BU25" s="597">
        <f t="shared" si="6"/>
        <v>3003.3333333333335</v>
      </c>
      <c r="BV25" s="597">
        <f t="shared" si="6"/>
        <v>3003.3333333333335</v>
      </c>
      <c r="BW25" s="597">
        <f t="shared" si="6"/>
        <v>3003.3333333333335</v>
      </c>
      <c r="BX25" s="597">
        <f t="shared" si="6"/>
        <v>3003.3333333333335</v>
      </c>
      <c r="BY25" s="597">
        <f t="shared" si="6"/>
        <v>3003.3333333333335</v>
      </c>
      <c r="BZ25" s="597">
        <f t="shared" si="6"/>
        <v>3003.3333333333335</v>
      </c>
      <c r="CA25" s="597">
        <f t="shared" si="6"/>
        <v>3003.3333333333335</v>
      </c>
      <c r="CB25" s="597">
        <f t="shared" si="6"/>
        <v>3003.3333333333335</v>
      </c>
      <c r="CC25" s="597">
        <f t="shared" si="6"/>
        <v>3003.3333333333335</v>
      </c>
      <c r="CD25" s="597">
        <f t="shared" si="6"/>
        <v>3003.3333333333335</v>
      </c>
      <c r="CE25" s="597">
        <f t="shared" si="6"/>
        <v>3003.3333333333335</v>
      </c>
      <c r="CF25" s="597">
        <f t="shared" si="6"/>
        <v>3003.3333333333335</v>
      </c>
      <c r="CG25" s="597">
        <f t="shared" si="6"/>
        <v>3003.3333333333335</v>
      </c>
      <c r="CH25" s="597">
        <f t="shared" si="6"/>
        <v>3003.3333333333335</v>
      </c>
      <c r="CI25" s="597">
        <f t="shared" si="6"/>
        <v>3003.3333333333335</v>
      </c>
      <c r="CJ25" s="597">
        <f t="shared" si="6"/>
        <v>3003.3333333333335</v>
      </c>
      <c r="CK25" s="597">
        <f t="shared" si="6"/>
        <v>3003.3333333333335</v>
      </c>
      <c r="CL25" s="597">
        <f t="shared" si="6"/>
        <v>3003.3333333333335</v>
      </c>
      <c r="CM25" s="597">
        <f t="shared" si="0"/>
        <v>3003.3333333333371</v>
      </c>
      <c r="CN25" s="347"/>
      <c r="CO25" s="347"/>
      <c r="CP25" s="347"/>
      <c r="CQ25" s="347"/>
      <c r="CR25" s="347"/>
      <c r="CS25" s="347"/>
      <c r="CT25" s="347"/>
      <c r="CU25" s="347"/>
      <c r="CV25" s="347"/>
      <c r="CW25" s="347"/>
      <c r="CX25" s="347"/>
      <c r="CY25" s="347"/>
      <c r="CZ25" s="347"/>
      <c r="DA25" s="347"/>
      <c r="DB25" s="347"/>
      <c r="DC25" s="347"/>
      <c r="DD25" s="347"/>
      <c r="DE25" s="347"/>
      <c r="DF25" s="347"/>
      <c r="DG25" s="347"/>
      <c r="DH25" s="347"/>
      <c r="DI25" s="347"/>
      <c r="DJ25" s="347"/>
      <c r="DK25" s="347"/>
      <c r="DL25" s="347"/>
      <c r="DM25" s="347"/>
      <c r="DN25" s="347"/>
      <c r="DO25" s="347"/>
      <c r="DP25" s="347"/>
      <c r="DQ25" s="347"/>
      <c r="DR25" s="347"/>
      <c r="DS25" s="347"/>
      <c r="DT25" s="347"/>
      <c r="DU25" s="347"/>
      <c r="DV25" s="347"/>
      <c r="DW25" s="347"/>
      <c r="DX25" s="347"/>
      <c r="DY25" s="347"/>
      <c r="DZ25" s="347"/>
      <c r="EA25" s="347"/>
      <c r="EB25" s="347"/>
      <c r="EC25" s="347"/>
      <c r="ED25" s="347"/>
      <c r="EE25" s="347"/>
      <c r="EF25" s="347"/>
      <c r="EG25" s="347"/>
      <c r="EH25" s="347"/>
      <c r="EI25" s="347"/>
      <c r="EJ25" s="347"/>
      <c r="EK25" s="347"/>
      <c r="EL25" s="347"/>
      <c r="EM25" s="347"/>
      <c r="EN25" s="347"/>
      <c r="EO25" s="347"/>
      <c r="EP25" s="347"/>
      <c r="EQ25" s="347"/>
      <c r="ER25" s="347"/>
      <c r="ES25" s="347"/>
      <c r="ET25" s="347"/>
      <c r="EU25" s="347"/>
      <c r="EV25" s="347"/>
      <c r="EW25" s="347"/>
      <c r="EX25" s="347"/>
      <c r="EY25" s="347"/>
      <c r="EZ25" s="347"/>
      <c r="FA25" s="347"/>
      <c r="FB25" s="347"/>
      <c r="FC25" s="347"/>
      <c r="FD25" s="347"/>
      <c r="FE25" s="347"/>
      <c r="FF25" s="347"/>
      <c r="FG25" s="347"/>
      <c r="FH25" s="347"/>
      <c r="FI25" s="347"/>
      <c r="FJ25" s="347"/>
      <c r="FK25" s="347"/>
      <c r="FL25" s="347"/>
      <c r="FM25" s="347"/>
      <c r="FN25" s="347"/>
      <c r="FO25" s="347"/>
      <c r="FP25" s="347"/>
      <c r="FQ25" s="347"/>
      <c r="FR25" s="347"/>
      <c r="FS25" s="347"/>
      <c r="FT25" s="347"/>
      <c r="FU25" s="347"/>
      <c r="FV25" s="347"/>
    </row>
    <row r="26" spans="1:178">
      <c r="A26" s="1394"/>
      <c r="B26" s="1154" t="s">
        <v>403</v>
      </c>
      <c r="C26" s="581" t="s">
        <v>402</v>
      </c>
      <c r="D26" s="581">
        <v>0.18049999999999999</v>
      </c>
      <c r="E26" s="347"/>
      <c r="F26" s="885" t="s">
        <v>206</v>
      </c>
      <c r="G26" s="597">
        <f>$D$26*G15</f>
        <v>16109.625</v>
      </c>
      <c r="H26" s="597">
        <f t="shared" ref="H26:BS26" si="7">$D$26*H15</f>
        <v>16109.625</v>
      </c>
      <c r="I26" s="597">
        <f t="shared" si="7"/>
        <v>16109.625</v>
      </c>
      <c r="J26" s="597">
        <f t="shared" si="7"/>
        <v>16109.625</v>
      </c>
      <c r="K26" s="597">
        <f t="shared" si="7"/>
        <v>16109.625</v>
      </c>
      <c r="L26" s="597">
        <f t="shared" si="7"/>
        <v>16109.625</v>
      </c>
      <c r="M26" s="597">
        <f t="shared" si="7"/>
        <v>16109.625</v>
      </c>
      <c r="N26" s="597">
        <f t="shared" si="7"/>
        <v>16109.625</v>
      </c>
      <c r="O26" s="597">
        <f t="shared" si="7"/>
        <v>16109.625</v>
      </c>
      <c r="P26" s="597">
        <f t="shared" si="7"/>
        <v>16109.625</v>
      </c>
      <c r="Q26" s="597">
        <f t="shared" si="7"/>
        <v>16109.625</v>
      </c>
      <c r="R26" s="597">
        <f t="shared" si="7"/>
        <v>16109.625</v>
      </c>
      <c r="S26" s="597">
        <f t="shared" si="7"/>
        <v>16109.625</v>
      </c>
      <c r="T26" s="597">
        <f t="shared" si="7"/>
        <v>16109.625</v>
      </c>
      <c r="U26" s="597">
        <f t="shared" si="7"/>
        <v>16109.625</v>
      </c>
      <c r="V26" s="597">
        <f t="shared" si="7"/>
        <v>16109.625</v>
      </c>
      <c r="W26" s="597">
        <f t="shared" si="7"/>
        <v>16109.625</v>
      </c>
      <c r="X26" s="597">
        <f t="shared" si="7"/>
        <v>16109.625</v>
      </c>
      <c r="Y26" s="597">
        <f t="shared" si="7"/>
        <v>16109.625</v>
      </c>
      <c r="Z26" s="597">
        <f t="shared" si="7"/>
        <v>16109.625</v>
      </c>
      <c r="AA26" s="597">
        <f t="shared" si="7"/>
        <v>16109.625</v>
      </c>
      <c r="AB26" s="597">
        <f t="shared" si="7"/>
        <v>16109.625</v>
      </c>
      <c r="AC26" s="597">
        <f t="shared" si="7"/>
        <v>16109.625</v>
      </c>
      <c r="AD26" s="597">
        <f t="shared" si="7"/>
        <v>16109.625</v>
      </c>
      <c r="AE26" s="597">
        <f t="shared" si="7"/>
        <v>16109.625</v>
      </c>
      <c r="AF26" s="597">
        <f t="shared" si="7"/>
        <v>16109.625</v>
      </c>
      <c r="AG26" s="597">
        <f t="shared" si="7"/>
        <v>16109.625</v>
      </c>
      <c r="AH26" s="597">
        <f t="shared" si="7"/>
        <v>16109.625</v>
      </c>
      <c r="AI26" s="597">
        <f t="shared" si="7"/>
        <v>16109.625</v>
      </c>
      <c r="AJ26" s="597">
        <f t="shared" si="7"/>
        <v>16109.625</v>
      </c>
      <c r="AK26" s="597">
        <f t="shared" si="7"/>
        <v>16109.625</v>
      </c>
      <c r="AL26" s="597">
        <f t="shared" si="7"/>
        <v>16109.625</v>
      </c>
      <c r="AM26" s="597">
        <f t="shared" si="7"/>
        <v>16109.625</v>
      </c>
      <c r="AN26" s="597">
        <f t="shared" si="7"/>
        <v>16109.625</v>
      </c>
      <c r="AO26" s="597">
        <f t="shared" si="7"/>
        <v>16109.625</v>
      </c>
      <c r="AP26" s="597">
        <f t="shared" si="7"/>
        <v>16109.625</v>
      </c>
      <c r="AQ26" s="597">
        <f t="shared" si="7"/>
        <v>16109.625</v>
      </c>
      <c r="AR26" s="597">
        <f t="shared" si="7"/>
        <v>16109.625</v>
      </c>
      <c r="AS26" s="597">
        <f t="shared" si="7"/>
        <v>16109.625</v>
      </c>
      <c r="AT26" s="597">
        <f t="shared" si="7"/>
        <v>16109.625</v>
      </c>
      <c r="AU26" s="597">
        <f t="shared" si="7"/>
        <v>16109.625</v>
      </c>
      <c r="AV26" s="597">
        <f t="shared" si="7"/>
        <v>16109.625</v>
      </c>
      <c r="AW26" s="597">
        <f t="shared" si="7"/>
        <v>16109.625</v>
      </c>
      <c r="AX26" s="597">
        <f t="shared" si="7"/>
        <v>16109.625</v>
      </c>
      <c r="AY26" s="597">
        <f t="shared" si="7"/>
        <v>16109.625</v>
      </c>
      <c r="AZ26" s="597">
        <f t="shared" si="7"/>
        <v>16109.625</v>
      </c>
      <c r="BA26" s="597">
        <f t="shared" si="7"/>
        <v>16109.625</v>
      </c>
      <c r="BB26" s="597">
        <f t="shared" si="7"/>
        <v>16109.625</v>
      </c>
      <c r="BC26" s="597">
        <f t="shared" si="7"/>
        <v>16109.625</v>
      </c>
      <c r="BD26" s="597">
        <f t="shared" si="7"/>
        <v>16109.625</v>
      </c>
      <c r="BE26" s="597">
        <f t="shared" si="7"/>
        <v>16109.625</v>
      </c>
      <c r="BF26" s="597">
        <f t="shared" si="7"/>
        <v>16109.625</v>
      </c>
      <c r="BG26" s="597">
        <f t="shared" si="7"/>
        <v>16109.625</v>
      </c>
      <c r="BH26" s="597">
        <f t="shared" si="7"/>
        <v>16109.625</v>
      </c>
      <c r="BI26" s="597">
        <f t="shared" si="7"/>
        <v>16109.625</v>
      </c>
      <c r="BJ26" s="597">
        <f t="shared" si="7"/>
        <v>16109.625</v>
      </c>
      <c r="BK26" s="597">
        <f t="shared" si="7"/>
        <v>16109.625</v>
      </c>
      <c r="BL26" s="597">
        <f t="shared" si="7"/>
        <v>16109.625</v>
      </c>
      <c r="BM26" s="597">
        <f t="shared" si="7"/>
        <v>16109.625</v>
      </c>
      <c r="BN26" s="597">
        <f t="shared" si="7"/>
        <v>16109.625</v>
      </c>
      <c r="BO26" s="597">
        <f t="shared" si="7"/>
        <v>16109.625</v>
      </c>
      <c r="BP26" s="597">
        <f t="shared" si="7"/>
        <v>16109.625</v>
      </c>
      <c r="BQ26" s="597">
        <f t="shared" si="7"/>
        <v>16109.625</v>
      </c>
      <c r="BR26" s="597">
        <f t="shared" si="7"/>
        <v>16109.625</v>
      </c>
      <c r="BS26" s="597">
        <f t="shared" si="7"/>
        <v>16109.625</v>
      </c>
      <c r="BT26" s="597">
        <f t="shared" ref="BT26:CL26" si="8">$D$26*BT15</f>
        <v>16109.625</v>
      </c>
      <c r="BU26" s="597">
        <f t="shared" si="8"/>
        <v>16109.625</v>
      </c>
      <c r="BV26" s="597">
        <f t="shared" si="8"/>
        <v>16109.625</v>
      </c>
      <c r="BW26" s="597">
        <f t="shared" si="8"/>
        <v>16109.625</v>
      </c>
      <c r="BX26" s="597">
        <f t="shared" si="8"/>
        <v>16109.625</v>
      </c>
      <c r="BY26" s="597">
        <f t="shared" si="8"/>
        <v>16109.625</v>
      </c>
      <c r="BZ26" s="597">
        <f t="shared" si="8"/>
        <v>16109.625</v>
      </c>
      <c r="CA26" s="597">
        <f t="shared" si="8"/>
        <v>16109.625</v>
      </c>
      <c r="CB26" s="597">
        <f t="shared" si="8"/>
        <v>16109.625</v>
      </c>
      <c r="CC26" s="597">
        <f t="shared" si="8"/>
        <v>16109.625</v>
      </c>
      <c r="CD26" s="597">
        <f t="shared" si="8"/>
        <v>16109.625</v>
      </c>
      <c r="CE26" s="597">
        <f t="shared" si="8"/>
        <v>16109.625</v>
      </c>
      <c r="CF26" s="597">
        <f t="shared" si="8"/>
        <v>16109.625</v>
      </c>
      <c r="CG26" s="597">
        <f t="shared" si="8"/>
        <v>16109.625</v>
      </c>
      <c r="CH26" s="597">
        <f t="shared" si="8"/>
        <v>16109.625</v>
      </c>
      <c r="CI26" s="597">
        <f t="shared" si="8"/>
        <v>16109.625</v>
      </c>
      <c r="CJ26" s="597">
        <f t="shared" si="8"/>
        <v>16109.625</v>
      </c>
      <c r="CK26" s="597">
        <f t="shared" si="8"/>
        <v>16109.625</v>
      </c>
      <c r="CL26" s="597">
        <f t="shared" si="8"/>
        <v>16109.625</v>
      </c>
      <c r="CM26" s="597">
        <f t="shared" si="0"/>
        <v>16109.625</v>
      </c>
      <c r="CN26" s="347"/>
      <c r="CO26" s="347"/>
      <c r="CP26" s="347"/>
      <c r="CQ26" s="347"/>
      <c r="CR26" s="347"/>
      <c r="CS26" s="347"/>
      <c r="CT26" s="347"/>
      <c r="CU26" s="347"/>
      <c r="CV26" s="347"/>
      <c r="CW26" s="347"/>
      <c r="CX26" s="347"/>
      <c r="CY26" s="347"/>
      <c r="CZ26" s="347"/>
      <c r="DA26" s="347"/>
      <c r="DB26" s="347"/>
      <c r="DC26" s="347"/>
      <c r="DD26" s="347"/>
      <c r="DE26" s="347"/>
      <c r="DF26" s="347"/>
      <c r="DG26" s="347"/>
      <c r="DH26" s="347"/>
      <c r="DI26" s="347"/>
      <c r="DJ26" s="347"/>
      <c r="DK26" s="347"/>
      <c r="DL26" s="347"/>
      <c r="DM26" s="347"/>
      <c r="DN26" s="347"/>
      <c r="DO26" s="347"/>
      <c r="DP26" s="347"/>
      <c r="DQ26" s="347"/>
      <c r="DR26" s="347"/>
      <c r="DS26" s="347"/>
      <c r="DT26" s="347"/>
      <c r="DU26" s="347"/>
      <c r="DV26" s="347"/>
      <c r="DW26" s="347"/>
      <c r="DX26" s="347"/>
      <c r="DY26" s="347"/>
      <c r="DZ26" s="347"/>
      <c r="EA26" s="347"/>
      <c r="EB26" s="347"/>
      <c r="EC26" s="347"/>
      <c r="ED26" s="347"/>
      <c r="EE26" s="347"/>
      <c r="EF26" s="347"/>
      <c r="EG26" s="347"/>
      <c r="EH26" s="347"/>
      <c r="EI26" s="347"/>
      <c r="EJ26" s="347"/>
      <c r="EK26" s="347"/>
      <c r="EL26" s="347"/>
      <c r="EM26" s="347"/>
      <c r="EN26" s="347"/>
      <c r="EO26" s="347"/>
      <c r="EP26" s="347"/>
      <c r="EQ26" s="347"/>
      <c r="ER26" s="347"/>
      <c r="ES26" s="347"/>
      <c r="ET26" s="347"/>
      <c r="EU26" s="347"/>
      <c r="EV26" s="347"/>
      <c r="EW26" s="347"/>
      <c r="EX26" s="347"/>
      <c r="EY26" s="347"/>
      <c r="EZ26" s="347"/>
      <c r="FA26" s="347"/>
      <c r="FB26" s="347"/>
      <c r="FC26" s="347"/>
      <c r="FD26" s="347"/>
      <c r="FE26" s="347"/>
      <c r="FF26" s="347"/>
      <c r="FG26" s="347"/>
      <c r="FH26" s="347"/>
      <c r="FI26" s="347"/>
      <c r="FJ26" s="347"/>
      <c r="FK26" s="347"/>
      <c r="FL26" s="347"/>
      <c r="FM26" s="347"/>
      <c r="FN26" s="347"/>
      <c r="FO26" s="347"/>
      <c r="FP26" s="347"/>
      <c r="FQ26" s="347"/>
      <c r="FR26" s="347"/>
      <c r="FS26" s="347"/>
      <c r="FT26" s="347"/>
      <c r="FU26" s="347"/>
      <c r="FV26" s="347"/>
    </row>
    <row r="27" spans="1:178">
      <c r="A27" s="1394"/>
      <c r="B27" s="1154" t="s">
        <v>403</v>
      </c>
      <c r="C27" s="581" t="s">
        <v>402</v>
      </c>
      <c r="D27" s="581">
        <v>1.8104</v>
      </c>
      <c r="E27" s="347"/>
      <c r="F27" s="885" t="s">
        <v>207</v>
      </c>
      <c r="G27" s="597">
        <f>$D$27*G16</f>
        <v>207147.17493333333</v>
      </c>
      <c r="H27" s="597">
        <f t="shared" ref="H27:BS27" si="9">$D$27*H16</f>
        <v>207147.17493333333</v>
      </c>
      <c r="I27" s="597">
        <f t="shared" si="9"/>
        <v>207147.17493333333</v>
      </c>
      <c r="J27" s="597">
        <f t="shared" si="9"/>
        <v>207147.17493333333</v>
      </c>
      <c r="K27" s="597">
        <f t="shared" si="9"/>
        <v>207147.17493333333</v>
      </c>
      <c r="L27" s="597">
        <f t="shared" si="9"/>
        <v>207147.17493333333</v>
      </c>
      <c r="M27" s="597">
        <f t="shared" si="9"/>
        <v>207147.17493333333</v>
      </c>
      <c r="N27" s="597">
        <f t="shared" si="9"/>
        <v>207147.17493333333</v>
      </c>
      <c r="O27" s="597">
        <f t="shared" si="9"/>
        <v>207147.17493333333</v>
      </c>
      <c r="P27" s="597">
        <f t="shared" si="9"/>
        <v>207147.17493333333</v>
      </c>
      <c r="Q27" s="597">
        <f t="shared" si="9"/>
        <v>207147.17493333333</v>
      </c>
      <c r="R27" s="597">
        <f t="shared" si="9"/>
        <v>207147.17493333333</v>
      </c>
      <c r="S27" s="597">
        <f t="shared" si="9"/>
        <v>207147.17493333333</v>
      </c>
      <c r="T27" s="597">
        <f t="shared" si="9"/>
        <v>207147.17493333333</v>
      </c>
      <c r="U27" s="597">
        <f t="shared" si="9"/>
        <v>207147.17493333333</v>
      </c>
      <c r="V27" s="597">
        <f t="shared" si="9"/>
        <v>207147.17493333333</v>
      </c>
      <c r="W27" s="597">
        <f t="shared" si="9"/>
        <v>207147.17493333333</v>
      </c>
      <c r="X27" s="597">
        <f t="shared" si="9"/>
        <v>207147.17493333333</v>
      </c>
      <c r="Y27" s="597">
        <f t="shared" si="9"/>
        <v>207147.17493333333</v>
      </c>
      <c r="Z27" s="597">
        <f t="shared" si="9"/>
        <v>207147.17493333333</v>
      </c>
      <c r="AA27" s="597">
        <f t="shared" si="9"/>
        <v>207147.17493333333</v>
      </c>
      <c r="AB27" s="597">
        <f t="shared" si="9"/>
        <v>207147.17493333333</v>
      </c>
      <c r="AC27" s="597">
        <f t="shared" si="9"/>
        <v>207147.17493333333</v>
      </c>
      <c r="AD27" s="597">
        <f t="shared" si="9"/>
        <v>207147.17493333333</v>
      </c>
      <c r="AE27" s="597">
        <f t="shared" si="9"/>
        <v>207147.17493333333</v>
      </c>
      <c r="AF27" s="597">
        <f t="shared" si="9"/>
        <v>207147.17493333333</v>
      </c>
      <c r="AG27" s="597">
        <f t="shared" si="9"/>
        <v>207147.17493333333</v>
      </c>
      <c r="AH27" s="597">
        <f t="shared" si="9"/>
        <v>207147.17493333333</v>
      </c>
      <c r="AI27" s="597">
        <f t="shared" si="9"/>
        <v>207147.17493333333</v>
      </c>
      <c r="AJ27" s="597">
        <f t="shared" si="9"/>
        <v>207147.17493333333</v>
      </c>
      <c r="AK27" s="597">
        <f t="shared" si="9"/>
        <v>207147.17493333333</v>
      </c>
      <c r="AL27" s="597">
        <f t="shared" si="9"/>
        <v>207147.17493333333</v>
      </c>
      <c r="AM27" s="597">
        <f t="shared" si="9"/>
        <v>207147.17493333333</v>
      </c>
      <c r="AN27" s="597">
        <f t="shared" si="9"/>
        <v>207147.17493333333</v>
      </c>
      <c r="AO27" s="597">
        <f t="shared" si="9"/>
        <v>207147.17493333333</v>
      </c>
      <c r="AP27" s="597">
        <f t="shared" si="9"/>
        <v>207147.17493333333</v>
      </c>
      <c r="AQ27" s="597">
        <f t="shared" si="9"/>
        <v>207147.17493333333</v>
      </c>
      <c r="AR27" s="597">
        <f t="shared" si="9"/>
        <v>207147.17493333333</v>
      </c>
      <c r="AS27" s="597">
        <f t="shared" si="9"/>
        <v>207147.17493333333</v>
      </c>
      <c r="AT27" s="597">
        <f t="shared" si="9"/>
        <v>207147.17493333333</v>
      </c>
      <c r="AU27" s="597">
        <f t="shared" si="9"/>
        <v>207147.17493333333</v>
      </c>
      <c r="AV27" s="597">
        <f t="shared" si="9"/>
        <v>207147.17493333333</v>
      </c>
      <c r="AW27" s="597">
        <f t="shared" si="9"/>
        <v>207147.17493333333</v>
      </c>
      <c r="AX27" s="597">
        <f t="shared" si="9"/>
        <v>207147.17493333333</v>
      </c>
      <c r="AY27" s="597">
        <f t="shared" si="9"/>
        <v>207147.17493333333</v>
      </c>
      <c r="AZ27" s="597">
        <f t="shared" si="9"/>
        <v>207147.17493333333</v>
      </c>
      <c r="BA27" s="597">
        <f t="shared" si="9"/>
        <v>207147.17493333333</v>
      </c>
      <c r="BB27" s="597">
        <f t="shared" si="9"/>
        <v>207147.17493333333</v>
      </c>
      <c r="BC27" s="597">
        <f t="shared" si="9"/>
        <v>207147.17493333333</v>
      </c>
      <c r="BD27" s="597">
        <f t="shared" si="9"/>
        <v>207147.17493333333</v>
      </c>
      <c r="BE27" s="597">
        <f t="shared" si="9"/>
        <v>207147.17493333333</v>
      </c>
      <c r="BF27" s="597">
        <f t="shared" si="9"/>
        <v>207147.17493333333</v>
      </c>
      <c r="BG27" s="597">
        <f t="shared" si="9"/>
        <v>207147.17493333333</v>
      </c>
      <c r="BH27" s="597">
        <f t="shared" si="9"/>
        <v>207147.17493333333</v>
      </c>
      <c r="BI27" s="597">
        <f t="shared" si="9"/>
        <v>207147.17493333333</v>
      </c>
      <c r="BJ27" s="597">
        <f t="shared" si="9"/>
        <v>207147.17493333333</v>
      </c>
      <c r="BK27" s="597">
        <f t="shared" si="9"/>
        <v>207147.17493333333</v>
      </c>
      <c r="BL27" s="597">
        <f t="shared" si="9"/>
        <v>207147.17493333333</v>
      </c>
      <c r="BM27" s="597">
        <f t="shared" si="9"/>
        <v>207147.17493333333</v>
      </c>
      <c r="BN27" s="597">
        <f t="shared" si="9"/>
        <v>207147.17493333333</v>
      </c>
      <c r="BO27" s="597">
        <f t="shared" si="9"/>
        <v>207147.17493333333</v>
      </c>
      <c r="BP27" s="597">
        <f t="shared" si="9"/>
        <v>207147.17493333333</v>
      </c>
      <c r="BQ27" s="597">
        <f t="shared" si="9"/>
        <v>207147.17493333333</v>
      </c>
      <c r="BR27" s="597">
        <f t="shared" si="9"/>
        <v>207147.17493333333</v>
      </c>
      <c r="BS27" s="597">
        <f t="shared" si="9"/>
        <v>207147.17493333333</v>
      </c>
      <c r="BT27" s="597">
        <f t="shared" ref="BT27:CL27" si="10">$D$27*BT16</f>
        <v>207147.17493333333</v>
      </c>
      <c r="BU27" s="597">
        <f t="shared" si="10"/>
        <v>207147.17493333333</v>
      </c>
      <c r="BV27" s="597">
        <f t="shared" si="10"/>
        <v>207147.17493333333</v>
      </c>
      <c r="BW27" s="597">
        <f t="shared" si="10"/>
        <v>207147.17493333333</v>
      </c>
      <c r="BX27" s="597">
        <f t="shared" si="10"/>
        <v>207147.17493333333</v>
      </c>
      <c r="BY27" s="597">
        <f t="shared" si="10"/>
        <v>207147.17493333333</v>
      </c>
      <c r="BZ27" s="597">
        <f t="shared" si="10"/>
        <v>207147.17493333333</v>
      </c>
      <c r="CA27" s="597">
        <f t="shared" si="10"/>
        <v>207147.17493333333</v>
      </c>
      <c r="CB27" s="597">
        <f t="shared" si="10"/>
        <v>207147.17493333333</v>
      </c>
      <c r="CC27" s="597">
        <f t="shared" si="10"/>
        <v>207147.17493333333</v>
      </c>
      <c r="CD27" s="597">
        <f t="shared" si="10"/>
        <v>207147.17493333333</v>
      </c>
      <c r="CE27" s="597">
        <f t="shared" si="10"/>
        <v>207147.17493333333</v>
      </c>
      <c r="CF27" s="597">
        <f t="shared" si="10"/>
        <v>207147.17493333333</v>
      </c>
      <c r="CG27" s="597">
        <f t="shared" si="10"/>
        <v>207147.17493333333</v>
      </c>
      <c r="CH27" s="597">
        <f t="shared" si="10"/>
        <v>207147.17493333333</v>
      </c>
      <c r="CI27" s="597">
        <f t="shared" si="10"/>
        <v>207147.17493333333</v>
      </c>
      <c r="CJ27" s="597">
        <f t="shared" si="10"/>
        <v>207147.17493333333</v>
      </c>
      <c r="CK27" s="597">
        <f t="shared" si="10"/>
        <v>207147.17493333333</v>
      </c>
      <c r="CL27" s="597">
        <f t="shared" si="10"/>
        <v>207147.17493333333</v>
      </c>
      <c r="CM27" s="597">
        <f t="shared" si="0"/>
        <v>207147.1749333331</v>
      </c>
      <c r="CN27" s="347"/>
      <c r="CO27" s="347"/>
      <c r="CP27" s="347"/>
      <c r="CQ27" s="347"/>
      <c r="CR27" s="347"/>
      <c r="CS27" s="347"/>
      <c r="CT27" s="347"/>
      <c r="CU27" s="347"/>
      <c r="CV27" s="347"/>
      <c r="CW27" s="347"/>
      <c r="CX27" s="347"/>
      <c r="CY27" s="347"/>
      <c r="CZ27" s="347"/>
      <c r="DA27" s="347"/>
      <c r="DB27" s="347"/>
      <c r="DC27" s="347"/>
      <c r="DD27" s="347"/>
      <c r="DE27" s="347"/>
      <c r="DF27" s="347"/>
      <c r="DG27" s="347"/>
      <c r="DH27" s="347"/>
      <c r="DI27" s="347"/>
      <c r="DJ27" s="347"/>
      <c r="DK27" s="347"/>
      <c r="DL27" s="347"/>
      <c r="DM27" s="347"/>
      <c r="DN27" s="347"/>
      <c r="DO27" s="347"/>
      <c r="DP27" s="347"/>
      <c r="DQ27" s="347"/>
      <c r="DR27" s="347"/>
      <c r="DS27" s="347"/>
      <c r="DT27" s="347"/>
      <c r="DU27" s="347"/>
      <c r="DV27" s="347"/>
      <c r="DW27" s="347"/>
      <c r="DX27" s="347"/>
      <c r="DY27" s="347"/>
      <c r="DZ27" s="347"/>
      <c r="EA27" s="347"/>
      <c r="EB27" s="347"/>
      <c r="EC27" s="347"/>
      <c r="ED27" s="347"/>
      <c r="EE27" s="347"/>
      <c r="EF27" s="347"/>
      <c r="EG27" s="347"/>
      <c r="EH27" s="347"/>
      <c r="EI27" s="347"/>
      <c r="EJ27" s="347"/>
      <c r="EK27" s="347"/>
      <c r="EL27" s="347"/>
      <c r="EM27" s="347"/>
      <c r="EN27" s="347"/>
      <c r="EO27" s="347"/>
      <c r="EP27" s="347"/>
      <c r="EQ27" s="347"/>
      <c r="ER27" s="347"/>
      <c r="ES27" s="347"/>
      <c r="ET27" s="347"/>
      <c r="EU27" s="347"/>
      <c r="EV27" s="347"/>
      <c r="EW27" s="347"/>
      <c r="EX27" s="347"/>
      <c r="EY27" s="347"/>
      <c r="EZ27" s="347"/>
      <c r="FA27" s="347"/>
      <c r="FB27" s="347"/>
      <c r="FC27" s="347"/>
      <c r="FD27" s="347"/>
      <c r="FE27" s="347"/>
      <c r="FF27" s="347"/>
      <c r="FG27" s="347"/>
      <c r="FH27" s="347"/>
      <c r="FI27" s="347"/>
      <c r="FJ27" s="347"/>
      <c r="FK27" s="347"/>
      <c r="FL27" s="347"/>
      <c r="FM27" s="347"/>
      <c r="FN27" s="347"/>
      <c r="FO27" s="347"/>
      <c r="FP27" s="347"/>
      <c r="FQ27" s="347"/>
      <c r="FR27" s="347"/>
      <c r="FS27" s="347"/>
      <c r="FT27" s="347"/>
      <c r="FU27" s="347"/>
      <c r="FV27" s="347"/>
    </row>
    <row r="28" spans="1:178">
      <c r="A28" s="1394"/>
      <c r="B28" s="1154" t="s">
        <v>403</v>
      </c>
      <c r="C28" s="581" t="s">
        <v>151</v>
      </c>
      <c r="D28" s="581"/>
      <c r="E28" s="347"/>
      <c r="F28" s="886" t="s">
        <v>406</v>
      </c>
      <c r="G28" s="887">
        <f>(G29*G2+G30*G3+G31*G4+G32*G5)/SUM(G29:G32)</f>
        <v>27046.364124149582</v>
      </c>
      <c r="H28" s="887">
        <f t="shared" ref="H28:BS28" si="11">(H29*H2+H30*H3+H31*H4+H32*H5)/SUM(H29:H32)</f>
        <v>27862.27788339568</v>
      </c>
      <c r="I28" s="887">
        <f t="shared" si="11"/>
        <v>29106.547757969009</v>
      </c>
      <c r="J28" s="887">
        <f t="shared" si="11"/>
        <v>26622.001379521578</v>
      </c>
      <c r="K28" s="887">
        <f t="shared" si="11"/>
        <v>26122.99196868408</v>
      </c>
      <c r="L28" s="887">
        <f t="shared" si="11"/>
        <v>26329.32082427607</v>
      </c>
      <c r="M28" s="887">
        <f t="shared" si="11"/>
        <v>25845.330210218599</v>
      </c>
      <c r="N28" s="887">
        <f t="shared" si="11"/>
        <v>26065.877925593693</v>
      </c>
      <c r="O28" s="887">
        <f t="shared" si="11"/>
        <v>25971.07998474054</v>
      </c>
      <c r="P28" s="887">
        <f t="shared" si="11"/>
        <v>25737.681118589175</v>
      </c>
      <c r="Q28" s="887">
        <f t="shared" si="11"/>
        <v>26323.859799690184</v>
      </c>
      <c r="R28" s="887">
        <f t="shared" si="11"/>
        <v>26163.019937767924</v>
      </c>
      <c r="S28" s="887">
        <f t="shared" si="11"/>
        <v>25714.596630753786</v>
      </c>
      <c r="T28" s="887">
        <f t="shared" si="11"/>
        <v>25008.240015403389</v>
      </c>
      <c r="U28" s="887">
        <f t="shared" si="11"/>
        <v>24012.622523622671</v>
      </c>
      <c r="V28" s="887">
        <f t="shared" si="11"/>
        <v>24374.579497475283</v>
      </c>
      <c r="W28" s="887">
        <f t="shared" si="11"/>
        <v>24164.663380872109</v>
      </c>
      <c r="X28" s="887">
        <f t="shared" si="11"/>
        <v>22860.779592999803</v>
      </c>
      <c r="Y28" s="887">
        <f t="shared" si="11"/>
        <v>21985.92094233392</v>
      </c>
      <c r="Z28" s="887">
        <f t="shared" si="11"/>
        <v>22302.896412019691</v>
      </c>
      <c r="AA28" s="887">
        <f t="shared" si="11"/>
        <v>22323.755169966516</v>
      </c>
      <c r="AB28" s="887">
        <f t="shared" si="11"/>
        <v>24128.895482762979</v>
      </c>
      <c r="AC28" s="887">
        <f t="shared" si="11"/>
        <v>23601.566186085573</v>
      </c>
      <c r="AD28" s="887">
        <f t="shared" si="11"/>
        <v>23963.398332694804</v>
      </c>
      <c r="AE28" s="887">
        <f t="shared" si="11"/>
        <v>23273.155181508184</v>
      </c>
      <c r="AF28" s="887">
        <f t="shared" si="11"/>
        <v>23249.467060341798</v>
      </c>
      <c r="AG28" s="887">
        <f t="shared" si="11"/>
        <v>24187.356369057037</v>
      </c>
      <c r="AH28" s="887">
        <f t="shared" si="11"/>
        <v>25757.72603870527</v>
      </c>
      <c r="AI28" s="887">
        <f t="shared" si="11"/>
        <v>24403.941470739839</v>
      </c>
      <c r="AJ28" s="887">
        <f t="shared" si="11"/>
        <v>22456.61990613538</v>
      </c>
      <c r="AK28" s="887">
        <f t="shared" si="11"/>
        <v>23168.795622406877</v>
      </c>
      <c r="AL28" s="887">
        <f t="shared" si="11"/>
        <v>23032.476475757412</v>
      </c>
      <c r="AM28" s="887">
        <f t="shared" si="11"/>
        <v>23184.427630585276</v>
      </c>
      <c r="AN28" s="887">
        <f t="shared" si="11"/>
        <v>22788.958080123335</v>
      </c>
      <c r="AO28" s="887">
        <f t="shared" si="11"/>
        <v>22646.049031788923</v>
      </c>
      <c r="AP28" s="887">
        <f t="shared" si="11"/>
        <v>22827.368595205324</v>
      </c>
      <c r="AQ28" s="887">
        <f t="shared" si="11"/>
        <v>23741.1830123568</v>
      </c>
      <c r="AR28" s="887">
        <f t="shared" si="11"/>
        <v>23346.451213263575</v>
      </c>
      <c r="AS28" s="887">
        <f t="shared" si="11"/>
        <v>23741.281920097725</v>
      </c>
      <c r="AT28" s="887">
        <f t="shared" si="11"/>
        <v>23054.901049735094</v>
      </c>
      <c r="AU28" s="887">
        <f t="shared" si="11"/>
        <v>24947.130832700168</v>
      </c>
      <c r="AV28" s="887">
        <f t="shared" si="11"/>
        <v>23096.458697573402</v>
      </c>
      <c r="AW28" s="887">
        <f t="shared" si="11"/>
        <v>23769.864803228622</v>
      </c>
      <c r="AX28" s="887">
        <f t="shared" si="11"/>
        <v>24563.037940397928</v>
      </c>
      <c r="AY28" s="887">
        <f t="shared" si="11"/>
        <v>24799.137456974149</v>
      </c>
      <c r="AZ28" s="887">
        <f t="shared" si="11"/>
        <v>25255.864546023393</v>
      </c>
      <c r="BA28" s="887">
        <f t="shared" si="11"/>
        <v>25281.55773046285</v>
      </c>
      <c r="BB28" s="887">
        <f t="shared" si="11"/>
        <v>26181.344823626052</v>
      </c>
      <c r="BC28" s="887">
        <f t="shared" si="11"/>
        <v>27278.759513465575</v>
      </c>
      <c r="BD28" s="887">
        <f t="shared" si="11"/>
        <v>26745.553144935424</v>
      </c>
      <c r="BE28" s="887">
        <f t="shared" si="11"/>
        <v>29685.422023385559</v>
      </c>
      <c r="BF28" s="887">
        <f t="shared" si="11"/>
        <v>27527.555186235131</v>
      </c>
      <c r="BG28" s="887">
        <f t="shared" si="11"/>
        <v>26154.414005641567</v>
      </c>
      <c r="BH28" s="887">
        <f t="shared" si="11"/>
        <v>25507.210496070555</v>
      </c>
      <c r="BI28" s="887">
        <f t="shared" si="11"/>
        <v>25878.841861339351</v>
      </c>
      <c r="BJ28" s="887">
        <f t="shared" si="11"/>
        <v>25650.409620350114</v>
      </c>
      <c r="BK28" s="887">
        <f t="shared" si="11"/>
        <v>25467.226196656946</v>
      </c>
      <c r="BL28" s="887">
        <f t="shared" si="11"/>
        <v>24686.387455674678</v>
      </c>
      <c r="BM28" s="887">
        <f t="shared" si="11"/>
        <v>24914.097491743909</v>
      </c>
      <c r="BN28" s="887">
        <f t="shared" si="11"/>
        <v>25118.724258135604</v>
      </c>
      <c r="BO28" s="887">
        <f t="shared" si="11"/>
        <v>24683.304580037457</v>
      </c>
      <c r="BP28" s="887">
        <f t="shared" si="11"/>
        <v>25293.637189629699</v>
      </c>
      <c r="BQ28" s="887">
        <f t="shared" si="11"/>
        <v>24961.186400504368</v>
      </c>
      <c r="BR28" s="887">
        <f t="shared" si="11"/>
        <v>24342.35535196387</v>
      </c>
      <c r="BS28" s="887">
        <f t="shared" si="11"/>
        <v>23766.678906987559</v>
      </c>
      <c r="BT28" s="887">
        <f t="shared" ref="BT28:CL28" si="12">(BT29*BT2+BT30*BT3+BT31*BT4+BT32*BT5)/SUM(BT29:BT32)</f>
        <v>24076.957726123914</v>
      </c>
      <c r="BU28" s="887">
        <f t="shared" si="12"/>
        <v>21911.836424321551</v>
      </c>
      <c r="BV28" s="887">
        <f t="shared" si="12"/>
        <v>22392.017642916639</v>
      </c>
      <c r="BW28" s="887">
        <f t="shared" si="12"/>
        <v>22419.415576284882</v>
      </c>
      <c r="BX28" s="887">
        <f t="shared" si="12"/>
        <v>21807.687495331618</v>
      </c>
      <c r="BY28" s="887">
        <f t="shared" si="12"/>
        <v>22472.515244173719</v>
      </c>
      <c r="BZ28" s="887">
        <f t="shared" si="12"/>
        <v>23928.016966107163</v>
      </c>
      <c r="CA28" s="887">
        <f t="shared" si="12"/>
        <v>21771.219941830437</v>
      </c>
      <c r="CB28" s="887">
        <f t="shared" si="12"/>
        <v>23895.722677219557</v>
      </c>
      <c r="CC28" s="887">
        <f t="shared" si="12"/>
        <v>23627.304504171803</v>
      </c>
      <c r="CD28" s="887">
        <f t="shared" si="12"/>
        <v>22720.98244924036</v>
      </c>
      <c r="CE28" s="887">
        <f t="shared" si="12"/>
        <v>23487.201590376368</v>
      </c>
      <c r="CF28" s="887">
        <f t="shared" si="12"/>
        <v>23668.982986044357</v>
      </c>
      <c r="CG28" s="887">
        <f t="shared" si="12"/>
        <v>23416.862044580663</v>
      </c>
      <c r="CH28" s="887">
        <f t="shared" si="12"/>
        <v>23794.477845156034</v>
      </c>
      <c r="CI28" s="887">
        <f t="shared" si="12"/>
        <v>24279.536607384085</v>
      </c>
      <c r="CJ28" s="887">
        <f t="shared" si="12"/>
        <v>25952.596802387332</v>
      </c>
      <c r="CK28" s="887">
        <f t="shared" si="12"/>
        <v>26721.010733861011</v>
      </c>
      <c r="CL28" s="887">
        <f t="shared" si="12"/>
        <v>27484.380893705897</v>
      </c>
      <c r="CM28" s="887">
        <f t="shared" si="0"/>
        <v>24570.039433385195</v>
      </c>
      <c r="CN28" s="347"/>
      <c r="CO28" s="347"/>
      <c r="CP28" s="347"/>
      <c r="CQ28" s="347"/>
      <c r="CR28" s="347"/>
      <c r="CS28" s="347"/>
      <c r="CT28" s="347"/>
      <c r="CU28" s="347"/>
      <c r="CV28" s="347"/>
      <c r="CW28" s="347"/>
      <c r="CX28" s="347"/>
      <c r="CY28" s="347"/>
      <c r="CZ28" s="347"/>
      <c r="DA28" s="347"/>
      <c r="DB28" s="347"/>
      <c r="DC28" s="347"/>
      <c r="DD28" s="347"/>
      <c r="DE28" s="347"/>
      <c r="DF28" s="347"/>
      <c r="DG28" s="347"/>
      <c r="DH28" s="347"/>
      <c r="DI28" s="347"/>
      <c r="DJ28" s="347"/>
      <c r="DK28" s="347"/>
      <c r="DL28" s="347"/>
      <c r="DM28" s="347"/>
      <c r="DN28" s="347"/>
      <c r="DO28" s="347"/>
      <c r="DP28" s="347"/>
      <c r="DQ28" s="347"/>
      <c r="DR28" s="347"/>
      <c r="DS28" s="347"/>
      <c r="DT28" s="347"/>
      <c r="DU28" s="347"/>
      <c r="DV28" s="347"/>
      <c r="DW28" s="347"/>
      <c r="DX28" s="347"/>
      <c r="DY28" s="347"/>
      <c r="DZ28" s="347"/>
      <c r="EA28" s="347"/>
      <c r="EB28" s="347"/>
      <c r="EC28" s="347"/>
      <c r="ED28" s="347"/>
      <c r="EE28" s="347"/>
      <c r="EF28" s="347"/>
      <c r="EG28" s="347"/>
      <c r="EH28" s="347"/>
      <c r="EI28" s="347"/>
      <c r="EJ28" s="347"/>
      <c r="EK28" s="347"/>
      <c r="EL28" s="347"/>
      <c r="EM28" s="347"/>
      <c r="EN28" s="347"/>
      <c r="EO28" s="347"/>
      <c r="EP28" s="347"/>
      <c r="EQ28" s="347"/>
      <c r="ER28" s="347"/>
      <c r="ES28" s="347"/>
      <c r="ET28" s="347"/>
      <c r="EU28" s="347"/>
      <c r="EV28" s="347"/>
      <c r="EW28" s="347"/>
      <c r="EX28" s="347"/>
      <c r="EY28" s="347"/>
      <c r="EZ28" s="347"/>
      <c r="FA28" s="347"/>
      <c r="FB28" s="347"/>
      <c r="FC28" s="347"/>
      <c r="FD28" s="347"/>
      <c r="FE28" s="347"/>
      <c r="FF28" s="347"/>
      <c r="FG28" s="347"/>
      <c r="FH28" s="347"/>
      <c r="FI28" s="347"/>
      <c r="FJ28" s="347"/>
      <c r="FK28" s="347"/>
      <c r="FL28" s="347"/>
      <c r="FM28" s="347"/>
      <c r="FN28" s="347"/>
      <c r="FO28" s="347"/>
      <c r="FP28" s="347"/>
      <c r="FQ28" s="347"/>
      <c r="FR28" s="347"/>
      <c r="FS28" s="347"/>
      <c r="FT28" s="347"/>
      <c r="FU28" s="347"/>
      <c r="FV28" s="347"/>
    </row>
    <row r="29" spans="1:178">
      <c r="A29" s="1394"/>
      <c r="B29" s="1154" t="s">
        <v>403</v>
      </c>
      <c r="C29" s="581" t="s">
        <v>402</v>
      </c>
      <c r="D29" s="581">
        <v>0.622</v>
      </c>
      <c r="E29" s="347"/>
      <c r="F29" s="888" t="s">
        <v>450</v>
      </c>
      <c r="G29" s="889">
        <f>$D$29*G12</f>
        <v>55980</v>
      </c>
      <c r="H29" s="889">
        <f t="shared" ref="H29:BS29" si="13">$D$29*H12</f>
        <v>55980</v>
      </c>
      <c r="I29" s="889">
        <f t="shared" si="13"/>
        <v>55980</v>
      </c>
      <c r="J29" s="889">
        <f t="shared" si="13"/>
        <v>55980</v>
      </c>
      <c r="K29" s="889">
        <f t="shared" si="13"/>
        <v>55980</v>
      </c>
      <c r="L29" s="889">
        <f t="shared" si="13"/>
        <v>55980</v>
      </c>
      <c r="M29" s="889">
        <f t="shared" si="13"/>
        <v>55980</v>
      </c>
      <c r="N29" s="889">
        <f t="shared" si="13"/>
        <v>55980</v>
      </c>
      <c r="O29" s="889">
        <f t="shared" si="13"/>
        <v>55980</v>
      </c>
      <c r="P29" s="889">
        <f t="shared" si="13"/>
        <v>55980</v>
      </c>
      <c r="Q29" s="889">
        <f t="shared" si="13"/>
        <v>55980</v>
      </c>
      <c r="R29" s="889">
        <f t="shared" si="13"/>
        <v>55980</v>
      </c>
      <c r="S29" s="889">
        <f t="shared" si="13"/>
        <v>55980</v>
      </c>
      <c r="T29" s="889">
        <f t="shared" si="13"/>
        <v>55980</v>
      </c>
      <c r="U29" s="889">
        <f t="shared" si="13"/>
        <v>55980</v>
      </c>
      <c r="V29" s="889">
        <f t="shared" si="13"/>
        <v>55980</v>
      </c>
      <c r="W29" s="889">
        <f t="shared" si="13"/>
        <v>55980</v>
      </c>
      <c r="X29" s="889">
        <f t="shared" si="13"/>
        <v>55980</v>
      </c>
      <c r="Y29" s="889">
        <f t="shared" si="13"/>
        <v>55980</v>
      </c>
      <c r="Z29" s="889">
        <f t="shared" si="13"/>
        <v>55980</v>
      </c>
      <c r="AA29" s="889">
        <f t="shared" si="13"/>
        <v>55980</v>
      </c>
      <c r="AB29" s="889">
        <f t="shared" si="13"/>
        <v>55980</v>
      </c>
      <c r="AC29" s="889">
        <f t="shared" si="13"/>
        <v>55980</v>
      </c>
      <c r="AD29" s="889">
        <f t="shared" si="13"/>
        <v>55980</v>
      </c>
      <c r="AE29" s="889">
        <f t="shared" si="13"/>
        <v>55980</v>
      </c>
      <c r="AF29" s="889">
        <f t="shared" si="13"/>
        <v>55980</v>
      </c>
      <c r="AG29" s="889">
        <f t="shared" si="13"/>
        <v>55980</v>
      </c>
      <c r="AH29" s="889">
        <f t="shared" si="13"/>
        <v>55980</v>
      </c>
      <c r="AI29" s="889">
        <f t="shared" si="13"/>
        <v>55980</v>
      </c>
      <c r="AJ29" s="889">
        <f t="shared" si="13"/>
        <v>55980</v>
      </c>
      <c r="AK29" s="889">
        <f t="shared" si="13"/>
        <v>55980</v>
      </c>
      <c r="AL29" s="889">
        <f t="shared" si="13"/>
        <v>55980</v>
      </c>
      <c r="AM29" s="889">
        <f t="shared" si="13"/>
        <v>55980</v>
      </c>
      <c r="AN29" s="889">
        <f t="shared" si="13"/>
        <v>55980</v>
      </c>
      <c r="AO29" s="889">
        <f t="shared" si="13"/>
        <v>55980</v>
      </c>
      <c r="AP29" s="889">
        <f t="shared" si="13"/>
        <v>55980</v>
      </c>
      <c r="AQ29" s="889">
        <f t="shared" si="13"/>
        <v>55980</v>
      </c>
      <c r="AR29" s="889">
        <f t="shared" si="13"/>
        <v>55980</v>
      </c>
      <c r="AS29" s="889">
        <f t="shared" si="13"/>
        <v>55980</v>
      </c>
      <c r="AT29" s="889">
        <f t="shared" si="13"/>
        <v>55980</v>
      </c>
      <c r="AU29" s="889">
        <f t="shared" si="13"/>
        <v>55980</v>
      </c>
      <c r="AV29" s="889">
        <f t="shared" si="13"/>
        <v>55980</v>
      </c>
      <c r="AW29" s="889">
        <f t="shared" si="13"/>
        <v>55980</v>
      </c>
      <c r="AX29" s="889">
        <f t="shared" si="13"/>
        <v>55980</v>
      </c>
      <c r="AY29" s="889">
        <f t="shared" si="13"/>
        <v>55980</v>
      </c>
      <c r="AZ29" s="889">
        <f t="shared" si="13"/>
        <v>55980</v>
      </c>
      <c r="BA29" s="889">
        <f t="shared" si="13"/>
        <v>55980</v>
      </c>
      <c r="BB29" s="889">
        <f t="shared" si="13"/>
        <v>55980</v>
      </c>
      <c r="BC29" s="889">
        <f t="shared" si="13"/>
        <v>55980</v>
      </c>
      <c r="BD29" s="889">
        <f t="shared" si="13"/>
        <v>55980</v>
      </c>
      <c r="BE29" s="889">
        <f t="shared" si="13"/>
        <v>55980</v>
      </c>
      <c r="BF29" s="889">
        <f t="shared" si="13"/>
        <v>55980</v>
      </c>
      <c r="BG29" s="889">
        <f t="shared" si="13"/>
        <v>55980</v>
      </c>
      <c r="BH29" s="889">
        <f t="shared" si="13"/>
        <v>55980</v>
      </c>
      <c r="BI29" s="889">
        <f t="shared" si="13"/>
        <v>55980</v>
      </c>
      <c r="BJ29" s="889">
        <f t="shared" si="13"/>
        <v>55980</v>
      </c>
      <c r="BK29" s="889">
        <f t="shared" si="13"/>
        <v>55980</v>
      </c>
      <c r="BL29" s="889">
        <f t="shared" si="13"/>
        <v>55980</v>
      </c>
      <c r="BM29" s="889">
        <f t="shared" si="13"/>
        <v>55980</v>
      </c>
      <c r="BN29" s="889">
        <f t="shared" si="13"/>
        <v>55980</v>
      </c>
      <c r="BO29" s="889">
        <f t="shared" si="13"/>
        <v>55980</v>
      </c>
      <c r="BP29" s="889">
        <f t="shared" si="13"/>
        <v>55980</v>
      </c>
      <c r="BQ29" s="889">
        <f t="shared" si="13"/>
        <v>55980</v>
      </c>
      <c r="BR29" s="889">
        <f t="shared" si="13"/>
        <v>55980</v>
      </c>
      <c r="BS29" s="889">
        <f t="shared" si="13"/>
        <v>55980</v>
      </c>
      <c r="BT29" s="889">
        <f t="shared" ref="BT29:CL29" si="14">$D$29*BT12</f>
        <v>55980</v>
      </c>
      <c r="BU29" s="889">
        <f t="shared" si="14"/>
        <v>55980</v>
      </c>
      <c r="BV29" s="889">
        <f t="shared" si="14"/>
        <v>55980</v>
      </c>
      <c r="BW29" s="889">
        <f t="shared" si="14"/>
        <v>55980</v>
      </c>
      <c r="BX29" s="889">
        <f t="shared" si="14"/>
        <v>55980</v>
      </c>
      <c r="BY29" s="889">
        <f t="shared" si="14"/>
        <v>55980</v>
      </c>
      <c r="BZ29" s="889">
        <f t="shared" si="14"/>
        <v>55980</v>
      </c>
      <c r="CA29" s="889">
        <f t="shared" si="14"/>
        <v>55980</v>
      </c>
      <c r="CB29" s="889">
        <f t="shared" si="14"/>
        <v>55980</v>
      </c>
      <c r="CC29" s="889">
        <f t="shared" si="14"/>
        <v>55980</v>
      </c>
      <c r="CD29" s="889">
        <f t="shared" si="14"/>
        <v>55980</v>
      </c>
      <c r="CE29" s="889">
        <f t="shared" si="14"/>
        <v>55980</v>
      </c>
      <c r="CF29" s="889">
        <f t="shared" si="14"/>
        <v>55980</v>
      </c>
      <c r="CG29" s="889">
        <f t="shared" si="14"/>
        <v>55980</v>
      </c>
      <c r="CH29" s="889">
        <f t="shared" si="14"/>
        <v>55980</v>
      </c>
      <c r="CI29" s="889">
        <f t="shared" si="14"/>
        <v>55980</v>
      </c>
      <c r="CJ29" s="889">
        <f t="shared" si="14"/>
        <v>55980</v>
      </c>
      <c r="CK29" s="889">
        <f t="shared" si="14"/>
        <v>55980</v>
      </c>
      <c r="CL29" s="889">
        <f t="shared" si="14"/>
        <v>55980</v>
      </c>
      <c r="CM29" s="889">
        <f t="shared" si="0"/>
        <v>55980</v>
      </c>
      <c r="CN29" s="347"/>
      <c r="CO29" s="347"/>
      <c r="CP29" s="347"/>
      <c r="CQ29" s="347"/>
      <c r="CR29" s="347"/>
      <c r="CS29" s="347"/>
      <c r="CT29" s="347"/>
      <c r="CU29" s="347"/>
      <c r="CV29" s="347"/>
      <c r="CW29" s="347"/>
      <c r="CX29" s="347"/>
      <c r="CY29" s="347"/>
      <c r="CZ29" s="347"/>
      <c r="DA29" s="347"/>
      <c r="DB29" s="347"/>
      <c r="DC29" s="347"/>
      <c r="DD29" s="347"/>
      <c r="DE29" s="347"/>
      <c r="DF29" s="347"/>
      <c r="DG29" s="347"/>
      <c r="DH29" s="347"/>
      <c r="DI29" s="347"/>
      <c r="DJ29" s="347"/>
      <c r="DK29" s="347"/>
      <c r="DL29" s="347"/>
      <c r="DM29" s="347"/>
      <c r="DN29" s="347"/>
      <c r="DO29" s="347"/>
      <c r="DP29" s="347"/>
      <c r="DQ29" s="347"/>
      <c r="DR29" s="347"/>
      <c r="DS29" s="347"/>
      <c r="DT29" s="347"/>
      <c r="DU29" s="347"/>
      <c r="DV29" s="347"/>
      <c r="DW29" s="347"/>
      <c r="DX29" s="347"/>
      <c r="DY29" s="347"/>
      <c r="DZ29" s="347"/>
      <c r="EA29" s="347"/>
      <c r="EB29" s="347"/>
      <c r="EC29" s="347"/>
      <c r="ED29" s="347"/>
      <c r="EE29" s="347"/>
      <c r="EF29" s="347"/>
      <c r="EG29" s="347"/>
      <c r="EH29" s="347"/>
      <c r="EI29" s="347"/>
      <c r="EJ29" s="347"/>
      <c r="EK29" s="347"/>
      <c r="EL29" s="347"/>
      <c r="EM29" s="347"/>
      <c r="EN29" s="347"/>
      <c r="EO29" s="347"/>
      <c r="EP29" s="347"/>
      <c r="EQ29" s="347"/>
      <c r="ER29" s="347"/>
      <c r="ES29" s="347"/>
      <c r="ET29" s="347"/>
      <c r="EU29" s="347"/>
      <c r="EV29" s="347"/>
      <c r="EW29" s="347"/>
      <c r="EX29" s="347"/>
      <c r="EY29" s="347"/>
      <c r="EZ29" s="347"/>
      <c r="FA29" s="347"/>
      <c r="FB29" s="347"/>
      <c r="FC29" s="347"/>
      <c r="FD29" s="347"/>
      <c r="FE29" s="347"/>
      <c r="FF29" s="347"/>
      <c r="FG29" s="347"/>
      <c r="FH29" s="347"/>
      <c r="FI29" s="347"/>
      <c r="FJ29" s="347"/>
      <c r="FK29" s="347"/>
      <c r="FL29" s="347"/>
      <c r="FM29" s="347"/>
      <c r="FN29" s="347"/>
      <c r="FO29" s="347"/>
      <c r="FP29" s="347"/>
      <c r="FQ29" s="347"/>
      <c r="FR29" s="347"/>
      <c r="FS29" s="347"/>
      <c r="FT29" s="347"/>
      <c r="FU29" s="347"/>
      <c r="FV29" s="347"/>
    </row>
    <row r="30" spans="1:178">
      <c r="A30" s="1394"/>
      <c r="B30" s="1154" t="s">
        <v>403</v>
      </c>
      <c r="C30" s="581" t="s">
        <v>402</v>
      </c>
      <c r="D30" s="581">
        <v>1.4999999999999999E-2</v>
      </c>
      <c r="E30" s="347"/>
      <c r="F30" s="888" t="s">
        <v>451</v>
      </c>
      <c r="G30" s="889">
        <f>$D$30*G13</f>
        <v>306.25</v>
      </c>
      <c r="H30" s="889">
        <f t="shared" ref="H30:BS30" si="15">$D$30*H13</f>
        <v>306.25</v>
      </c>
      <c r="I30" s="889">
        <f t="shared" si="15"/>
        <v>306.25</v>
      </c>
      <c r="J30" s="889">
        <f t="shared" si="15"/>
        <v>306.25</v>
      </c>
      <c r="K30" s="889">
        <f t="shared" si="15"/>
        <v>306.25</v>
      </c>
      <c r="L30" s="889">
        <f t="shared" si="15"/>
        <v>306.25</v>
      </c>
      <c r="M30" s="889">
        <f t="shared" si="15"/>
        <v>306.25</v>
      </c>
      <c r="N30" s="889">
        <f t="shared" si="15"/>
        <v>306.25</v>
      </c>
      <c r="O30" s="889">
        <f t="shared" si="15"/>
        <v>306.25</v>
      </c>
      <c r="P30" s="889">
        <f t="shared" si="15"/>
        <v>306.25</v>
      </c>
      <c r="Q30" s="889">
        <f t="shared" si="15"/>
        <v>306.25</v>
      </c>
      <c r="R30" s="889">
        <f t="shared" si="15"/>
        <v>306.25</v>
      </c>
      <c r="S30" s="889">
        <f t="shared" si="15"/>
        <v>306.25</v>
      </c>
      <c r="T30" s="889">
        <f t="shared" si="15"/>
        <v>306.25</v>
      </c>
      <c r="U30" s="889">
        <f t="shared" si="15"/>
        <v>306.25</v>
      </c>
      <c r="V30" s="889">
        <f t="shared" si="15"/>
        <v>306.25</v>
      </c>
      <c r="W30" s="889">
        <f t="shared" si="15"/>
        <v>306.25</v>
      </c>
      <c r="X30" s="889">
        <f t="shared" si="15"/>
        <v>306.25</v>
      </c>
      <c r="Y30" s="889">
        <f t="shared" si="15"/>
        <v>306.25</v>
      </c>
      <c r="Z30" s="889">
        <f t="shared" si="15"/>
        <v>306.25</v>
      </c>
      <c r="AA30" s="889">
        <f t="shared" si="15"/>
        <v>306.25</v>
      </c>
      <c r="AB30" s="889">
        <f t="shared" si="15"/>
        <v>306.25</v>
      </c>
      <c r="AC30" s="889">
        <f t="shared" si="15"/>
        <v>306.25</v>
      </c>
      <c r="AD30" s="889">
        <f t="shared" si="15"/>
        <v>306.25</v>
      </c>
      <c r="AE30" s="889">
        <f t="shared" si="15"/>
        <v>306.25</v>
      </c>
      <c r="AF30" s="889">
        <f t="shared" si="15"/>
        <v>306.25</v>
      </c>
      <c r="AG30" s="889">
        <f t="shared" si="15"/>
        <v>306.25</v>
      </c>
      <c r="AH30" s="889">
        <f t="shared" si="15"/>
        <v>306.25</v>
      </c>
      <c r="AI30" s="889">
        <f t="shared" si="15"/>
        <v>306.25</v>
      </c>
      <c r="AJ30" s="889">
        <f t="shared" si="15"/>
        <v>306.25</v>
      </c>
      <c r="AK30" s="889">
        <f t="shared" si="15"/>
        <v>306.25</v>
      </c>
      <c r="AL30" s="889">
        <f t="shared" si="15"/>
        <v>306.25</v>
      </c>
      <c r="AM30" s="889">
        <f t="shared" si="15"/>
        <v>306.25</v>
      </c>
      <c r="AN30" s="889">
        <f t="shared" si="15"/>
        <v>306.25</v>
      </c>
      <c r="AO30" s="889">
        <f t="shared" si="15"/>
        <v>306.25</v>
      </c>
      <c r="AP30" s="889">
        <f t="shared" si="15"/>
        <v>306.25</v>
      </c>
      <c r="AQ30" s="889">
        <f t="shared" si="15"/>
        <v>306.25</v>
      </c>
      <c r="AR30" s="889">
        <f t="shared" si="15"/>
        <v>306.25</v>
      </c>
      <c r="AS30" s="889">
        <f t="shared" si="15"/>
        <v>306.25</v>
      </c>
      <c r="AT30" s="889">
        <f t="shared" si="15"/>
        <v>306.25</v>
      </c>
      <c r="AU30" s="889">
        <f t="shared" si="15"/>
        <v>306.25</v>
      </c>
      <c r="AV30" s="889">
        <f t="shared" si="15"/>
        <v>306.25</v>
      </c>
      <c r="AW30" s="889">
        <f t="shared" si="15"/>
        <v>306.25</v>
      </c>
      <c r="AX30" s="889">
        <f t="shared" si="15"/>
        <v>306.25</v>
      </c>
      <c r="AY30" s="889">
        <f t="shared" si="15"/>
        <v>306.25</v>
      </c>
      <c r="AZ30" s="889">
        <f t="shared" si="15"/>
        <v>306.25</v>
      </c>
      <c r="BA30" s="889">
        <f t="shared" si="15"/>
        <v>306.25</v>
      </c>
      <c r="BB30" s="889">
        <f t="shared" si="15"/>
        <v>306.25</v>
      </c>
      <c r="BC30" s="889">
        <f t="shared" si="15"/>
        <v>306.25</v>
      </c>
      <c r="BD30" s="889">
        <f t="shared" si="15"/>
        <v>306.25</v>
      </c>
      <c r="BE30" s="889">
        <f t="shared" si="15"/>
        <v>306.25</v>
      </c>
      <c r="BF30" s="889">
        <f t="shared" si="15"/>
        <v>306.25</v>
      </c>
      <c r="BG30" s="889">
        <f t="shared" si="15"/>
        <v>306.25</v>
      </c>
      <c r="BH30" s="889">
        <f t="shared" si="15"/>
        <v>306.25</v>
      </c>
      <c r="BI30" s="889">
        <f t="shared" si="15"/>
        <v>306.25</v>
      </c>
      <c r="BJ30" s="889">
        <f t="shared" si="15"/>
        <v>306.25</v>
      </c>
      <c r="BK30" s="889">
        <f t="shared" si="15"/>
        <v>306.25</v>
      </c>
      <c r="BL30" s="889">
        <f t="shared" si="15"/>
        <v>306.25</v>
      </c>
      <c r="BM30" s="889">
        <f t="shared" si="15"/>
        <v>306.25</v>
      </c>
      <c r="BN30" s="889">
        <f t="shared" si="15"/>
        <v>306.25</v>
      </c>
      <c r="BO30" s="889">
        <f t="shared" si="15"/>
        <v>306.25</v>
      </c>
      <c r="BP30" s="889">
        <f t="shared" si="15"/>
        <v>306.25</v>
      </c>
      <c r="BQ30" s="889">
        <f t="shared" si="15"/>
        <v>306.25</v>
      </c>
      <c r="BR30" s="889">
        <f t="shared" si="15"/>
        <v>306.25</v>
      </c>
      <c r="BS30" s="889">
        <f t="shared" si="15"/>
        <v>306.25</v>
      </c>
      <c r="BT30" s="889">
        <f t="shared" ref="BT30:CL30" si="16">$D$30*BT13</f>
        <v>306.25</v>
      </c>
      <c r="BU30" s="889">
        <f t="shared" si="16"/>
        <v>306.25</v>
      </c>
      <c r="BV30" s="889">
        <f t="shared" si="16"/>
        <v>306.25</v>
      </c>
      <c r="BW30" s="889">
        <f t="shared" si="16"/>
        <v>306.25</v>
      </c>
      <c r="BX30" s="889">
        <f t="shared" si="16"/>
        <v>306.25</v>
      </c>
      <c r="BY30" s="889">
        <f t="shared" si="16"/>
        <v>306.25</v>
      </c>
      <c r="BZ30" s="889">
        <f t="shared" si="16"/>
        <v>306.25</v>
      </c>
      <c r="CA30" s="889">
        <f t="shared" si="16"/>
        <v>306.25</v>
      </c>
      <c r="CB30" s="889">
        <f t="shared" si="16"/>
        <v>306.25</v>
      </c>
      <c r="CC30" s="889">
        <f t="shared" si="16"/>
        <v>306.25</v>
      </c>
      <c r="CD30" s="889">
        <f t="shared" si="16"/>
        <v>306.25</v>
      </c>
      <c r="CE30" s="889">
        <f t="shared" si="16"/>
        <v>306.25</v>
      </c>
      <c r="CF30" s="889">
        <f t="shared" si="16"/>
        <v>306.25</v>
      </c>
      <c r="CG30" s="889">
        <f t="shared" si="16"/>
        <v>306.25</v>
      </c>
      <c r="CH30" s="889">
        <f t="shared" si="16"/>
        <v>306.25</v>
      </c>
      <c r="CI30" s="889">
        <f t="shared" si="16"/>
        <v>306.25</v>
      </c>
      <c r="CJ30" s="889">
        <f t="shared" si="16"/>
        <v>306.25</v>
      </c>
      <c r="CK30" s="889">
        <f t="shared" si="16"/>
        <v>306.25</v>
      </c>
      <c r="CL30" s="889">
        <f t="shared" si="16"/>
        <v>306.25</v>
      </c>
      <c r="CM30" s="889">
        <f t="shared" si="0"/>
        <v>306.25</v>
      </c>
      <c r="CN30" s="347"/>
      <c r="CO30" s="347"/>
      <c r="CP30" s="347"/>
      <c r="CQ30" s="347"/>
      <c r="CR30" s="347"/>
      <c r="CS30" s="347"/>
      <c r="CT30" s="347"/>
      <c r="CU30" s="347"/>
      <c r="CV30" s="347"/>
      <c r="CW30" s="347"/>
      <c r="CX30" s="347"/>
      <c r="CY30" s="347"/>
      <c r="CZ30" s="347"/>
      <c r="DA30" s="347"/>
      <c r="DB30" s="347"/>
      <c r="DC30" s="347"/>
      <c r="DD30" s="347"/>
      <c r="DE30" s="347"/>
      <c r="DF30" s="347"/>
      <c r="DG30" s="347"/>
      <c r="DH30" s="347"/>
      <c r="DI30" s="347"/>
      <c r="DJ30" s="347"/>
      <c r="DK30" s="347"/>
      <c r="DL30" s="347"/>
      <c r="DM30" s="347"/>
      <c r="DN30" s="347"/>
      <c r="DO30" s="347"/>
      <c r="DP30" s="347"/>
      <c r="DQ30" s="347"/>
      <c r="DR30" s="347"/>
      <c r="DS30" s="347"/>
      <c r="DT30" s="347"/>
      <c r="DU30" s="347"/>
      <c r="DV30" s="347"/>
      <c r="DW30" s="347"/>
      <c r="DX30" s="347"/>
      <c r="DY30" s="347"/>
      <c r="DZ30" s="347"/>
      <c r="EA30" s="347"/>
      <c r="EB30" s="347"/>
      <c r="EC30" s="347"/>
      <c r="ED30" s="347"/>
      <c r="EE30" s="347"/>
      <c r="EF30" s="347"/>
      <c r="EG30" s="347"/>
      <c r="EH30" s="347"/>
      <c r="EI30" s="347"/>
      <c r="EJ30" s="347"/>
      <c r="EK30" s="347"/>
      <c r="EL30" s="347"/>
      <c r="EM30" s="347"/>
      <c r="EN30" s="347"/>
      <c r="EO30" s="347"/>
      <c r="EP30" s="347"/>
      <c r="EQ30" s="347"/>
      <c r="ER30" s="347"/>
      <c r="ES30" s="347"/>
      <c r="ET30" s="347"/>
      <c r="EU30" s="347"/>
      <c r="EV30" s="347"/>
      <c r="EW30" s="347"/>
      <c r="EX30" s="347"/>
      <c r="EY30" s="347"/>
      <c r="EZ30" s="347"/>
      <c r="FA30" s="347"/>
      <c r="FB30" s="347"/>
      <c r="FC30" s="347"/>
      <c r="FD30" s="347"/>
      <c r="FE30" s="347"/>
      <c r="FF30" s="347"/>
      <c r="FG30" s="347"/>
      <c r="FH30" s="347"/>
      <c r="FI30" s="347"/>
      <c r="FJ30" s="347"/>
      <c r="FK30" s="347"/>
      <c r="FL30" s="347"/>
      <c r="FM30" s="347"/>
      <c r="FN30" s="347"/>
      <c r="FO30" s="347"/>
      <c r="FP30" s="347"/>
      <c r="FQ30" s="347"/>
      <c r="FR30" s="347"/>
      <c r="FS30" s="347"/>
      <c r="FT30" s="347"/>
      <c r="FU30" s="347"/>
      <c r="FV30" s="347"/>
    </row>
    <row r="31" spans="1:178">
      <c r="A31" s="1394"/>
      <c r="B31" s="1154" t="s">
        <v>403</v>
      </c>
      <c r="C31" s="581" t="s">
        <v>402</v>
      </c>
      <c r="D31" s="581">
        <v>1.9E-2</v>
      </c>
      <c r="E31" s="347"/>
      <c r="F31" s="888" t="s">
        <v>452</v>
      </c>
      <c r="G31" s="889">
        <f>$D$31*G14</f>
        <v>215.33333333333334</v>
      </c>
      <c r="H31" s="889">
        <f t="shared" ref="H31:BS31" si="17">$D$31*H14</f>
        <v>215.33333333333334</v>
      </c>
      <c r="I31" s="889">
        <f t="shared" si="17"/>
        <v>215.33333333333334</v>
      </c>
      <c r="J31" s="889">
        <f t="shared" si="17"/>
        <v>215.33333333333334</v>
      </c>
      <c r="K31" s="889">
        <f t="shared" si="17"/>
        <v>215.33333333333334</v>
      </c>
      <c r="L31" s="889">
        <f t="shared" si="17"/>
        <v>215.33333333333334</v>
      </c>
      <c r="M31" s="889">
        <f t="shared" si="17"/>
        <v>215.33333333333334</v>
      </c>
      <c r="N31" s="889">
        <f t="shared" si="17"/>
        <v>215.33333333333334</v>
      </c>
      <c r="O31" s="889">
        <f t="shared" si="17"/>
        <v>215.33333333333334</v>
      </c>
      <c r="P31" s="889">
        <f t="shared" si="17"/>
        <v>215.33333333333334</v>
      </c>
      <c r="Q31" s="889">
        <f t="shared" si="17"/>
        <v>215.33333333333334</v>
      </c>
      <c r="R31" s="889">
        <f t="shared" si="17"/>
        <v>215.33333333333334</v>
      </c>
      <c r="S31" s="889">
        <f t="shared" si="17"/>
        <v>215.33333333333334</v>
      </c>
      <c r="T31" s="889">
        <f t="shared" si="17"/>
        <v>215.33333333333334</v>
      </c>
      <c r="U31" s="889">
        <f t="shared" si="17"/>
        <v>215.33333333333334</v>
      </c>
      <c r="V31" s="889">
        <f t="shared" si="17"/>
        <v>215.33333333333334</v>
      </c>
      <c r="W31" s="889">
        <f t="shared" si="17"/>
        <v>215.33333333333334</v>
      </c>
      <c r="X31" s="889">
        <f t="shared" si="17"/>
        <v>215.33333333333334</v>
      </c>
      <c r="Y31" s="889">
        <f t="shared" si="17"/>
        <v>215.33333333333334</v>
      </c>
      <c r="Z31" s="889">
        <f t="shared" si="17"/>
        <v>215.33333333333334</v>
      </c>
      <c r="AA31" s="889">
        <f t="shared" si="17"/>
        <v>215.33333333333334</v>
      </c>
      <c r="AB31" s="889">
        <f t="shared" si="17"/>
        <v>215.33333333333334</v>
      </c>
      <c r="AC31" s="889">
        <f t="shared" si="17"/>
        <v>215.33333333333334</v>
      </c>
      <c r="AD31" s="889">
        <f t="shared" si="17"/>
        <v>215.33333333333334</v>
      </c>
      <c r="AE31" s="889">
        <f t="shared" si="17"/>
        <v>215.33333333333334</v>
      </c>
      <c r="AF31" s="889">
        <f t="shared" si="17"/>
        <v>215.33333333333334</v>
      </c>
      <c r="AG31" s="889">
        <f t="shared" si="17"/>
        <v>215.33333333333334</v>
      </c>
      <c r="AH31" s="889">
        <f t="shared" si="17"/>
        <v>215.33333333333334</v>
      </c>
      <c r="AI31" s="889">
        <f t="shared" si="17"/>
        <v>215.33333333333334</v>
      </c>
      <c r="AJ31" s="889">
        <f t="shared" si="17"/>
        <v>215.33333333333334</v>
      </c>
      <c r="AK31" s="889">
        <f t="shared" si="17"/>
        <v>215.33333333333334</v>
      </c>
      <c r="AL31" s="889">
        <f t="shared" si="17"/>
        <v>215.33333333333334</v>
      </c>
      <c r="AM31" s="889">
        <f t="shared" si="17"/>
        <v>215.33333333333334</v>
      </c>
      <c r="AN31" s="889">
        <f t="shared" si="17"/>
        <v>215.33333333333334</v>
      </c>
      <c r="AO31" s="889">
        <f t="shared" si="17"/>
        <v>215.33333333333334</v>
      </c>
      <c r="AP31" s="889">
        <f t="shared" si="17"/>
        <v>215.33333333333334</v>
      </c>
      <c r="AQ31" s="889">
        <f t="shared" si="17"/>
        <v>215.33333333333334</v>
      </c>
      <c r="AR31" s="889">
        <f t="shared" si="17"/>
        <v>215.33333333333334</v>
      </c>
      <c r="AS31" s="889">
        <f t="shared" si="17"/>
        <v>215.33333333333334</v>
      </c>
      <c r="AT31" s="889">
        <f t="shared" si="17"/>
        <v>215.33333333333334</v>
      </c>
      <c r="AU31" s="889">
        <f t="shared" si="17"/>
        <v>215.33333333333334</v>
      </c>
      <c r="AV31" s="889">
        <f t="shared" si="17"/>
        <v>215.33333333333334</v>
      </c>
      <c r="AW31" s="889">
        <f t="shared" si="17"/>
        <v>215.33333333333334</v>
      </c>
      <c r="AX31" s="889">
        <f t="shared" si="17"/>
        <v>215.33333333333334</v>
      </c>
      <c r="AY31" s="889">
        <f t="shared" si="17"/>
        <v>215.33333333333334</v>
      </c>
      <c r="AZ31" s="889">
        <f t="shared" si="17"/>
        <v>215.33333333333334</v>
      </c>
      <c r="BA31" s="889">
        <f t="shared" si="17"/>
        <v>215.33333333333334</v>
      </c>
      <c r="BB31" s="889">
        <f t="shared" si="17"/>
        <v>215.33333333333334</v>
      </c>
      <c r="BC31" s="889">
        <f t="shared" si="17"/>
        <v>215.33333333333334</v>
      </c>
      <c r="BD31" s="889">
        <f t="shared" si="17"/>
        <v>215.33333333333334</v>
      </c>
      <c r="BE31" s="889">
        <f t="shared" si="17"/>
        <v>215.33333333333334</v>
      </c>
      <c r="BF31" s="889">
        <f t="shared" si="17"/>
        <v>215.33333333333334</v>
      </c>
      <c r="BG31" s="889">
        <f t="shared" si="17"/>
        <v>215.33333333333334</v>
      </c>
      <c r="BH31" s="889">
        <f t="shared" si="17"/>
        <v>215.33333333333334</v>
      </c>
      <c r="BI31" s="889">
        <f t="shared" si="17"/>
        <v>215.33333333333334</v>
      </c>
      <c r="BJ31" s="889">
        <f t="shared" si="17"/>
        <v>215.33333333333334</v>
      </c>
      <c r="BK31" s="889">
        <f t="shared" si="17"/>
        <v>215.33333333333334</v>
      </c>
      <c r="BL31" s="889">
        <f t="shared" si="17"/>
        <v>215.33333333333334</v>
      </c>
      <c r="BM31" s="889">
        <f t="shared" si="17"/>
        <v>215.33333333333334</v>
      </c>
      <c r="BN31" s="889">
        <f t="shared" si="17"/>
        <v>215.33333333333334</v>
      </c>
      <c r="BO31" s="889">
        <f t="shared" si="17"/>
        <v>215.33333333333334</v>
      </c>
      <c r="BP31" s="889">
        <f t="shared" si="17"/>
        <v>215.33333333333334</v>
      </c>
      <c r="BQ31" s="889">
        <f t="shared" si="17"/>
        <v>215.33333333333334</v>
      </c>
      <c r="BR31" s="889">
        <f t="shared" si="17"/>
        <v>215.33333333333334</v>
      </c>
      <c r="BS31" s="889">
        <f t="shared" si="17"/>
        <v>215.33333333333334</v>
      </c>
      <c r="BT31" s="889">
        <f t="shared" ref="BT31:CL31" si="18">$D$31*BT14</f>
        <v>215.33333333333334</v>
      </c>
      <c r="BU31" s="889">
        <f t="shared" si="18"/>
        <v>215.33333333333334</v>
      </c>
      <c r="BV31" s="889">
        <f t="shared" si="18"/>
        <v>215.33333333333334</v>
      </c>
      <c r="BW31" s="889">
        <f t="shared" si="18"/>
        <v>215.33333333333334</v>
      </c>
      <c r="BX31" s="889">
        <f t="shared" si="18"/>
        <v>215.33333333333334</v>
      </c>
      <c r="BY31" s="889">
        <f t="shared" si="18"/>
        <v>215.33333333333334</v>
      </c>
      <c r="BZ31" s="889">
        <f t="shared" si="18"/>
        <v>215.33333333333334</v>
      </c>
      <c r="CA31" s="889">
        <f t="shared" si="18"/>
        <v>215.33333333333334</v>
      </c>
      <c r="CB31" s="889">
        <f t="shared" si="18"/>
        <v>215.33333333333334</v>
      </c>
      <c r="CC31" s="889">
        <f t="shared" si="18"/>
        <v>215.33333333333334</v>
      </c>
      <c r="CD31" s="889">
        <f t="shared" si="18"/>
        <v>215.33333333333334</v>
      </c>
      <c r="CE31" s="889">
        <f t="shared" si="18"/>
        <v>215.33333333333334</v>
      </c>
      <c r="CF31" s="889">
        <f t="shared" si="18"/>
        <v>215.33333333333334</v>
      </c>
      <c r="CG31" s="889">
        <f t="shared" si="18"/>
        <v>215.33333333333334</v>
      </c>
      <c r="CH31" s="889">
        <f t="shared" si="18"/>
        <v>215.33333333333334</v>
      </c>
      <c r="CI31" s="889">
        <f t="shared" si="18"/>
        <v>215.33333333333334</v>
      </c>
      <c r="CJ31" s="889">
        <f t="shared" si="18"/>
        <v>215.33333333333334</v>
      </c>
      <c r="CK31" s="889">
        <f t="shared" si="18"/>
        <v>215.33333333333334</v>
      </c>
      <c r="CL31" s="889">
        <f t="shared" si="18"/>
        <v>215.33333333333334</v>
      </c>
      <c r="CM31" s="889">
        <f t="shared" si="0"/>
        <v>215.33333333333346</v>
      </c>
      <c r="CN31" s="347"/>
      <c r="CO31" s="347"/>
      <c r="CP31" s="347"/>
      <c r="CQ31" s="347"/>
      <c r="CR31" s="347"/>
      <c r="CS31" s="347"/>
      <c r="CT31" s="347"/>
      <c r="CU31" s="347"/>
      <c r="CV31" s="347"/>
      <c r="CW31" s="347"/>
      <c r="CX31" s="347"/>
      <c r="CY31" s="347"/>
      <c r="CZ31" s="347"/>
      <c r="DA31" s="347"/>
      <c r="DB31" s="347"/>
      <c r="DC31" s="347"/>
      <c r="DD31" s="347"/>
      <c r="DE31" s="347"/>
      <c r="DF31" s="347"/>
      <c r="DG31" s="347"/>
      <c r="DH31" s="347"/>
      <c r="DI31" s="347"/>
      <c r="DJ31" s="347"/>
      <c r="DK31" s="347"/>
      <c r="DL31" s="347"/>
      <c r="DM31" s="347"/>
      <c r="DN31" s="347"/>
      <c r="DO31" s="347"/>
      <c r="DP31" s="347"/>
      <c r="DQ31" s="347"/>
      <c r="DR31" s="347"/>
      <c r="DS31" s="347"/>
      <c r="DT31" s="347"/>
      <c r="DU31" s="347"/>
      <c r="DV31" s="347"/>
      <c r="DW31" s="347"/>
      <c r="DX31" s="347"/>
      <c r="DY31" s="347"/>
      <c r="DZ31" s="347"/>
      <c r="EA31" s="347"/>
      <c r="EB31" s="347"/>
      <c r="EC31" s="347"/>
      <c r="ED31" s="347"/>
      <c r="EE31" s="347"/>
      <c r="EF31" s="347"/>
      <c r="EG31" s="347"/>
      <c r="EH31" s="347"/>
      <c r="EI31" s="347"/>
      <c r="EJ31" s="347"/>
      <c r="EK31" s="347"/>
      <c r="EL31" s="347"/>
      <c r="EM31" s="347"/>
      <c r="EN31" s="347"/>
      <c r="EO31" s="347"/>
      <c r="EP31" s="347"/>
      <c r="EQ31" s="347"/>
      <c r="ER31" s="347"/>
      <c r="ES31" s="347"/>
      <c r="ET31" s="347"/>
      <c r="EU31" s="347"/>
      <c r="EV31" s="347"/>
      <c r="EW31" s="347"/>
      <c r="EX31" s="347"/>
      <c r="EY31" s="347"/>
      <c r="EZ31" s="347"/>
      <c r="FA31" s="347"/>
      <c r="FB31" s="347"/>
      <c r="FC31" s="347"/>
      <c r="FD31" s="347"/>
      <c r="FE31" s="347"/>
      <c r="FF31" s="347"/>
      <c r="FG31" s="347"/>
      <c r="FH31" s="347"/>
      <c r="FI31" s="347"/>
      <c r="FJ31" s="347"/>
      <c r="FK31" s="347"/>
      <c r="FL31" s="347"/>
      <c r="FM31" s="347"/>
      <c r="FN31" s="347"/>
      <c r="FO31" s="347"/>
      <c r="FP31" s="347"/>
      <c r="FQ31" s="347"/>
      <c r="FR31" s="347"/>
      <c r="FS31" s="347"/>
      <c r="FT31" s="347"/>
      <c r="FU31" s="347"/>
      <c r="FV31" s="347"/>
    </row>
    <row r="32" spans="1:178">
      <c r="A32" s="1394"/>
      <c r="B32" s="1154" t="s">
        <v>403</v>
      </c>
      <c r="C32" s="581" t="s">
        <v>402</v>
      </c>
      <c r="D32" s="581">
        <v>1.1900000000000001E-2</v>
      </c>
      <c r="E32" s="347"/>
      <c r="F32" s="888" t="s">
        <v>453</v>
      </c>
      <c r="G32" s="889">
        <f>$D$32*G15</f>
        <v>1062.075</v>
      </c>
      <c r="H32" s="889">
        <f t="shared" ref="H32:BS32" si="19">$D$32*H15</f>
        <v>1062.075</v>
      </c>
      <c r="I32" s="889">
        <f t="shared" si="19"/>
        <v>1062.075</v>
      </c>
      <c r="J32" s="889">
        <f t="shared" si="19"/>
        <v>1062.075</v>
      </c>
      <c r="K32" s="889">
        <f t="shared" si="19"/>
        <v>1062.075</v>
      </c>
      <c r="L32" s="889">
        <f t="shared" si="19"/>
        <v>1062.075</v>
      </c>
      <c r="M32" s="889">
        <f t="shared" si="19"/>
        <v>1062.075</v>
      </c>
      <c r="N32" s="889">
        <f t="shared" si="19"/>
        <v>1062.075</v>
      </c>
      <c r="O32" s="889">
        <f t="shared" si="19"/>
        <v>1062.075</v>
      </c>
      <c r="P32" s="889">
        <f t="shared" si="19"/>
        <v>1062.075</v>
      </c>
      <c r="Q32" s="889">
        <f t="shared" si="19"/>
        <v>1062.075</v>
      </c>
      <c r="R32" s="889">
        <f t="shared" si="19"/>
        <v>1062.075</v>
      </c>
      <c r="S32" s="889">
        <f t="shared" si="19"/>
        <v>1062.075</v>
      </c>
      <c r="T32" s="889">
        <f t="shared" si="19"/>
        <v>1062.075</v>
      </c>
      <c r="U32" s="889">
        <f t="shared" si="19"/>
        <v>1062.075</v>
      </c>
      <c r="V32" s="889">
        <f t="shared" si="19"/>
        <v>1062.075</v>
      </c>
      <c r="W32" s="889">
        <f t="shared" si="19"/>
        <v>1062.075</v>
      </c>
      <c r="X32" s="889">
        <f t="shared" si="19"/>
        <v>1062.075</v>
      </c>
      <c r="Y32" s="889">
        <f t="shared" si="19"/>
        <v>1062.075</v>
      </c>
      <c r="Z32" s="889">
        <f t="shared" si="19"/>
        <v>1062.075</v>
      </c>
      <c r="AA32" s="889">
        <f t="shared" si="19"/>
        <v>1062.075</v>
      </c>
      <c r="AB32" s="889">
        <f t="shared" si="19"/>
        <v>1062.075</v>
      </c>
      <c r="AC32" s="889">
        <f t="shared" si="19"/>
        <v>1062.075</v>
      </c>
      <c r="AD32" s="889">
        <f t="shared" si="19"/>
        <v>1062.075</v>
      </c>
      <c r="AE32" s="889">
        <f t="shared" si="19"/>
        <v>1062.075</v>
      </c>
      <c r="AF32" s="889">
        <f t="shared" si="19"/>
        <v>1062.075</v>
      </c>
      <c r="AG32" s="889">
        <f t="shared" si="19"/>
        <v>1062.075</v>
      </c>
      <c r="AH32" s="889">
        <f t="shared" si="19"/>
        <v>1062.075</v>
      </c>
      <c r="AI32" s="889">
        <f t="shared" si="19"/>
        <v>1062.075</v>
      </c>
      <c r="AJ32" s="889">
        <f t="shared" si="19"/>
        <v>1062.075</v>
      </c>
      <c r="AK32" s="889">
        <f t="shared" si="19"/>
        <v>1062.075</v>
      </c>
      <c r="AL32" s="889">
        <f t="shared" si="19"/>
        <v>1062.075</v>
      </c>
      <c r="AM32" s="889">
        <f t="shared" si="19"/>
        <v>1062.075</v>
      </c>
      <c r="AN32" s="889">
        <f t="shared" si="19"/>
        <v>1062.075</v>
      </c>
      <c r="AO32" s="889">
        <f t="shared" si="19"/>
        <v>1062.075</v>
      </c>
      <c r="AP32" s="889">
        <f t="shared" si="19"/>
        <v>1062.075</v>
      </c>
      <c r="AQ32" s="889">
        <f t="shared" si="19"/>
        <v>1062.075</v>
      </c>
      <c r="AR32" s="889">
        <f t="shared" si="19"/>
        <v>1062.075</v>
      </c>
      <c r="AS32" s="889">
        <f t="shared" si="19"/>
        <v>1062.075</v>
      </c>
      <c r="AT32" s="889">
        <f t="shared" si="19"/>
        <v>1062.075</v>
      </c>
      <c r="AU32" s="889">
        <f t="shared" si="19"/>
        <v>1062.075</v>
      </c>
      <c r="AV32" s="889">
        <f t="shared" si="19"/>
        <v>1062.075</v>
      </c>
      <c r="AW32" s="889">
        <f t="shared" si="19"/>
        <v>1062.075</v>
      </c>
      <c r="AX32" s="889">
        <f t="shared" si="19"/>
        <v>1062.075</v>
      </c>
      <c r="AY32" s="889">
        <f t="shared" si="19"/>
        <v>1062.075</v>
      </c>
      <c r="AZ32" s="889">
        <f t="shared" si="19"/>
        <v>1062.075</v>
      </c>
      <c r="BA32" s="889">
        <f t="shared" si="19"/>
        <v>1062.075</v>
      </c>
      <c r="BB32" s="889">
        <f t="shared" si="19"/>
        <v>1062.075</v>
      </c>
      <c r="BC32" s="889">
        <f t="shared" si="19"/>
        <v>1062.075</v>
      </c>
      <c r="BD32" s="889">
        <f t="shared" si="19"/>
        <v>1062.075</v>
      </c>
      <c r="BE32" s="889">
        <f t="shared" si="19"/>
        <v>1062.075</v>
      </c>
      <c r="BF32" s="889">
        <f t="shared" si="19"/>
        <v>1062.075</v>
      </c>
      <c r="BG32" s="889">
        <f t="shared" si="19"/>
        <v>1062.075</v>
      </c>
      <c r="BH32" s="889">
        <f t="shared" si="19"/>
        <v>1062.075</v>
      </c>
      <c r="BI32" s="889">
        <f t="shared" si="19"/>
        <v>1062.075</v>
      </c>
      <c r="BJ32" s="889">
        <f t="shared" si="19"/>
        <v>1062.075</v>
      </c>
      <c r="BK32" s="889">
        <f t="shared" si="19"/>
        <v>1062.075</v>
      </c>
      <c r="BL32" s="889">
        <f t="shared" si="19"/>
        <v>1062.075</v>
      </c>
      <c r="BM32" s="889">
        <f t="shared" si="19"/>
        <v>1062.075</v>
      </c>
      <c r="BN32" s="889">
        <f t="shared" si="19"/>
        <v>1062.075</v>
      </c>
      <c r="BO32" s="889">
        <f t="shared" si="19"/>
        <v>1062.075</v>
      </c>
      <c r="BP32" s="889">
        <f t="shared" si="19"/>
        <v>1062.075</v>
      </c>
      <c r="BQ32" s="889">
        <f t="shared" si="19"/>
        <v>1062.075</v>
      </c>
      <c r="BR32" s="889">
        <f t="shared" si="19"/>
        <v>1062.075</v>
      </c>
      <c r="BS32" s="889">
        <f t="shared" si="19"/>
        <v>1062.075</v>
      </c>
      <c r="BT32" s="889">
        <f t="shared" ref="BT32:CL32" si="20">$D$32*BT15</f>
        <v>1062.075</v>
      </c>
      <c r="BU32" s="889">
        <f t="shared" si="20"/>
        <v>1062.075</v>
      </c>
      <c r="BV32" s="889">
        <f t="shared" si="20"/>
        <v>1062.075</v>
      </c>
      <c r="BW32" s="889">
        <f t="shared" si="20"/>
        <v>1062.075</v>
      </c>
      <c r="BX32" s="889">
        <f t="shared" si="20"/>
        <v>1062.075</v>
      </c>
      <c r="BY32" s="889">
        <f t="shared" si="20"/>
        <v>1062.075</v>
      </c>
      <c r="BZ32" s="889">
        <f t="shared" si="20"/>
        <v>1062.075</v>
      </c>
      <c r="CA32" s="889">
        <f t="shared" si="20"/>
        <v>1062.075</v>
      </c>
      <c r="CB32" s="889">
        <f t="shared" si="20"/>
        <v>1062.075</v>
      </c>
      <c r="CC32" s="889">
        <f t="shared" si="20"/>
        <v>1062.075</v>
      </c>
      <c r="CD32" s="889">
        <f t="shared" si="20"/>
        <v>1062.075</v>
      </c>
      <c r="CE32" s="889">
        <f t="shared" si="20"/>
        <v>1062.075</v>
      </c>
      <c r="CF32" s="889">
        <f t="shared" si="20"/>
        <v>1062.075</v>
      </c>
      <c r="CG32" s="889">
        <f t="shared" si="20"/>
        <v>1062.075</v>
      </c>
      <c r="CH32" s="889">
        <f t="shared" si="20"/>
        <v>1062.075</v>
      </c>
      <c r="CI32" s="889">
        <f t="shared" si="20"/>
        <v>1062.075</v>
      </c>
      <c r="CJ32" s="889">
        <f t="shared" si="20"/>
        <v>1062.075</v>
      </c>
      <c r="CK32" s="889">
        <f t="shared" si="20"/>
        <v>1062.075</v>
      </c>
      <c r="CL32" s="889">
        <f t="shared" si="20"/>
        <v>1062.075</v>
      </c>
      <c r="CM32" s="889">
        <f t="shared" si="0"/>
        <v>1062.0749999999982</v>
      </c>
      <c r="CN32" s="347"/>
      <c r="CO32" s="347"/>
      <c r="CP32" s="347"/>
      <c r="CQ32" s="347"/>
      <c r="CR32" s="347"/>
      <c r="CS32" s="347"/>
      <c r="CT32" s="347"/>
      <c r="CU32" s="347"/>
      <c r="CV32" s="347"/>
      <c r="CW32" s="347"/>
      <c r="CX32" s="347"/>
      <c r="CY32" s="347"/>
      <c r="CZ32" s="347"/>
      <c r="DA32" s="347"/>
      <c r="DB32" s="347"/>
      <c r="DC32" s="347"/>
      <c r="DD32" s="347"/>
      <c r="DE32" s="347"/>
      <c r="DF32" s="347"/>
      <c r="DG32" s="347"/>
      <c r="DH32" s="347"/>
      <c r="DI32" s="347"/>
      <c r="DJ32" s="347"/>
      <c r="DK32" s="347"/>
      <c r="DL32" s="347"/>
      <c r="DM32" s="347"/>
      <c r="DN32" s="347"/>
      <c r="DO32" s="347"/>
      <c r="DP32" s="347"/>
      <c r="DQ32" s="347"/>
      <c r="DR32" s="347"/>
      <c r="DS32" s="347"/>
      <c r="DT32" s="347"/>
      <c r="DU32" s="347"/>
      <c r="DV32" s="347"/>
      <c r="DW32" s="347"/>
      <c r="DX32" s="347"/>
      <c r="DY32" s="347"/>
      <c r="DZ32" s="347"/>
      <c r="EA32" s="347"/>
      <c r="EB32" s="347"/>
      <c r="EC32" s="347"/>
      <c r="ED32" s="347"/>
      <c r="EE32" s="347"/>
      <c r="EF32" s="347"/>
      <c r="EG32" s="347"/>
      <c r="EH32" s="347"/>
      <c r="EI32" s="347"/>
      <c r="EJ32" s="347"/>
      <c r="EK32" s="347"/>
      <c r="EL32" s="347"/>
      <c r="EM32" s="347"/>
      <c r="EN32" s="347"/>
      <c r="EO32" s="347"/>
      <c r="EP32" s="347"/>
      <c r="EQ32" s="347"/>
      <c r="ER32" s="347"/>
      <c r="ES32" s="347"/>
      <c r="ET32" s="347"/>
      <c r="EU32" s="347"/>
      <c r="EV32" s="347"/>
      <c r="EW32" s="347"/>
      <c r="EX32" s="347"/>
      <c r="EY32" s="347"/>
      <c r="EZ32" s="347"/>
      <c r="FA32" s="347"/>
      <c r="FB32" s="347"/>
      <c r="FC32" s="347"/>
      <c r="FD32" s="347"/>
      <c r="FE32" s="347"/>
      <c r="FF32" s="347"/>
      <c r="FG32" s="347"/>
      <c r="FH32" s="347"/>
      <c r="FI32" s="347"/>
      <c r="FJ32" s="347"/>
      <c r="FK32" s="347"/>
      <c r="FL32" s="347"/>
      <c r="FM32" s="347"/>
      <c r="FN32" s="347"/>
      <c r="FO32" s="347"/>
      <c r="FP32" s="347"/>
      <c r="FQ32" s="347"/>
      <c r="FR32" s="347"/>
      <c r="FS32" s="347"/>
      <c r="FT32" s="347"/>
      <c r="FU32" s="347"/>
      <c r="FV32" s="347"/>
    </row>
    <row r="33" spans="1:179">
      <c r="A33" s="1395"/>
      <c r="B33" s="859" t="s">
        <v>403</v>
      </c>
      <c r="C33" s="860" t="s">
        <v>402</v>
      </c>
      <c r="D33" s="890">
        <f>1.50375/1000</f>
        <v>1.5037499999999999E-3</v>
      </c>
      <c r="E33" s="861"/>
      <c r="F33" s="891" t="s">
        <v>454</v>
      </c>
      <c r="G33" s="892">
        <v>166.44858374999998</v>
      </c>
      <c r="H33" s="892">
        <v>166.44858374999998</v>
      </c>
      <c r="I33" s="892">
        <v>166.44858374999998</v>
      </c>
      <c r="J33" s="892">
        <v>166.44858374999998</v>
      </c>
      <c r="K33" s="892">
        <v>166.44858374999998</v>
      </c>
      <c r="L33" s="892">
        <v>166.44858374999998</v>
      </c>
      <c r="M33" s="892">
        <v>166.44858374999998</v>
      </c>
      <c r="N33" s="892">
        <v>166.44858374999998</v>
      </c>
      <c r="O33" s="892">
        <v>166.44858374999998</v>
      </c>
      <c r="P33" s="892">
        <v>166.44858374999998</v>
      </c>
      <c r="Q33" s="892">
        <v>166.44858374999998</v>
      </c>
      <c r="R33" s="892">
        <v>166.44858374999998</v>
      </c>
      <c r="S33" s="892">
        <v>166.44858374999998</v>
      </c>
      <c r="T33" s="892">
        <f t="shared" ref="T33:AS33" si="21">T16*$D$33</f>
        <v>172.06007749999998</v>
      </c>
      <c r="U33" s="892">
        <f t="shared" si="21"/>
        <v>172.06007749999998</v>
      </c>
      <c r="V33" s="892">
        <f t="shared" si="21"/>
        <v>172.06007749999998</v>
      </c>
      <c r="W33" s="892">
        <f t="shared" si="21"/>
        <v>172.06007749999998</v>
      </c>
      <c r="X33" s="892">
        <f t="shared" si="21"/>
        <v>172.06007749999998</v>
      </c>
      <c r="Y33" s="892">
        <f t="shared" si="21"/>
        <v>172.06007749999998</v>
      </c>
      <c r="Z33" s="892">
        <f t="shared" si="21"/>
        <v>172.06007749999998</v>
      </c>
      <c r="AA33" s="892">
        <f t="shared" si="21"/>
        <v>172.06007749999998</v>
      </c>
      <c r="AB33" s="892">
        <f t="shared" si="21"/>
        <v>172.06007749999998</v>
      </c>
      <c r="AC33" s="892">
        <f t="shared" si="21"/>
        <v>172.06007749999998</v>
      </c>
      <c r="AD33" s="892">
        <f t="shared" si="21"/>
        <v>172.06007749999998</v>
      </c>
      <c r="AE33" s="892">
        <f t="shared" si="21"/>
        <v>172.06007749999998</v>
      </c>
      <c r="AF33" s="892">
        <f t="shared" si="21"/>
        <v>172.06007749999998</v>
      </c>
      <c r="AG33" s="892">
        <f t="shared" si="21"/>
        <v>172.06007749999998</v>
      </c>
      <c r="AH33" s="892">
        <f t="shared" si="21"/>
        <v>172.06007749999998</v>
      </c>
      <c r="AI33" s="892">
        <f t="shared" si="21"/>
        <v>172.06007749999998</v>
      </c>
      <c r="AJ33" s="892">
        <f t="shared" si="21"/>
        <v>172.06007749999998</v>
      </c>
      <c r="AK33" s="892">
        <f t="shared" si="21"/>
        <v>172.06007749999998</v>
      </c>
      <c r="AL33" s="892">
        <f t="shared" si="21"/>
        <v>172.06007749999998</v>
      </c>
      <c r="AM33" s="892">
        <f t="shared" si="21"/>
        <v>172.06007749999998</v>
      </c>
      <c r="AN33" s="892">
        <f t="shared" si="21"/>
        <v>172.06007749999998</v>
      </c>
      <c r="AO33" s="892">
        <f t="shared" si="21"/>
        <v>172.06007749999998</v>
      </c>
      <c r="AP33" s="892">
        <f t="shared" si="21"/>
        <v>172.06007749999998</v>
      </c>
      <c r="AQ33" s="892">
        <f t="shared" si="21"/>
        <v>172.06007749999998</v>
      </c>
      <c r="AR33" s="892">
        <f t="shared" si="21"/>
        <v>172.06007749999998</v>
      </c>
      <c r="AS33" s="892">
        <f t="shared" si="21"/>
        <v>172.06007749999998</v>
      </c>
      <c r="AT33" s="892">
        <f>AT16*$D$33</f>
        <v>172.06007749999998</v>
      </c>
      <c r="AU33" s="893">
        <f t="shared" ref="AU33:CL33" si="22">AU16*$D$33</f>
        <v>172.06007749999998</v>
      </c>
      <c r="AV33" s="893">
        <f t="shared" si="22"/>
        <v>172.06007749999998</v>
      </c>
      <c r="AW33" s="893">
        <f t="shared" si="22"/>
        <v>172.06007749999998</v>
      </c>
      <c r="AX33" s="893">
        <f t="shared" si="22"/>
        <v>172.06007749999998</v>
      </c>
      <c r="AY33" s="893">
        <f t="shared" si="22"/>
        <v>172.06007749999998</v>
      </c>
      <c r="AZ33" s="893">
        <f t="shared" si="22"/>
        <v>172.06007749999998</v>
      </c>
      <c r="BA33" s="893">
        <f t="shared" si="22"/>
        <v>172.06007749999998</v>
      </c>
      <c r="BB33" s="893">
        <f t="shared" si="22"/>
        <v>172.06007749999998</v>
      </c>
      <c r="BC33" s="893">
        <f t="shared" si="22"/>
        <v>172.06007749999998</v>
      </c>
      <c r="BD33" s="893">
        <f t="shared" si="22"/>
        <v>172.06007749999998</v>
      </c>
      <c r="BE33" s="893">
        <f t="shared" si="22"/>
        <v>172.06007749999998</v>
      </c>
      <c r="BF33" s="893">
        <f t="shared" si="22"/>
        <v>172.06007749999998</v>
      </c>
      <c r="BG33" s="893">
        <f t="shared" si="22"/>
        <v>172.06007749999998</v>
      </c>
      <c r="BH33" s="893">
        <f t="shared" si="22"/>
        <v>172.06007749999998</v>
      </c>
      <c r="BI33" s="893">
        <f t="shared" si="22"/>
        <v>172.06007749999998</v>
      </c>
      <c r="BJ33" s="893">
        <f t="shared" si="22"/>
        <v>172.06007749999998</v>
      </c>
      <c r="BK33" s="893">
        <f t="shared" si="22"/>
        <v>172.06007749999998</v>
      </c>
      <c r="BL33" s="893">
        <f t="shared" si="22"/>
        <v>172.06007749999998</v>
      </c>
      <c r="BM33" s="893">
        <f t="shared" si="22"/>
        <v>172.06007749999998</v>
      </c>
      <c r="BN33" s="893">
        <f t="shared" si="22"/>
        <v>172.06007749999998</v>
      </c>
      <c r="BO33" s="893">
        <f t="shared" si="22"/>
        <v>172.06007749999998</v>
      </c>
      <c r="BP33" s="893">
        <f t="shared" si="22"/>
        <v>172.06007749999998</v>
      </c>
      <c r="BQ33" s="893">
        <f t="shared" si="22"/>
        <v>172.06007749999998</v>
      </c>
      <c r="BR33" s="893">
        <f t="shared" si="22"/>
        <v>172.06007749999998</v>
      </c>
      <c r="BS33" s="893">
        <f t="shared" si="22"/>
        <v>172.06007749999998</v>
      </c>
      <c r="BT33" s="893">
        <f t="shared" si="22"/>
        <v>172.06007749999998</v>
      </c>
      <c r="BU33" s="893">
        <f t="shared" si="22"/>
        <v>172.06007749999998</v>
      </c>
      <c r="BV33" s="893">
        <f t="shared" si="22"/>
        <v>172.06007749999998</v>
      </c>
      <c r="BW33" s="893">
        <f t="shared" si="22"/>
        <v>172.06007749999998</v>
      </c>
      <c r="BX33" s="893">
        <f t="shared" si="22"/>
        <v>172.06007749999998</v>
      </c>
      <c r="BY33" s="893">
        <f t="shared" si="22"/>
        <v>172.06007749999998</v>
      </c>
      <c r="BZ33" s="893">
        <f t="shared" si="22"/>
        <v>172.06007749999998</v>
      </c>
      <c r="CA33" s="893">
        <f t="shared" si="22"/>
        <v>172.06007749999998</v>
      </c>
      <c r="CB33" s="893">
        <f t="shared" si="22"/>
        <v>172.06007749999998</v>
      </c>
      <c r="CC33" s="893">
        <f t="shared" si="22"/>
        <v>172.06007749999998</v>
      </c>
      <c r="CD33" s="893">
        <f t="shared" si="22"/>
        <v>172.06007749999998</v>
      </c>
      <c r="CE33" s="893">
        <f t="shared" si="22"/>
        <v>172.06007749999998</v>
      </c>
      <c r="CF33" s="893">
        <f t="shared" si="22"/>
        <v>172.06007749999998</v>
      </c>
      <c r="CG33" s="893">
        <f t="shared" si="22"/>
        <v>172.06007749999998</v>
      </c>
      <c r="CH33" s="893">
        <f t="shared" si="22"/>
        <v>172.06007749999998</v>
      </c>
      <c r="CI33" s="893">
        <f t="shared" si="22"/>
        <v>172.06007749999998</v>
      </c>
      <c r="CJ33" s="893">
        <f t="shared" si="22"/>
        <v>172.06007749999998</v>
      </c>
      <c r="CK33" s="893">
        <f t="shared" si="22"/>
        <v>172.06007749999998</v>
      </c>
      <c r="CL33" s="894">
        <f t="shared" si="22"/>
        <v>172.06007749999998</v>
      </c>
      <c r="CM33" s="854">
        <f t="shared" si="0"/>
        <v>171.19163203869061</v>
      </c>
      <c r="CN33" s="347"/>
      <c r="CO33" s="895">
        <v>41883</v>
      </c>
      <c r="CP33" s="895">
        <v>41913</v>
      </c>
      <c r="CQ33" s="895">
        <v>41944</v>
      </c>
      <c r="CR33" s="895">
        <v>41974</v>
      </c>
      <c r="CS33" s="895">
        <v>42005</v>
      </c>
      <c r="CT33" s="895">
        <v>42036</v>
      </c>
      <c r="CU33" s="895">
        <v>42064</v>
      </c>
      <c r="CV33" s="895">
        <v>42095</v>
      </c>
      <c r="CW33" s="895">
        <v>42125</v>
      </c>
      <c r="CX33" s="895">
        <v>42156</v>
      </c>
      <c r="CY33" s="895">
        <v>42186</v>
      </c>
      <c r="CZ33" s="895">
        <v>42217</v>
      </c>
      <c r="DA33" s="895">
        <v>42248</v>
      </c>
      <c r="DB33" s="895">
        <v>42278</v>
      </c>
      <c r="DC33" s="895">
        <v>42309</v>
      </c>
      <c r="DD33" s="895">
        <v>42339</v>
      </c>
      <c r="DE33" s="895">
        <v>42370</v>
      </c>
      <c r="DF33" s="895">
        <v>42401</v>
      </c>
      <c r="DG33" s="895">
        <v>42430</v>
      </c>
      <c r="DH33" s="895">
        <v>42461</v>
      </c>
      <c r="DI33" s="895">
        <v>42491</v>
      </c>
      <c r="DJ33" s="895">
        <v>42522</v>
      </c>
      <c r="DK33" s="895">
        <v>42552</v>
      </c>
      <c r="DL33" s="895">
        <v>42583</v>
      </c>
      <c r="DM33" s="895">
        <v>42614</v>
      </c>
      <c r="DN33" s="895">
        <v>42644</v>
      </c>
      <c r="DO33" s="895">
        <v>42675</v>
      </c>
      <c r="DP33" s="895">
        <v>42705</v>
      </c>
      <c r="DQ33" s="895">
        <v>42736</v>
      </c>
      <c r="DR33" s="895">
        <v>42767</v>
      </c>
      <c r="DS33" s="895">
        <v>42795</v>
      </c>
      <c r="DT33" s="895">
        <v>42826</v>
      </c>
      <c r="DU33" s="895">
        <v>42856</v>
      </c>
      <c r="DV33" s="895">
        <v>42887</v>
      </c>
      <c r="DW33" s="895">
        <v>42917</v>
      </c>
      <c r="DX33" s="895">
        <v>42948</v>
      </c>
      <c r="DY33" s="895">
        <v>42979</v>
      </c>
      <c r="DZ33" s="895">
        <v>43009</v>
      </c>
      <c r="EA33" s="895">
        <v>43040</v>
      </c>
      <c r="EB33" s="895">
        <v>43070</v>
      </c>
      <c r="EC33" s="895">
        <v>43101</v>
      </c>
      <c r="ED33" s="895">
        <v>43132</v>
      </c>
      <c r="EE33" s="895">
        <v>43160</v>
      </c>
      <c r="EF33" s="895">
        <v>43191</v>
      </c>
      <c r="EG33" s="895">
        <v>43221</v>
      </c>
      <c r="EH33" s="895">
        <v>43252</v>
      </c>
      <c r="EI33" s="895">
        <v>43282</v>
      </c>
      <c r="EJ33" s="895">
        <v>43313</v>
      </c>
      <c r="EK33" s="895">
        <v>43344</v>
      </c>
      <c r="EL33" s="895">
        <v>43374</v>
      </c>
      <c r="EM33" s="895">
        <v>43405</v>
      </c>
      <c r="EN33" s="895">
        <v>43435</v>
      </c>
      <c r="EO33" s="895">
        <v>43466</v>
      </c>
      <c r="EP33" s="895">
        <v>43497</v>
      </c>
      <c r="EQ33" s="895">
        <v>43525</v>
      </c>
      <c r="ER33" s="895">
        <v>43556</v>
      </c>
      <c r="ES33" s="895">
        <v>43586</v>
      </c>
      <c r="ET33" s="895">
        <v>43617</v>
      </c>
      <c r="EU33" s="895">
        <v>43647</v>
      </c>
      <c r="EV33" s="895">
        <v>43678</v>
      </c>
      <c r="EW33" s="895">
        <v>43709</v>
      </c>
      <c r="EX33" s="895">
        <v>43739</v>
      </c>
      <c r="EY33" s="895">
        <v>43770</v>
      </c>
      <c r="EZ33" s="895">
        <v>43800</v>
      </c>
      <c r="FA33" s="895">
        <v>43831</v>
      </c>
      <c r="FB33" s="895">
        <v>43862</v>
      </c>
      <c r="FC33" s="895">
        <v>43891</v>
      </c>
      <c r="FD33" s="895">
        <v>43922</v>
      </c>
      <c r="FE33" s="895">
        <v>43952</v>
      </c>
      <c r="FF33" s="895">
        <v>43983</v>
      </c>
      <c r="FG33" s="895">
        <v>44013</v>
      </c>
      <c r="FH33" s="895">
        <v>44044</v>
      </c>
      <c r="FI33" s="895">
        <v>44075</v>
      </c>
      <c r="FJ33" s="895">
        <v>44105</v>
      </c>
      <c r="FK33" s="895">
        <v>44136</v>
      </c>
      <c r="FL33" s="895">
        <v>44166</v>
      </c>
      <c r="FM33" s="895">
        <v>44197</v>
      </c>
      <c r="FN33" s="895">
        <v>44228</v>
      </c>
      <c r="FO33" s="895">
        <v>44256</v>
      </c>
      <c r="FP33" s="895">
        <v>44287</v>
      </c>
      <c r="FQ33" s="895">
        <v>44317</v>
      </c>
      <c r="FR33" s="895">
        <v>44348</v>
      </c>
      <c r="FS33" s="895">
        <v>44378</v>
      </c>
      <c r="FT33" s="895">
        <v>44409</v>
      </c>
      <c r="FU33" s="895">
        <v>44440</v>
      </c>
      <c r="FV33" s="601"/>
    </row>
    <row r="34" spans="1:179" ht="15" customHeight="1">
      <c r="A34" s="1396" t="s">
        <v>111</v>
      </c>
      <c r="B34" s="876" t="s">
        <v>399</v>
      </c>
      <c r="C34" s="877" t="s">
        <v>402</v>
      </c>
      <c r="D34" s="877">
        <v>1.61</v>
      </c>
      <c r="E34" s="1398" t="s">
        <v>449</v>
      </c>
      <c r="F34" s="896" t="s">
        <v>148</v>
      </c>
      <c r="G34" s="897">
        <f t="shared" ref="G34:R34" si="23">$D$34*G16</f>
        <v>184217.27333333332</v>
      </c>
      <c r="H34" s="897">
        <f t="shared" si="23"/>
        <v>184217.27333333332</v>
      </c>
      <c r="I34" s="897">
        <f t="shared" si="23"/>
        <v>184217.27333333332</v>
      </c>
      <c r="J34" s="897">
        <f t="shared" si="23"/>
        <v>184217.27333333332</v>
      </c>
      <c r="K34" s="897">
        <f t="shared" si="23"/>
        <v>184217.27333333332</v>
      </c>
      <c r="L34" s="897">
        <f t="shared" si="23"/>
        <v>184217.27333333332</v>
      </c>
      <c r="M34" s="897">
        <f t="shared" si="23"/>
        <v>184217.27333333332</v>
      </c>
      <c r="N34" s="897">
        <f t="shared" si="23"/>
        <v>184217.27333333332</v>
      </c>
      <c r="O34" s="897">
        <f t="shared" si="23"/>
        <v>184217.27333333332</v>
      </c>
      <c r="P34" s="897">
        <f t="shared" si="23"/>
        <v>184217.27333333332</v>
      </c>
      <c r="Q34" s="897">
        <f t="shared" si="23"/>
        <v>184217.27333333332</v>
      </c>
      <c r="R34" s="897">
        <f t="shared" si="23"/>
        <v>184217.27333333332</v>
      </c>
      <c r="S34" s="897">
        <f>$D$34*S16</f>
        <v>184217.27333333332</v>
      </c>
      <c r="T34" s="897">
        <f t="shared" ref="T34:CE34" si="24">$D$34*T16</f>
        <v>184217.27333333332</v>
      </c>
      <c r="U34" s="897">
        <f t="shared" si="24"/>
        <v>184217.27333333332</v>
      </c>
      <c r="V34" s="897">
        <f t="shared" si="24"/>
        <v>184217.27333333332</v>
      </c>
      <c r="W34" s="897">
        <f t="shared" si="24"/>
        <v>184217.27333333332</v>
      </c>
      <c r="X34" s="897">
        <f t="shared" si="24"/>
        <v>184217.27333333332</v>
      </c>
      <c r="Y34" s="897">
        <f t="shared" si="24"/>
        <v>184217.27333333332</v>
      </c>
      <c r="Z34" s="897">
        <f t="shared" si="24"/>
        <v>184217.27333333332</v>
      </c>
      <c r="AA34" s="897">
        <f t="shared" si="24"/>
        <v>184217.27333333332</v>
      </c>
      <c r="AB34" s="897">
        <f t="shared" si="24"/>
        <v>184217.27333333332</v>
      </c>
      <c r="AC34" s="897">
        <f t="shared" si="24"/>
        <v>184217.27333333332</v>
      </c>
      <c r="AD34" s="897">
        <f t="shared" si="24"/>
        <v>184217.27333333332</v>
      </c>
      <c r="AE34" s="897">
        <f t="shared" si="24"/>
        <v>184217.27333333332</v>
      </c>
      <c r="AF34" s="897">
        <f t="shared" si="24"/>
        <v>184217.27333333332</v>
      </c>
      <c r="AG34" s="897">
        <f t="shared" si="24"/>
        <v>184217.27333333332</v>
      </c>
      <c r="AH34" s="897">
        <f t="shared" si="24"/>
        <v>184217.27333333332</v>
      </c>
      <c r="AI34" s="897">
        <f t="shared" si="24"/>
        <v>184217.27333333332</v>
      </c>
      <c r="AJ34" s="897">
        <f t="shared" si="24"/>
        <v>184217.27333333332</v>
      </c>
      <c r="AK34" s="897">
        <f t="shared" si="24"/>
        <v>184217.27333333332</v>
      </c>
      <c r="AL34" s="897">
        <f t="shared" si="24"/>
        <v>184217.27333333332</v>
      </c>
      <c r="AM34" s="897">
        <f t="shared" si="24"/>
        <v>184217.27333333332</v>
      </c>
      <c r="AN34" s="897">
        <f t="shared" si="24"/>
        <v>184217.27333333332</v>
      </c>
      <c r="AO34" s="897">
        <f t="shared" si="24"/>
        <v>184217.27333333332</v>
      </c>
      <c r="AP34" s="897">
        <f t="shared" si="24"/>
        <v>184217.27333333332</v>
      </c>
      <c r="AQ34" s="897">
        <f t="shared" si="24"/>
        <v>184217.27333333332</v>
      </c>
      <c r="AR34" s="897">
        <f t="shared" si="24"/>
        <v>184217.27333333332</v>
      </c>
      <c r="AS34" s="897">
        <f t="shared" si="24"/>
        <v>184217.27333333332</v>
      </c>
      <c r="AT34" s="897">
        <f t="shared" si="24"/>
        <v>184217.27333333332</v>
      </c>
      <c r="AU34" s="898">
        <f t="shared" si="24"/>
        <v>184217.27333333332</v>
      </c>
      <c r="AV34" s="898">
        <f t="shared" si="24"/>
        <v>184217.27333333332</v>
      </c>
      <c r="AW34" s="898">
        <f t="shared" si="24"/>
        <v>184217.27333333332</v>
      </c>
      <c r="AX34" s="898">
        <f t="shared" si="24"/>
        <v>184217.27333333332</v>
      </c>
      <c r="AY34" s="898">
        <f t="shared" si="24"/>
        <v>184217.27333333332</v>
      </c>
      <c r="AZ34" s="898">
        <f t="shared" si="24"/>
        <v>184217.27333333332</v>
      </c>
      <c r="BA34" s="898">
        <f t="shared" si="24"/>
        <v>184217.27333333332</v>
      </c>
      <c r="BB34" s="898">
        <f t="shared" si="24"/>
        <v>184217.27333333332</v>
      </c>
      <c r="BC34" s="898">
        <f t="shared" si="24"/>
        <v>184217.27333333332</v>
      </c>
      <c r="BD34" s="898">
        <f t="shared" si="24"/>
        <v>184217.27333333332</v>
      </c>
      <c r="BE34" s="898">
        <f t="shared" si="24"/>
        <v>184217.27333333332</v>
      </c>
      <c r="BF34" s="898">
        <f t="shared" si="24"/>
        <v>184217.27333333332</v>
      </c>
      <c r="BG34" s="898">
        <f t="shared" si="24"/>
        <v>184217.27333333332</v>
      </c>
      <c r="BH34" s="898">
        <f t="shared" si="24"/>
        <v>184217.27333333332</v>
      </c>
      <c r="BI34" s="898">
        <f t="shared" si="24"/>
        <v>184217.27333333332</v>
      </c>
      <c r="BJ34" s="898">
        <f t="shared" si="24"/>
        <v>184217.27333333332</v>
      </c>
      <c r="BK34" s="898">
        <f t="shared" si="24"/>
        <v>184217.27333333332</v>
      </c>
      <c r="BL34" s="898">
        <f t="shared" si="24"/>
        <v>184217.27333333332</v>
      </c>
      <c r="BM34" s="898">
        <f t="shared" si="24"/>
        <v>184217.27333333332</v>
      </c>
      <c r="BN34" s="898">
        <f t="shared" si="24"/>
        <v>184217.27333333332</v>
      </c>
      <c r="BO34" s="898">
        <f t="shared" si="24"/>
        <v>184217.27333333332</v>
      </c>
      <c r="BP34" s="898">
        <f t="shared" si="24"/>
        <v>184217.27333333332</v>
      </c>
      <c r="BQ34" s="898">
        <f t="shared" si="24"/>
        <v>184217.27333333332</v>
      </c>
      <c r="BR34" s="898">
        <f t="shared" si="24"/>
        <v>184217.27333333332</v>
      </c>
      <c r="BS34" s="898">
        <f t="shared" si="24"/>
        <v>184217.27333333332</v>
      </c>
      <c r="BT34" s="898">
        <f t="shared" si="24"/>
        <v>184217.27333333332</v>
      </c>
      <c r="BU34" s="898">
        <f t="shared" si="24"/>
        <v>184217.27333333332</v>
      </c>
      <c r="BV34" s="898">
        <f t="shared" si="24"/>
        <v>184217.27333333332</v>
      </c>
      <c r="BW34" s="898">
        <f t="shared" si="24"/>
        <v>184217.27333333332</v>
      </c>
      <c r="BX34" s="898">
        <f t="shared" si="24"/>
        <v>184217.27333333332</v>
      </c>
      <c r="BY34" s="898">
        <f t="shared" si="24"/>
        <v>184217.27333333332</v>
      </c>
      <c r="BZ34" s="898">
        <f t="shared" si="24"/>
        <v>184217.27333333332</v>
      </c>
      <c r="CA34" s="898">
        <f t="shared" si="24"/>
        <v>184217.27333333332</v>
      </c>
      <c r="CB34" s="898">
        <f t="shared" si="24"/>
        <v>184217.27333333332</v>
      </c>
      <c r="CC34" s="898">
        <f t="shared" si="24"/>
        <v>184217.27333333332</v>
      </c>
      <c r="CD34" s="898">
        <f t="shared" si="24"/>
        <v>184217.27333333332</v>
      </c>
      <c r="CE34" s="898">
        <f t="shared" si="24"/>
        <v>184217.27333333332</v>
      </c>
      <c r="CF34" s="898">
        <f t="shared" ref="CF34:CL34" si="25">$D$34*CF16</f>
        <v>184217.27333333332</v>
      </c>
      <c r="CG34" s="898">
        <f t="shared" si="25"/>
        <v>184217.27333333332</v>
      </c>
      <c r="CH34" s="898">
        <f t="shared" si="25"/>
        <v>184217.27333333332</v>
      </c>
      <c r="CI34" s="898">
        <f t="shared" si="25"/>
        <v>184217.27333333332</v>
      </c>
      <c r="CJ34" s="898">
        <f t="shared" si="25"/>
        <v>184217.27333333332</v>
      </c>
      <c r="CK34" s="898">
        <f t="shared" si="25"/>
        <v>184217.27333333332</v>
      </c>
      <c r="CL34" s="896">
        <f t="shared" si="25"/>
        <v>184217.27333333332</v>
      </c>
      <c r="CM34" s="899">
        <f t="shared" si="0"/>
        <v>184217.2733333334</v>
      </c>
      <c r="CN34" s="900" t="s">
        <v>437</v>
      </c>
      <c r="CO34" s="901">
        <v>6.12</v>
      </c>
      <c r="CP34" s="901">
        <v>6.12</v>
      </c>
      <c r="CQ34" s="901">
        <v>6.12</v>
      </c>
      <c r="CR34" s="901">
        <v>6.12</v>
      </c>
      <c r="CS34" s="901">
        <v>6.24</v>
      </c>
      <c r="CT34" s="901">
        <v>6.24</v>
      </c>
      <c r="CU34" s="901">
        <v>6.28</v>
      </c>
      <c r="CV34" s="901">
        <v>6.28</v>
      </c>
      <c r="CW34" s="901">
        <v>6.32</v>
      </c>
      <c r="CX34" s="901">
        <v>6.32</v>
      </c>
      <c r="CY34" s="901">
        <v>6.47</v>
      </c>
      <c r="CZ34" s="901">
        <v>6.47</v>
      </c>
      <c r="DA34" s="901">
        <v>6.47</v>
      </c>
      <c r="DB34" s="901">
        <v>6.51</v>
      </c>
      <c r="DC34" s="901">
        <v>6.6447253073219397</v>
      </c>
      <c r="DD34" s="901">
        <v>6.6592391374311397</v>
      </c>
      <c r="DE34" s="901">
        <v>6.6737529675403398</v>
      </c>
      <c r="DF34" s="901">
        <v>6.6882667976495496</v>
      </c>
      <c r="DG34" s="901">
        <v>6.7027806277587496</v>
      </c>
      <c r="DH34" s="901">
        <v>6.7172944578679497</v>
      </c>
      <c r="DI34" s="901">
        <v>6.7318082879771604</v>
      </c>
      <c r="DJ34" s="901">
        <v>6.7463221180863604</v>
      </c>
      <c r="DK34" s="901">
        <v>6.7608359481955604</v>
      </c>
      <c r="DL34" s="901">
        <v>6.7753497783047703</v>
      </c>
      <c r="DM34" s="901">
        <v>6.7898636084139703</v>
      </c>
      <c r="DN34" s="901">
        <v>6.91</v>
      </c>
      <c r="DO34" s="901">
        <v>6.8188912686323802</v>
      </c>
      <c r="DP34" s="901">
        <v>6.86</v>
      </c>
      <c r="DQ34" s="901">
        <v>6.8479189288507802</v>
      </c>
      <c r="DR34" s="901">
        <v>6.8624327589599803</v>
      </c>
      <c r="DS34" s="901">
        <v>6.8769465890691901</v>
      </c>
      <c r="DT34" s="901">
        <v>6.8914604191783901</v>
      </c>
      <c r="DU34" s="901">
        <v>6.9059742492875902</v>
      </c>
      <c r="DV34" s="901">
        <v>6.9204880793968</v>
      </c>
      <c r="DW34" s="901">
        <v>6.935001909506</v>
      </c>
      <c r="DX34" s="901">
        <v>6.9495157396152001</v>
      </c>
      <c r="DY34" s="901">
        <v>6.9640295697244099</v>
      </c>
      <c r="DZ34" s="901">
        <v>6.9785433998336099</v>
      </c>
      <c r="EA34" s="901">
        <v>6.99305722994281</v>
      </c>
      <c r="EB34" s="901">
        <v>7.0075710600520198</v>
      </c>
      <c r="EC34" s="901">
        <v>5.2450000000000001</v>
      </c>
      <c r="ED34" s="901">
        <v>7.48</v>
      </c>
      <c r="EE34" s="901">
        <v>7.6002255138846202</v>
      </c>
      <c r="EF34" s="901">
        <v>6.65</v>
      </c>
      <c r="EG34" s="901">
        <v>6.77</v>
      </c>
      <c r="EH34" s="901">
        <v>6.83</v>
      </c>
      <c r="EI34" s="901">
        <v>8.23</v>
      </c>
      <c r="EJ34" s="901">
        <v>8.2200000000000006</v>
      </c>
      <c r="EK34" s="901">
        <v>7.32</v>
      </c>
      <c r="EL34" s="901">
        <v>8.18</v>
      </c>
      <c r="EM34" s="901">
        <v>7.53</v>
      </c>
      <c r="EN34" s="901">
        <v>7.13</v>
      </c>
      <c r="EO34" s="901">
        <v>6.42</v>
      </c>
      <c r="EP34" s="901">
        <v>7.18</v>
      </c>
      <c r="EQ34" s="901">
        <v>6.07</v>
      </c>
      <c r="ER34" s="901">
        <v>4.8415999999999997</v>
      </c>
      <c r="ES34" s="901">
        <v>4.8899999999999997</v>
      </c>
      <c r="ET34" s="901">
        <v>5.4</v>
      </c>
      <c r="EU34" s="901">
        <v>5.84</v>
      </c>
      <c r="EV34" s="901">
        <v>5.76</v>
      </c>
      <c r="EW34" s="901">
        <v>5.46</v>
      </c>
      <c r="EX34" s="901">
        <v>6.36</v>
      </c>
      <c r="EY34" s="901">
        <v>6.17</v>
      </c>
      <c r="EZ34" s="901">
        <v>6.84</v>
      </c>
      <c r="FA34" s="901">
        <v>5.67</v>
      </c>
      <c r="FB34" s="901">
        <v>5.33</v>
      </c>
      <c r="FC34" s="901">
        <v>3.69</v>
      </c>
      <c r="FD34" s="901">
        <v>4.9800000000000004</v>
      </c>
      <c r="FE34" s="901">
        <v>4.4800000000000004</v>
      </c>
      <c r="FF34" s="901">
        <v>3</v>
      </c>
      <c r="FG34" s="901">
        <v>2.6</v>
      </c>
      <c r="FH34" s="901">
        <v>3.43</v>
      </c>
      <c r="FI34" s="901">
        <v>4.3499999999999996</v>
      </c>
      <c r="FJ34" s="901">
        <v>4.68</v>
      </c>
      <c r="FK34" s="901">
        <v>5.0999999999999996</v>
      </c>
      <c r="FL34" s="901">
        <v>6.03</v>
      </c>
      <c r="FM34" s="901">
        <v>6.67</v>
      </c>
      <c r="FN34" s="901">
        <v>8.02</v>
      </c>
      <c r="FO34" s="901">
        <v>7.23</v>
      </c>
      <c r="FP34" s="901">
        <v>5.36</v>
      </c>
      <c r="FQ34" s="901">
        <v>5.15</v>
      </c>
      <c r="FR34" s="901">
        <v>5.64</v>
      </c>
      <c r="FS34" s="901">
        <v>6.42</v>
      </c>
      <c r="FT34" s="901">
        <v>7.17</v>
      </c>
      <c r="FU34" s="901">
        <v>7.47</v>
      </c>
      <c r="FV34" s="902">
        <f t="shared" ref="FV34:FV41" si="26">AVERAGE(EC34:FU34)</f>
        <v>6.0197072336418813</v>
      </c>
      <c r="FW34" s="903"/>
    </row>
    <row r="35" spans="1:179">
      <c r="A35" s="1397"/>
      <c r="B35" s="876" t="s">
        <v>399</v>
      </c>
      <c r="C35" s="877" t="s">
        <v>402</v>
      </c>
      <c r="D35" s="877">
        <v>514.32000000000005</v>
      </c>
      <c r="E35" s="1398"/>
      <c r="F35" s="896" t="s">
        <v>134</v>
      </c>
      <c r="G35" s="897">
        <f t="shared" ref="G35:BR35" si="27">$D$35*G16</f>
        <v>58848837.280000001</v>
      </c>
      <c r="H35" s="897">
        <f t="shared" si="27"/>
        <v>58848837.280000001</v>
      </c>
      <c r="I35" s="897">
        <f t="shared" si="27"/>
        <v>58848837.280000001</v>
      </c>
      <c r="J35" s="897">
        <f t="shared" si="27"/>
        <v>58848837.280000001</v>
      </c>
      <c r="K35" s="897">
        <f t="shared" si="27"/>
        <v>58848837.280000001</v>
      </c>
      <c r="L35" s="897">
        <f t="shared" si="27"/>
        <v>58848837.280000001</v>
      </c>
      <c r="M35" s="897">
        <f t="shared" si="27"/>
        <v>58848837.280000001</v>
      </c>
      <c r="N35" s="897">
        <f t="shared" si="27"/>
        <v>58848837.280000001</v>
      </c>
      <c r="O35" s="897">
        <f t="shared" si="27"/>
        <v>58848837.280000001</v>
      </c>
      <c r="P35" s="897">
        <f t="shared" si="27"/>
        <v>58848837.280000001</v>
      </c>
      <c r="Q35" s="897">
        <f t="shared" si="27"/>
        <v>58848837.280000001</v>
      </c>
      <c r="R35" s="897">
        <f t="shared" si="27"/>
        <v>58848837.280000001</v>
      </c>
      <c r="S35" s="897">
        <f t="shared" si="27"/>
        <v>58848837.280000001</v>
      </c>
      <c r="T35" s="897">
        <f t="shared" si="27"/>
        <v>58848837.280000001</v>
      </c>
      <c r="U35" s="897">
        <f t="shared" si="27"/>
        <v>58848837.280000001</v>
      </c>
      <c r="V35" s="897">
        <f t="shared" si="27"/>
        <v>58848837.280000001</v>
      </c>
      <c r="W35" s="897">
        <f t="shared" si="27"/>
        <v>58848837.280000001</v>
      </c>
      <c r="X35" s="897">
        <f t="shared" si="27"/>
        <v>58848837.280000001</v>
      </c>
      <c r="Y35" s="897">
        <f t="shared" si="27"/>
        <v>58848837.280000001</v>
      </c>
      <c r="Z35" s="897">
        <f t="shared" si="27"/>
        <v>58848837.280000001</v>
      </c>
      <c r="AA35" s="897">
        <f t="shared" si="27"/>
        <v>58848837.280000001</v>
      </c>
      <c r="AB35" s="897">
        <f t="shared" si="27"/>
        <v>58848837.280000001</v>
      </c>
      <c r="AC35" s="897">
        <f t="shared" si="27"/>
        <v>58848837.280000001</v>
      </c>
      <c r="AD35" s="897">
        <f t="shared" si="27"/>
        <v>58848837.280000001</v>
      </c>
      <c r="AE35" s="897">
        <f t="shared" si="27"/>
        <v>58848837.280000001</v>
      </c>
      <c r="AF35" s="897">
        <f t="shared" si="27"/>
        <v>58848837.280000001</v>
      </c>
      <c r="AG35" s="897">
        <f t="shared" si="27"/>
        <v>58848837.280000001</v>
      </c>
      <c r="AH35" s="897">
        <f t="shared" si="27"/>
        <v>58848837.280000001</v>
      </c>
      <c r="AI35" s="897">
        <f t="shared" si="27"/>
        <v>58848837.280000001</v>
      </c>
      <c r="AJ35" s="897">
        <f t="shared" si="27"/>
        <v>58848837.280000001</v>
      </c>
      <c r="AK35" s="897">
        <f t="shared" si="27"/>
        <v>58848837.280000001</v>
      </c>
      <c r="AL35" s="897">
        <f t="shared" si="27"/>
        <v>58848837.280000001</v>
      </c>
      <c r="AM35" s="897">
        <f t="shared" si="27"/>
        <v>58848837.280000001</v>
      </c>
      <c r="AN35" s="897">
        <f t="shared" si="27"/>
        <v>58848837.280000001</v>
      </c>
      <c r="AO35" s="897">
        <f t="shared" si="27"/>
        <v>58848837.280000001</v>
      </c>
      <c r="AP35" s="897">
        <f t="shared" si="27"/>
        <v>58848837.280000001</v>
      </c>
      <c r="AQ35" s="897">
        <f t="shared" si="27"/>
        <v>58848837.280000001</v>
      </c>
      <c r="AR35" s="897">
        <f t="shared" si="27"/>
        <v>58848837.280000001</v>
      </c>
      <c r="AS35" s="897">
        <f t="shared" si="27"/>
        <v>58848837.280000001</v>
      </c>
      <c r="AT35" s="897">
        <f t="shared" si="27"/>
        <v>58848837.280000001</v>
      </c>
      <c r="AU35" s="898">
        <f t="shared" si="27"/>
        <v>58848837.280000001</v>
      </c>
      <c r="AV35" s="898">
        <f t="shared" si="27"/>
        <v>58848837.280000001</v>
      </c>
      <c r="AW35" s="898">
        <f t="shared" si="27"/>
        <v>58848837.280000001</v>
      </c>
      <c r="AX35" s="898">
        <f t="shared" si="27"/>
        <v>58848837.280000001</v>
      </c>
      <c r="AY35" s="898">
        <f t="shared" si="27"/>
        <v>58848837.280000001</v>
      </c>
      <c r="AZ35" s="898">
        <f t="shared" si="27"/>
        <v>58848837.280000001</v>
      </c>
      <c r="BA35" s="898">
        <f t="shared" si="27"/>
        <v>58848837.280000001</v>
      </c>
      <c r="BB35" s="898">
        <f t="shared" si="27"/>
        <v>58848837.280000001</v>
      </c>
      <c r="BC35" s="898">
        <f t="shared" si="27"/>
        <v>58848837.280000001</v>
      </c>
      <c r="BD35" s="898">
        <f t="shared" si="27"/>
        <v>58848837.280000001</v>
      </c>
      <c r="BE35" s="898">
        <f t="shared" si="27"/>
        <v>58848837.280000001</v>
      </c>
      <c r="BF35" s="898">
        <f t="shared" si="27"/>
        <v>58848837.280000001</v>
      </c>
      <c r="BG35" s="898">
        <f t="shared" si="27"/>
        <v>58848837.280000001</v>
      </c>
      <c r="BH35" s="898">
        <f t="shared" si="27"/>
        <v>58848837.280000001</v>
      </c>
      <c r="BI35" s="898">
        <f t="shared" si="27"/>
        <v>58848837.280000001</v>
      </c>
      <c r="BJ35" s="898">
        <f t="shared" si="27"/>
        <v>58848837.280000001</v>
      </c>
      <c r="BK35" s="898">
        <f t="shared" si="27"/>
        <v>58848837.280000001</v>
      </c>
      <c r="BL35" s="898">
        <f t="shared" si="27"/>
        <v>58848837.280000001</v>
      </c>
      <c r="BM35" s="898">
        <f t="shared" si="27"/>
        <v>58848837.280000001</v>
      </c>
      <c r="BN35" s="898">
        <f t="shared" si="27"/>
        <v>58848837.280000001</v>
      </c>
      <c r="BO35" s="898">
        <f t="shared" si="27"/>
        <v>58848837.280000001</v>
      </c>
      <c r="BP35" s="898">
        <f t="shared" si="27"/>
        <v>58848837.280000001</v>
      </c>
      <c r="BQ35" s="898">
        <f t="shared" si="27"/>
        <v>58848837.280000001</v>
      </c>
      <c r="BR35" s="898">
        <f t="shared" si="27"/>
        <v>58848837.280000001</v>
      </c>
      <c r="BS35" s="898">
        <f t="shared" ref="BS35:CL35" si="28">$D$35*BS16</f>
        <v>58848837.280000001</v>
      </c>
      <c r="BT35" s="898">
        <f t="shared" si="28"/>
        <v>58848837.280000001</v>
      </c>
      <c r="BU35" s="898">
        <f t="shared" si="28"/>
        <v>58848837.280000001</v>
      </c>
      <c r="BV35" s="898">
        <f t="shared" si="28"/>
        <v>58848837.280000001</v>
      </c>
      <c r="BW35" s="898">
        <f t="shared" si="28"/>
        <v>58848837.280000001</v>
      </c>
      <c r="BX35" s="898">
        <f t="shared" si="28"/>
        <v>58848837.280000001</v>
      </c>
      <c r="BY35" s="898">
        <f t="shared" si="28"/>
        <v>58848837.280000001</v>
      </c>
      <c r="BZ35" s="898">
        <f t="shared" si="28"/>
        <v>58848837.280000001</v>
      </c>
      <c r="CA35" s="898">
        <f t="shared" si="28"/>
        <v>58848837.280000001</v>
      </c>
      <c r="CB35" s="898">
        <f t="shared" si="28"/>
        <v>58848837.280000001</v>
      </c>
      <c r="CC35" s="898">
        <f t="shared" si="28"/>
        <v>58848837.280000001</v>
      </c>
      <c r="CD35" s="898">
        <f t="shared" si="28"/>
        <v>58848837.280000001</v>
      </c>
      <c r="CE35" s="898">
        <f t="shared" si="28"/>
        <v>58848837.280000001</v>
      </c>
      <c r="CF35" s="898">
        <f t="shared" si="28"/>
        <v>58848837.280000001</v>
      </c>
      <c r="CG35" s="898">
        <f t="shared" si="28"/>
        <v>58848837.280000001</v>
      </c>
      <c r="CH35" s="898">
        <f t="shared" si="28"/>
        <v>58848837.280000001</v>
      </c>
      <c r="CI35" s="898">
        <f t="shared" si="28"/>
        <v>58848837.280000001</v>
      </c>
      <c r="CJ35" s="898">
        <f t="shared" si="28"/>
        <v>58848837.280000001</v>
      </c>
      <c r="CK35" s="898">
        <f t="shared" si="28"/>
        <v>58848837.280000001</v>
      </c>
      <c r="CL35" s="896">
        <f t="shared" si="28"/>
        <v>58848837.280000001</v>
      </c>
      <c r="CM35" s="875">
        <f t="shared" si="0"/>
        <v>58848837.280000038</v>
      </c>
      <c r="CN35" s="904" t="s">
        <v>438</v>
      </c>
      <c r="CO35" s="905">
        <v>2198.1265252613698</v>
      </c>
      <c r="CP35" s="905">
        <v>2198.1265252613698</v>
      </c>
      <c r="CQ35" s="905">
        <v>2198.1265252613698</v>
      </c>
      <c r="CR35" s="905">
        <v>2198.1265252613698</v>
      </c>
      <c r="CS35" s="905">
        <v>2198.1265252613698</v>
      </c>
      <c r="CT35" s="905">
        <v>2198.1265252613698</v>
      </c>
      <c r="CU35" s="905">
        <v>2198.1265252613698</v>
      </c>
      <c r="CV35" s="905">
        <v>2198.1265252613698</v>
      </c>
      <c r="CW35" s="905">
        <v>2204.6719970040999</v>
      </c>
      <c r="CX35" s="905">
        <v>2198.1265252613698</v>
      </c>
      <c r="CY35" s="905">
        <v>2204.6719970040999</v>
      </c>
      <c r="CZ35" s="905">
        <v>2211.21746874684</v>
      </c>
      <c r="DA35" s="905">
        <v>2217.7629404895802</v>
      </c>
      <c r="DB35" s="905">
        <v>2224.3084122323098</v>
      </c>
      <c r="DC35" s="905">
        <v>2230.8538839750499</v>
      </c>
      <c r="DD35" s="905">
        <v>2237.3993557177901</v>
      </c>
      <c r="DE35" s="905">
        <v>2243.9448274605202</v>
      </c>
      <c r="DF35" s="905">
        <v>2250.4902992032598</v>
      </c>
      <c r="DG35" s="905">
        <v>2257.03577094599</v>
      </c>
      <c r="DH35" s="905">
        <v>2263.5812426887301</v>
      </c>
      <c r="DI35" s="905">
        <v>2270.1267144314702</v>
      </c>
      <c r="DJ35" s="905">
        <v>2276.6721861741999</v>
      </c>
      <c r="DK35" s="905">
        <v>2283.21765791694</v>
      </c>
      <c r="DL35" s="905">
        <v>2289.7631296596801</v>
      </c>
      <c r="DM35" s="905">
        <v>2296.3086014024102</v>
      </c>
      <c r="DN35" s="905">
        <v>2302.8540731451499</v>
      </c>
      <c r="DO35" s="905">
        <v>2309.39954488788</v>
      </c>
      <c r="DP35" s="905">
        <v>2315.9450166306201</v>
      </c>
      <c r="DQ35" s="905">
        <v>2322.4904883733602</v>
      </c>
      <c r="DR35" s="905">
        <v>2329.0359601160899</v>
      </c>
      <c r="DS35" s="905">
        <v>2335.58143185883</v>
      </c>
      <c r="DT35" s="905">
        <v>2342.1269036015701</v>
      </c>
      <c r="DU35" s="905">
        <v>2348.6723753442998</v>
      </c>
      <c r="DV35" s="905">
        <v>2355.2178470870399</v>
      </c>
      <c r="DW35" s="905">
        <v>2361.76331882977</v>
      </c>
      <c r="DX35" s="905">
        <v>2368.3087905725101</v>
      </c>
      <c r="DY35" s="905">
        <v>2374.8542623152498</v>
      </c>
      <c r="DZ35" s="905">
        <v>2381.3997340579799</v>
      </c>
      <c r="EA35" s="905">
        <v>2387.94520580072</v>
      </c>
      <c r="EB35" s="905">
        <v>2394.4906775434602</v>
      </c>
      <c r="EC35" s="905">
        <v>1659</v>
      </c>
      <c r="ED35" s="905">
        <v>2237</v>
      </c>
      <c r="EE35" s="905">
        <v>2255.1410444563789</v>
      </c>
      <c r="EF35" s="905">
        <v>2146.2487431145209</v>
      </c>
      <c r="EG35" s="905">
        <v>2418.3910474276554</v>
      </c>
      <c r="EH35" s="905">
        <v>2701.6199743644243</v>
      </c>
      <c r="EI35" s="905">
        <v>2777.0407045596344</v>
      </c>
      <c r="EJ35" s="905">
        <v>2836.6205896021006</v>
      </c>
      <c r="EK35" s="905">
        <v>2780.2581602607625</v>
      </c>
      <c r="EL35" s="905">
        <v>3053.926570501239</v>
      </c>
      <c r="EM35" s="905">
        <v>2836.1664048306907</v>
      </c>
      <c r="EN35" s="905">
        <v>2611.932049598453</v>
      </c>
      <c r="EO35" s="905">
        <v>2577.919484614094</v>
      </c>
      <c r="EP35" s="905">
        <v>2856.2006891112787</v>
      </c>
      <c r="EQ35" s="905">
        <v>2469.3423214225581</v>
      </c>
      <c r="ER35" s="905">
        <v>2091.94</v>
      </c>
      <c r="ES35" s="905">
        <v>2025.12</v>
      </c>
      <c r="ET35" s="905">
        <v>2197.69</v>
      </c>
      <c r="EU35" s="905">
        <v>2450.21</v>
      </c>
      <c r="EV35" s="905">
        <v>2188.85</v>
      </c>
      <c r="EW35" s="905">
        <v>2098.58</v>
      </c>
      <c r="EX35" s="905">
        <v>2650.93</v>
      </c>
      <c r="EY35" s="905">
        <v>2588.92</v>
      </c>
      <c r="EZ35" s="905">
        <v>2922.37</v>
      </c>
      <c r="FA35" s="905">
        <v>2398.6999999999998</v>
      </c>
      <c r="FB35" s="905">
        <v>2269.4</v>
      </c>
      <c r="FC35" s="905">
        <v>1425.69</v>
      </c>
      <c r="FD35" s="905">
        <v>1908.42</v>
      </c>
      <c r="FE35" s="905">
        <v>1785.56</v>
      </c>
      <c r="FF35" s="905">
        <v>1111.8399999999999</v>
      </c>
      <c r="FG35" s="905">
        <v>1033.04</v>
      </c>
      <c r="FH35" s="905">
        <v>1321.01</v>
      </c>
      <c r="FI35" s="905">
        <v>1668.98</v>
      </c>
      <c r="FJ35" s="905">
        <v>1783.8</v>
      </c>
      <c r="FK35" s="905">
        <v>2035.2</v>
      </c>
      <c r="FL35" s="905">
        <v>2259.19</v>
      </c>
      <c r="FM35" s="905">
        <v>2699.1</v>
      </c>
      <c r="FN35" s="905">
        <v>3294.54</v>
      </c>
      <c r="FO35" s="905">
        <v>2840.46</v>
      </c>
      <c r="FP35" s="905">
        <v>2266.15</v>
      </c>
      <c r="FQ35" s="905">
        <v>2243.14</v>
      </c>
      <c r="FR35" s="905">
        <v>2506.4699999999998</v>
      </c>
      <c r="FS35" s="905">
        <v>2911.57</v>
      </c>
      <c r="FT35" s="905">
        <v>3467.2</v>
      </c>
      <c r="FU35" s="905">
        <v>3800.16</v>
      </c>
      <c r="FV35" s="906">
        <f t="shared" si="26"/>
        <v>2365.8008396414175</v>
      </c>
      <c r="FW35" s="903"/>
    </row>
    <row r="36" spans="1:179">
      <c r="A36" s="1397"/>
      <c r="B36" s="876" t="s">
        <v>399</v>
      </c>
      <c r="C36" s="877" t="s">
        <v>402</v>
      </c>
      <c r="D36" s="877">
        <v>0.51</v>
      </c>
      <c r="E36" s="1398"/>
      <c r="F36" s="896" t="s">
        <v>133</v>
      </c>
      <c r="G36" s="897">
        <f t="shared" ref="G36:BR36" si="29">$D$36*G16</f>
        <v>58354.539999999994</v>
      </c>
      <c r="H36" s="897">
        <f t="shared" si="29"/>
        <v>58354.539999999994</v>
      </c>
      <c r="I36" s="897">
        <f t="shared" si="29"/>
        <v>58354.539999999994</v>
      </c>
      <c r="J36" s="897">
        <f t="shared" si="29"/>
        <v>58354.539999999994</v>
      </c>
      <c r="K36" s="897">
        <f t="shared" si="29"/>
        <v>58354.539999999994</v>
      </c>
      <c r="L36" s="897">
        <f t="shared" si="29"/>
        <v>58354.539999999994</v>
      </c>
      <c r="M36" s="897">
        <f t="shared" si="29"/>
        <v>58354.539999999994</v>
      </c>
      <c r="N36" s="897">
        <f t="shared" si="29"/>
        <v>58354.539999999994</v>
      </c>
      <c r="O36" s="897">
        <f t="shared" si="29"/>
        <v>58354.539999999994</v>
      </c>
      <c r="P36" s="897">
        <f t="shared" si="29"/>
        <v>58354.539999999994</v>
      </c>
      <c r="Q36" s="897">
        <f t="shared" si="29"/>
        <v>58354.539999999994</v>
      </c>
      <c r="R36" s="897">
        <f t="shared" si="29"/>
        <v>58354.539999999994</v>
      </c>
      <c r="S36" s="897">
        <f t="shared" si="29"/>
        <v>58354.539999999994</v>
      </c>
      <c r="T36" s="897">
        <f t="shared" si="29"/>
        <v>58354.539999999994</v>
      </c>
      <c r="U36" s="897">
        <f t="shared" si="29"/>
        <v>58354.539999999994</v>
      </c>
      <c r="V36" s="897">
        <f t="shared" si="29"/>
        <v>58354.539999999994</v>
      </c>
      <c r="W36" s="897">
        <f t="shared" si="29"/>
        <v>58354.539999999994</v>
      </c>
      <c r="X36" s="897">
        <f t="shared" si="29"/>
        <v>58354.539999999994</v>
      </c>
      <c r="Y36" s="897">
        <f t="shared" si="29"/>
        <v>58354.539999999994</v>
      </c>
      <c r="Z36" s="897">
        <f t="shared" si="29"/>
        <v>58354.539999999994</v>
      </c>
      <c r="AA36" s="897">
        <f t="shared" si="29"/>
        <v>58354.539999999994</v>
      </c>
      <c r="AB36" s="897">
        <f t="shared" si="29"/>
        <v>58354.539999999994</v>
      </c>
      <c r="AC36" s="897">
        <f t="shared" si="29"/>
        <v>58354.539999999994</v>
      </c>
      <c r="AD36" s="897">
        <f t="shared" si="29"/>
        <v>58354.539999999994</v>
      </c>
      <c r="AE36" s="897">
        <f t="shared" si="29"/>
        <v>58354.539999999994</v>
      </c>
      <c r="AF36" s="897">
        <f t="shared" si="29"/>
        <v>58354.539999999994</v>
      </c>
      <c r="AG36" s="897">
        <f t="shared" si="29"/>
        <v>58354.539999999994</v>
      </c>
      <c r="AH36" s="897">
        <f t="shared" si="29"/>
        <v>58354.539999999994</v>
      </c>
      <c r="AI36" s="897">
        <f t="shared" si="29"/>
        <v>58354.539999999994</v>
      </c>
      <c r="AJ36" s="897">
        <f t="shared" si="29"/>
        <v>58354.539999999994</v>
      </c>
      <c r="AK36" s="897">
        <f t="shared" si="29"/>
        <v>58354.539999999994</v>
      </c>
      <c r="AL36" s="897">
        <f t="shared" si="29"/>
        <v>58354.539999999994</v>
      </c>
      <c r="AM36" s="897">
        <f t="shared" si="29"/>
        <v>58354.539999999994</v>
      </c>
      <c r="AN36" s="897">
        <f t="shared" si="29"/>
        <v>58354.539999999994</v>
      </c>
      <c r="AO36" s="897">
        <f t="shared" si="29"/>
        <v>58354.539999999994</v>
      </c>
      <c r="AP36" s="897">
        <f t="shared" si="29"/>
        <v>58354.539999999994</v>
      </c>
      <c r="AQ36" s="897">
        <f t="shared" si="29"/>
        <v>58354.539999999994</v>
      </c>
      <c r="AR36" s="897">
        <f t="shared" si="29"/>
        <v>58354.539999999994</v>
      </c>
      <c r="AS36" s="897">
        <f t="shared" si="29"/>
        <v>58354.539999999994</v>
      </c>
      <c r="AT36" s="897">
        <f t="shared" si="29"/>
        <v>58354.539999999994</v>
      </c>
      <c r="AU36" s="898">
        <f t="shared" si="29"/>
        <v>58354.539999999994</v>
      </c>
      <c r="AV36" s="898">
        <f t="shared" si="29"/>
        <v>58354.539999999994</v>
      </c>
      <c r="AW36" s="898">
        <f t="shared" si="29"/>
        <v>58354.539999999994</v>
      </c>
      <c r="AX36" s="898">
        <f t="shared" si="29"/>
        <v>58354.539999999994</v>
      </c>
      <c r="AY36" s="898">
        <f t="shared" si="29"/>
        <v>58354.539999999994</v>
      </c>
      <c r="AZ36" s="898">
        <f t="shared" si="29"/>
        <v>58354.539999999994</v>
      </c>
      <c r="BA36" s="898">
        <f t="shared" si="29"/>
        <v>58354.539999999994</v>
      </c>
      <c r="BB36" s="898">
        <f t="shared" si="29"/>
        <v>58354.539999999994</v>
      </c>
      <c r="BC36" s="898">
        <f t="shared" si="29"/>
        <v>58354.539999999994</v>
      </c>
      <c r="BD36" s="898">
        <f t="shared" si="29"/>
        <v>58354.539999999994</v>
      </c>
      <c r="BE36" s="898">
        <f t="shared" si="29"/>
        <v>58354.539999999994</v>
      </c>
      <c r="BF36" s="898">
        <f t="shared" si="29"/>
        <v>58354.539999999994</v>
      </c>
      <c r="BG36" s="898">
        <f t="shared" si="29"/>
        <v>58354.539999999994</v>
      </c>
      <c r="BH36" s="898">
        <f t="shared" si="29"/>
        <v>58354.539999999994</v>
      </c>
      <c r="BI36" s="898">
        <f t="shared" si="29"/>
        <v>58354.539999999994</v>
      </c>
      <c r="BJ36" s="898">
        <f t="shared" si="29"/>
        <v>58354.539999999994</v>
      </c>
      <c r="BK36" s="898">
        <f t="shared" si="29"/>
        <v>58354.539999999994</v>
      </c>
      <c r="BL36" s="898">
        <f t="shared" si="29"/>
        <v>58354.539999999994</v>
      </c>
      <c r="BM36" s="898">
        <f t="shared" si="29"/>
        <v>58354.539999999994</v>
      </c>
      <c r="BN36" s="898">
        <f t="shared" si="29"/>
        <v>58354.539999999994</v>
      </c>
      <c r="BO36" s="898">
        <f t="shared" si="29"/>
        <v>58354.539999999994</v>
      </c>
      <c r="BP36" s="898">
        <f t="shared" si="29"/>
        <v>58354.539999999994</v>
      </c>
      <c r="BQ36" s="898">
        <f t="shared" si="29"/>
        <v>58354.539999999994</v>
      </c>
      <c r="BR36" s="898">
        <f t="shared" si="29"/>
        <v>58354.539999999994</v>
      </c>
      <c r="BS36" s="898">
        <f t="shared" ref="BS36:CL36" si="30">$D$36*BS16</f>
        <v>58354.539999999994</v>
      </c>
      <c r="BT36" s="898">
        <f t="shared" si="30"/>
        <v>58354.539999999994</v>
      </c>
      <c r="BU36" s="898">
        <f t="shared" si="30"/>
        <v>58354.539999999994</v>
      </c>
      <c r="BV36" s="898">
        <f t="shared" si="30"/>
        <v>58354.539999999994</v>
      </c>
      <c r="BW36" s="898">
        <f t="shared" si="30"/>
        <v>58354.539999999994</v>
      </c>
      <c r="BX36" s="898">
        <f t="shared" si="30"/>
        <v>58354.539999999994</v>
      </c>
      <c r="BY36" s="898">
        <f t="shared" si="30"/>
        <v>58354.539999999994</v>
      </c>
      <c r="BZ36" s="898">
        <f t="shared" si="30"/>
        <v>58354.539999999994</v>
      </c>
      <c r="CA36" s="898">
        <f t="shared" si="30"/>
        <v>58354.539999999994</v>
      </c>
      <c r="CB36" s="898">
        <f t="shared" si="30"/>
        <v>58354.539999999994</v>
      </c>
      <c r="CC36" s="898">
        <f t="shared" si="30"/>
        <v>58354.539999999994</v>
      </c>
      <c r="CD36" s="898">
        <f t="shared" si="30"/>
        <v>58354.539999999994</v>
      </c>
      <c r="CE36" s="898">
        <f t="shared" si="30"/>
        <v>58354.539999999994</v>
      </c>
      <c r="CF36" s="898">
        <f t="shared" si="30"/>
        <v>58354.539999999994</v>
      </c>
      <c r="CG36" s="898">
        <f t="shared" si="30"/>
        <v>58354.539999999994</v>
      </c>
      <c r="CH36" s="898">
        <f t="shared" si="30"/>
        <v>58354.539999999994</v>
      </c>
      <c r="CI36" s="898">
        <f t="shared" si="30"/>
        <v>58354.539999999994</v>
      </c>
      <c r="CJ36" s="898">
        <f t="shared" si="30"/>
        <v>58354.539999999994</v>
      </c>
      <c r="CK36" s="898">
        <f t="shared" si="30"/>
        <v>58354.539999999994</v>
      </c>
      <c r="CL36" s="896">
        <f t="shared" si="30"/>
        <v>58354.539999999994</v>
      </c>
      <c r="CM36" s="875">
        <f t="shared" si="0"/>
        <v>58354.540000000023</v>
      </c>
      <c r="CN36" s="904" t="s">
        <v>439</v>
      </c>
      <c r="CO36" s="905">
        <v>36.979805128205101</v>
      </c>
      <c r="CP36" s="905">
        <v>36.979805128205101</v>
      </c>
      <c r="CQ36" s="905">
        <v>36.979805128205101</v>
      </c>
      <c r="CR36" s="905">
        <v>36.979805128205101</v>
      </c>
      <c r="CS36" s="905">
        <v>36.979805128205101</v>
      </c>
      <c r="CT36" s="905">
        <v>36.979805128205101</v>
      </c>
      <c r="CU36" s="905">
        <v>36.979805128205101</v>
      </c>
      <c r="CV36" s="905">
        <v>36.979805128205101</v>
      </c>
      <c r="CW36" s="905">
        <v>37.756290598290597</v>
      </c>
      <c r="CX36" s="905">
        <v>36.979805128205101</v>
      </c>
      <c r="CY36" s="905">
        <v>37.756290598290597</v>
      </c>
      <c r="CZ36" s="905">
        <v>38.532776068376101</v>
      </c>
      <c r="DA36" s="905">
        <v>39.309261538461499</v>
      </c>
      <c r="DB36" s="905">
        <v>40.085747008547003</v>
      </c>
      <c r="DC36" s="905">
        <v>40.8622324786325</v>
      </c>
      <c r="DD36" s="905">
        <v>41.638717948718003</v>
      </c>
      <c r="DE36" s="905">
        <v>42.415203418803401</v>
      </c>
      <c r="DF36" s="905">
        <v>43.191688888888898</v>
      </c>
      <c r="DG36" s="905">
        <v>43.968174358974402</v>
      </c>
      <c r="DH36" s="905">
        <v>44.744659829059799</v>
      </c>
      <c r="DI36" s="905">
        <v>45.521145299145303</v>
      </c>
      <c r="DJ36" s="905">
        <v>46.2976307692308</v>
      </c>
      <c r="DK36" s="905">
        <v>47.074116239316197</v>
      </c>
      <c r="DL36" s="905">
        <v>47.850601709401701</v>
      </c>
      <c r="DM36" s="905">
        <v>48.627087179487198</v>
      </c>
      <c r="DN36" s="905">
        <v>49.403572649572702</v>
      </c>
      <c r="DO36" s="905">
        <v>50.180058119658099</v>
      </c>
      <c r="DP36" s="905">
        <v>50.956543589743603</v>
      </c>
      <c r="DQ36" s="905">
        <v>51.7330290598291</v>
      </c>
      <c r="DR36" s="905">
        <v>52.509514529914497</v>
      </c>
      <c r="DS36" s="905">
        <v>53.286000000000001</v>
      </c>
      <c r="DT36" s="905">
        <v>54.062485470085498</v>
      </c>
      <c r="DU36" s="905">
        <v>54.838970940170903</v>
      </c>
      <c r="DV36" s="905">
        <v>55.6154564102564</v>
      </c>
      <c r="DW36" s="905">
        <v>56.391941880341903</v>
      </c>
      <c r="DX36" s="905">
        <v>57.1684273504274</v>
      </c>
      <c r="DY36" s="905">
        <v>57.944912820512798</v>
      </c>
      <c r="DZ36" s="905">
        <v>58.721398290598302</v>
      </c>
      <c r="EA36" s="905">
        <v>59.497883760683798</v>
      </c>
      <c r="EB36" s="905">
        <v>60.274369230769203</v>
      </c>
      <c r="EC36" s="905">
        <v>56.1</v>
      </c>
      <c r="ED36" s="905">
        <v>57.6</v>
      </c>
      <c r="EE36" s="905">
        <v>55.7</v>
      </c>
      <c r="EF36" s="905">
        <v>59.95</v>
      </c>
      <c r="EG36" s="905">
        <v>68.569999999999993</v>
      </c>
      <c r="EH36" s="905">
        <v>79.7</v>
      </c>
      <c r="EI36" s="905">
        <v>85.01</v>
      </c>
      <c r="EJ36" s="905">
        <v>73.42</v>
      </c>
      <c r="EK36" s="905">
        <v>68.25</v>
      </c>
      <c r="EL36" s="905">
        <v>53.25</v>
      </c>
      <c r="EM36" s="905">
        <v>65.459999999999994</v>
      </c>
      <c r="EN36" s="905">
        <v>60.93</v>
      </c>
      <c r="EO36" s="905">
        <v>59.7</v>
      </c>
      <c r="EP36" s="905">
        <v>58.94</v>
      </c>
      <c r="EQ36" s="905">
        <v>57.95</v>
      </c>
      <c r="ER36" s="905">
        <v>78.48</v>
      </c>
      <c r="ES36" s="905">
        <v>82.51</v>
      </c>
      <c r="ET36" s="905">
        <v>83.6</v>
      </c>
      <c r="EU36" s="905">
        <v>102.15</v>
      </c>
      <c r="EV36" s="905">
        <v>74.58</v>
      </c>
      <c r="EW36" s="905">
        <v>78.45</v>
      </c>
      <c r="EX36" s="905">
        <v>76.87</v>
      </c>
      <c r="EY36" s="905">
        <v>82.39</v>
      </c>
      <c r="EZ36" s="905">
        <v>77.88</v>
      </c>
      <c r="FA36" s="905">
        <v>75.39</v>
      </c>
      <c r="FB36" s="905">
        <v>66.849999999999994</v>
      </c>
      <c r="FC36" s="905">
        <v>64.58</v>
      </c>
      <c r="FD36" s="905">
        <v>84.97</v>
      </c>
      <c r="FE36" s="905">
        <v>78.069999999999993</v>
      </c>
      <c r="FF36" s="905">
        <v>71.17</v>
      </c>
      <c r="FG36" s="905">
        <v>68.23</v>
      </c>
      <c r="FH36" s="905">
        <v>69.2</v>
      </c>
      <c r="FI36" s="905">
        <v>71.16</v>
      </c>
      <c r="FJ36" s="905">
        <v>82.9</v>
      </c>
      <c r="FK36" s="905">
        <v>88.88</v>
      </c>
      <c r="FL36" s="905">
        <v>80.14</v>
      </c>
      <c r="FM36" s="905">
        <v>89.43</v>
      </c>
      <c r="FN36" s="905">
        <v>102.78</v>
      </c>
      <c r="FO36" s="905">
        <v>102.25</v>
      </c>
      <c r="FP36" s="905">
        <v>100.32</v>
      </c>
      <c r="FQ36" s="905">
        <v>81.34</v>
      </c>
      <c r="FR36" s="905">
        <v>90.67</v>
      </c>
      <c r="FS36" s="905">
        <v>91.86</v>
      </c>
      <c r="FT36" s="905">
        <v>95.99</v>
      </c>
      <c r="FU36" s="905">
        <v>94.95</v>
      </c>
      <c r="FV36" s="906">
        <f t="shared" si="26"/>
        <v>76.634888888888895</v>
      </c>
      <c r="FW36" s="903"/>
    </row>
    <row r="37" spans="1:179" ht="26.25" customHeight="1">
      <c r="A37" s="1397"/>
      <c r="B37" s="876" t="s">
        <v>399</v>
      </c>
      <c r="C37" s="877" t="s">
        <v>407</v>
      </c>
      <c r="D37" s="877">
        <v>0.14000000000000001</v>
      </c>
      <c r="E37" s="1398"/>
      <c r="F37" s="896" t="s">
        <v>132</v>
      </c>
      <c r="G37" s="897">
        <f t="shared" ref="G37:BR37" si="31">$D$37*G16</f>
        <v>16018.893333333333</v>
      </c>
      <c r="H37" s="897">
        <f t="shared" si="31"/>
        <v>16018.893333333333</v>
      </c>
      <c r="I37" s="897">
        <f t="shared" si="31"/>
        <v>16018.893333333333</v>
      </c>
      <c r="J37" s="897">
        <f t="shared" si="31"/>
        <v>16018.893333333333</v>
      </c>
      <c r="K37" s="897">
        <f t="shared" si="31"/>
        <v>16018.893333333333</v>
      </c>
      <c r="L37" s="897">
        <f t="shared" si="31"/>
        <v>16018.893333333333</v>
      </c>
      <c r="M37" s="897">
        <f t="shared" si="31"/>
        <v>16018.893333333333</v>
      </c>
      <c r="N37" s="897">
        <f t="shared" si="31"/>
        <v>16018.893333333333</v>
      </c>
      <c r="O37" s="897">
        <f t="shared" si="31"/>
        <v>16018.893333333333</v>
      </c>
      <c r="P37" s="897">
        <f t="shared" si="31"/>
        <v>16018.893333333333</v>
      </c>
      <c r="Q37" s="897">
        <f t="shared" si="31"/>
        <v>16018.893333333333</v>
      </c>
      <c r="R37" s="897">
        <f t="shared" si="31"/>
        <v>16018.893333333333</v>
      </c>
      <c r="S37" s="897">
        <f t="shared" si="31"/>
        <v>16018.893333333333</v>
      </c>
      <c r="T37" s="897">
        <f t="shared" si="31"/>
        <v>16018.893333333333</v>
      </c>
      <c r="U37" s="897">
        <f t="shared" si="31"/>
        <v>16018.893333333333</v>
      </c>
      <c r="V37" s="897">
        <f t="shared" si="31"/>
        <v>16018.893333333333</v>
      </c>
      <c r="W37" s="897">
        <f t="shared" si="31"/>
        <v>16018.893333333333</v>
      </c>
      <c r="X37" s="897">
        <f t="shared" si="31"/>
        <v>16018.893333333333</v>
      </c>
      <c r="Y37" s="897">
        <f t="shared" si="31"/>
        <v>16018.893333333333</v>
      </c>
      <c r="Z37" s="897">
        <f t="shared" si="31"/>
        <v>16018.893333333333</v>
      </c>
      <c r="AA37" s="897">
        <f t="shared" si="31"/>
        <v>16018.893333333333</v>
      </c>
      <c r="AB37" s="897">
        <f t="shared" si="31"/>
        <v>16018.893333333333</v>
      </c>
      <c r="AC37" s="897">
        <f t="shared" si="31"/>
        <v>16018.893333333333</v>
      </c>
      <c r="AD37" s="897">
        <f t="shared" si="31"/>
        <v>16018.893333333333</v>
      </c>
      <c r="AE37" s="897">
        <f t="shared" si="31"/>
        <v>16018.893333333333</v>
      </c>
      <c r="AF37" s="897">
        <f t="shared" si="31"/>
        <v>16018.893333333333</v>
      </c>
      <c r="AG37" s="897">
        <f t="shared" si="31"/>
        <v>16018.893333333333</v>
      </c>
      <c r="AH37" s="897">
        <f t="shared" si="31"/>
        <v>16018.893333333333</v>
      </c>
      <c r="AI37" s="897">
        <f t="shared" si="31"/>
        <v>16018.893333333333</v>
      </c>
      <c r="AJ37" s="897">
        <f t="shared" si="31"/>
        <v>16018.893333333333</v>
      </c>
      <c r="AK37" s="897">
        <f t="shared" si="31"/>
        <v>16018.893333333333</v>
      </c>
      <c r="AL37" s="897">
        <f t="shared" si="31"/>
        <v>16018.893333333333</v>
      </c>
      <c r="AM37" s="897">
        <f t="shared" si="31"/>
        <v>16018.893333333333</v>
      </c>
      <c r="AN37" s="897">
        <f t="shared" si="31"/>
        <v>16018.893333333333</v>
      </c>
      <c r="AO37" s="897">
        <f t="shared" si="31"/>
        <v>16018.893333333333</v>
      </c>
      <c r="AP37" s="897">
        <f t="shared" si="31"/>
        <v>16018.893333333333</v>
      </c>
      <c r="AQ37" s="897">
        <f t="shared" si="31"/>
        <v>16018.893333333333</v>
      </c>
      <c r="AR37" s="897">
        <f t="shared" si="31"/>
        <v>16018.893333333333</v>
      </c>
      <c r="AS37" s="897">
        <f t="shared" si="31"/>
        <v>16018.893333333333</v>
      </c>
      <c r="AT37" s="897">
        <f t="shared" si="31"/>
        <v>16018.893333333333</v>
      </c>
      <c r="AU37" s="898">
        <f t="shared" si="31"/>
        <v>16018.893333333333</v>
      </c>
      <c r="AV37" s="898">
        <f t="shared" si="31"/>
        <v>16018.893333333333</v>
      </c>
      <c r="AW37" s="898">
        <f t="shared" si="31"/>
        <v>16018.893333333333</v>
      </c>
      <c r="AX37" s="898">
        <f t="shared" si="31"/>
        <v>16018.893333333333</v>
      </c>
      <c r="AY37" s="898">
        <f t="shared" si="31"/>
        <v>16018.893333333333</v>
      </c>
      <c r="AZ37" s="898">
        <f t="shared" si="31"/>
        <v>16018.893333333333</v>
      </c>
      <c r="BA37" s="898">
        <f t="shared" si="31"/>
        <v>16018.893333333333</v>
      </c>
      <c r="BB37" s="898">
        <f t="shared" si="31"/>
        <v>16018.893333333333</v>
      </c>
      <c r="BC37" s="898">
        <f t="shared" si="31"/>
        <v>16018.893333333333</v>
      </c>
      <c r="BD37" s="898">
        <f t="shared" si="31"/>
        <v>16018.893333333333</v>
      </c>
      <c r="BE37" s="898">
        <f t="shared" si="31"/>
        <v>16018.893333333333</v>
      </c>
      <c r="BF37" s="898">
        <f t="shared" si="31"/>
        <v>16018.893333333333</v>
      </c>
      <c r="BG37" s="898">
        <f t="shared" si="31"/>
        <v>16018.893333333333</v>
      </c>
      <c r="BH37" s="898">
        <f t="shared" si="31"/>
        <v>16018.893333333333</v>
      </c>
      <c r="BI37" s="898">
        <f t="shared" si="31"/>
        <v>16018.893333333333</v>
      </c>
      <c r="BJ37" s="898">
        <f t="shared" si="31"/>
        <v>16018.893333333333</v>
      </c>
      <c r="BK37" s="898">
        <f t="shared" si="31"/>
        <v>16018.893333333333</v>
      </c>
      <c r="BL37" s="898">
        <f t="shared" si="31"/>
        <v>16018.893333333333</v>
      </c>
      <c r="BM37" s="898">
        <f t="shared" si="31"/>
        <v>16018.893333333333</v>
      </c>
      <c r="BN37" s="898">
        <f t="shared" si="31"/>
        <v>16018.893333333333</v>
      </c>
      <c r="BO37" s="898">
        <f t="shared" si="31"/>
        <v>16018.893333333333</v>
      </c>
      <c r="BP37" s="898">
        <f t="shared" si="31"/>
        <v>16018.893333333333</v>
      </c>
      <c r="BQ37" s="898">
        <f t="shared" si="31"/>
        <v>16018.893333333333</v>
      </c>
      <c r="BR37" s="898">
        <f t="shared" si="31"/>
        <v>16018.893333333333</v>
      </c>
      <c r="BS37" s="898">
        <f t="shared" ref="BS37:CL37" si="32">$D$37*BS16</f>
        <v>16018.893333333333</v>
      </c>
      <c r="BT37" s="898">
        <f t="shared" si="32"/>
        <v>16018.893333333333</v>
      </c>
      <c r="BU37" s="898">
        <f t="shared" si="32"/>
        <v>16018.893333333333</v>
      </c>
      <c r="BV37" s="898">
        <f t="shared" si="32"/>
        <v>16018.893333333333</v>
      </c>
      <c r="BW37" s="898">
        <f t="shared" si="32"/>
        <v>16018.893333333333</v>
      </c>
      <c r="BX37" s="898">
        <f t="shared" si="32"/>
        <v>16018.893333333333</v>
      </c>
      <c r="BY37" s="898">
        <f t="shared" si="32"/>
        <v>16018.893333333333</v>
      </c>
      <c r="BZ37" s="898">
        <f t="shared" si="32"/>
        <v>16018.893333333333</v>
      </c>
      <c r="CA37" s="898">
        <f t="shared" si="32"/>
        <v>16018.893333333333</v>
      </c>
      <c r="CB37" s="898">
        <f t="shared" si="32"/>
        <v>16018.893333333333</v>
      </c>
      <c r="CC37" s="898">
        <f t="shared" si="32"/>
        <v>16018.893333333333</v>
      </c>
      <c r="CD37" s="898">
        <f t="shared" si="32"/>
        <v>16018.893333333333</v>
      </c>
      <c r="CE37" s="898">
        <f t="shared" si="32"/>
        <v>16018.893333333333</v>
      </c>
      <c r="CF37" s="898">
        <f t="shared" si="32"/>
        <v>16018.893333333333</v>
      </c>
      <c r="CG37" s="898">
        <f t="shared" si="32"/>
        <v>16018.893333333333</v>
      </c>
      <c r="CH37" s="898">
        <f t="shared" si="32"/>
        <v>16018.893333333333</v>
      </c>
      <c r="CI37" s="898">
        <f t="shared" si="32"/>
        <v>16018.893333333333</v>
      </c>
      <c r="CJ37" s="898">
        <f t="shared" si="32"/>
        <v>16018.893333333333</v>
      </c>
      <c r="CK37" s="898">
        <f t="shared" si="32"/>
        <v>16018.893333333333</v>
      </c>
      <c r="CL37" s="896">
        <f t="shared" si="32"/>
        <v>16018.893333333333</v>
      </c>
      <c r="CM37" s="875">
        <f t="shared" si="0"/>
        <v>16018.893333333317</v>
      </c>
      <c r="CN37" s="904" t="s">
        <v>208</v>
      </c>
      <c r="CO37" s="905">
        <v>3.25</v>
      </c>
      <c r="CP37" s="905">
        <v>3.25</v>
      </c>
      <c r="CQ37" s="905">
        <v>3.25</v>
      </c>
      <c r="CR37" s="905">
        <v>3.25</v>
      </c>
      <c r="CS37" s="905">
        <v>3.25</v>
      </c>
      <c r="CT37" s="905">
        <v>3.5</v>
      </c>
      <c r="CU37" s="905">
        <v>3.5</v>
      </c>
      <c r="CV37" s="905">
        <v>3.5</v>
      </c>
      <c r="CW37" s="905">
        <v>3.5</v>
      </c>
      <c r="CX37" s="905">
        <v>3.5</v>
      </c>
      <c r="CY37" s="905">
        <v>3.5</v>
      </c>
      <c r="CZ37" s="905">
        <v>3.5</v>
      </c>
      <c r="DA37" s="905">
        <v>3.5</v>
      </c>
      <c r="DB37" s="905">
        <v>3.5</v>
      </c>
      <c r="DC37" s="905">
        <v>3.5</v>
      </c>
      <c r="DD37" s="905">
        <v>3.5</v>
      </c>
      <c r="DE37" s="905">
        <v>3.5574974358974401</v>
      </c>
      <c r="DF37" s="905">
        <v>3.5365333333333302</v>
      </c>
      <c r="DG37" s="905">
        <v>3.5155692307692301</v>
      </c>
      <c r="DH37" s="905">
        <v>3.49460512820513</v>
      </c>
      <c r="DI37" s="905">
        <v>3.4736410256410299</v>
      </c>
      <c r="DJ37" s="905">
        <v>3.4526769230769201</v>
      </c>
      <c r="DK37" s="905">
        <v>3.43171282051282</v>
      </c>
      <c r="DL37" s="905">
        <v>3.4107487179487199</v>
      </c>
      <c r="DM37" s="905">
        <v>3.3897846153846101</v>
      </c>
      <c r="DN37" s="905">
        <v>3.36882051282051</v>
      </c>
      <c r="DO37" s="905">
        <v>3.3478564102564099</v>
      </c>
      <c r="DP37" s="905">
        <v>3.3268923076923098</v>
      </c>
      <c r="DQ37" s="905">
        <v>3.3059282051282</v>
      </c>
      <c r="DR37" s="905">
        <v>3.2849641025640999</v>
      </c>
      <c r="DS37" s="905">
        <v>3.2639999999999998</v>
      </c>
      <c r="DT37" s="905">
        <v>3.2430358974359002</v>
      </c>
      <c r="DU37" s="905">
        <v>3.2220717948717899</v>
      </c>
      <c r="DV37" s="905">
        <v>3.2011076923076902</v>
      </c>
      <c r="DW37" s="905">
        <v>3.1801435897435901</v>
      </c>
      <c r="DX37" s="905">
        <v>3.15917948717949</v>
      </c>
      <c r="DY37" s="905">
        <v>3.1382153846153802</v>
      </c>
      <c r="DZ37" s="905">
        <v>3.1172512820512801</v>
      </c>
      <c r="EA37" s="905">
        <v>3.09628717948718</v>
      </c>
      <c r="EB37" s="905">
        <v>3.0753230769230799</v>
      </c>
      <c r="EC37" s="905">
        <v>2.19</v>
      </c>
      <c r="ED37" s="905">
        <v>3.16</v>
      </c>
      <c r="EE37" s="905">
        <v>3.15</v>
      </c>
      <c r="EF37" s="905">
        <v>2.71</v>
      </c>
      <c r="EG37" s="905">
        <v>2.67</v>
      </c>
      <c r="EH37" s="905">
        <v>2.98</v>
      </c>
      <c r="EI37" s="905">
        <v>3.6</v>
      </c>
      <c r="EJ37" s="905">
        <v>3.3</v>
      </c>
      <c r="EK37" s="905">
        <v>3.19</v>
      </c>
      <c r="EL37" s="905">
        <v>3.54</v>
      </c>
      <c r="EM37" s="905">
        <v>3.04</v>
      </c>
      <c r="EN37" s="905">
        <v>2.95</v>
      </c>
      <c r="EO37" s="905">
        <v>2.5499999999999998</v>
      </c>
      <c r="EP37" s="905">
        <v>3.17</v>
      </c>
      <c r="EQ37" s="905">
        <v>2.7</v>
      </c>
      <c r="ER37" s="905">
        <v>2.14</v>
      </c>
      <c r="ES37" s="905">
        <v>2.11</v>
      </c>
      <c r="ET37" s="905">
        <v>2.31</v>
      </c>
      <c r="EU37" s="905">
        <v>2.5499999999999998</v>
      </c>
      <c r="EV37" s="905">
        <v>2.8</v>
      </c>
      <c r="EW37" s="905">
        <v>2.42</v>
      </c>
      <c r="EX37" s="905">
        <v>2.8</v>
      </c>
      <c r="EY37" s="905">
        <v>2.73</v>
      </c>
      <c r="EZ37" s="905">
        <v>2.99</v>
      </c>
      <c r="FA37" s="905">
        <v>2.38</v>
      </c>
      <c r="FB37" s="905">
        <v>2.4700000000000002</v>
      </c>
      <c r="FC37" s="905">
        <v>1.66</v>
      </c>
      <c r="FD37" s="905">
        <v>2.34</v>
      </c>
      <c r="FE37" s="905">
        <v>2.73</v>
      </c>
      <c r="FF37" s="905">
        <v>1.44</v>
      </c>
      <c r="FG37" s="905">
        <v>1.22</v>
      </c>
      <c r="FH37" s="905">
        <v>1.58</v>
      </c>
      <c r="FI37" s="905">
        <v>2.04</v>
      </c>
      <c r="FJ37" s="905">
        <v>2.15</v>
      </c>
      <c r="FK37" s="905">
        <v>2.37</v>
      </c>
      <c r="FL37" s="905">
        <v>2.61</v>
      </c>
      <c r="FM37" s="905">
        <v>2.96</v>
      </c>
      <c r="FN37" s="905">
        <v>3.52</v>
      </c>
      <c r="FO37" s="905">
        <v>3.35</v>
      </c>
      <c r="FP37" s="905">
        <v>2.69</v>
      </c>
      <c r="FQ37" s="905">
        <v>2.57</v>
      </c>
      <c r="FR37" s="905">
        <v>2.83</v>
      </c>
      <c r="FS37" s="905">
        <v>3.48</v>
      </c>
      <c r="FT37" s="905">
        <v>3.56</v>
      </c>
      <c r="FU37" s="905">
        <v>3.74</v>
      </c>
      <c r="FV37" s="906">
        <f t="shared" si="26"/>
        <v>2.6986666666666661</v>
      </c>
      <c r="FW37" s="903"/>
    </row>
    <row r="38" spans="1:179">
      <c r="A38" s="1397"/>
      <c r="B38" s="876" t="s">
        <v>399</v>
      </c>
      <c r="C38" s="877" t="s">
        <v>361</v>
      </c>
      <c r="D38" s="877">
        <v>15.58</v>
      </c>
      <c r="E38" s="1398"/>
      <c r="F38" s="896" t="s">
        <v>131</v>
      </c>
      <c r="G38" s="897">
        <f t="shared" ref="G38:BR38" si="33">$D$38*G16</f>
        <v>1782673.9866666666</v>
      </c>
      <c r="H38" s="897">
        <f t="shared" si="33"/>
        <v>1782673.9866666666</v>
      </c>
      <c r="I38" s="897">
        <f t="shared" si="33"/>
        <v>1782673.9866666666</v>
      </c>
      <c r="J38" s="897">
        <f t="shared" si="33"/>
        <v>1782673.9866666666</v>
      </c>
      <c r="K38" s="897">
        <f t="shared" si="33"/>
        <v>1782673.9866666666</v>
      </c>
      <c r="L38" s="897">
        <f t="shared" si="33"/>
        <v>1782673.9866666666</v>
      </c>
      <c r="M38" s="897">
        <f t="shared" si="33"/>
        <v>1782673.9866666666</v>
      </c>
      <c r="N38" s="897">
        <f t="shared" si="33"/>
        <v>1782673.9866666666</v>
      </c>
      <c r="O38" s="897">
        <f t="shared" si="33"/>
        <v>1782673.9866666666</v>
      </c>
      <c r="P38" s="897">
        <f t="shared" si="33"/>
        <v>1782673.9866666666</v>
      </c>
      <c r="Q38" s="897">
        <f t="shared" si="33"/>
        <v>1782673.9866666666</v>
      </c>
      <c r="R38" s="897">
        <f t="shared" si="33"/>
        <v>1782673.9866666666</v>
      </c>
      <c r="S38" s="897">
        <f t="shared" si="33"/>
        <v>1782673.9866666666</v>
      </c>
      <c r="T38" s="897">
        <f t="shared" si="33"/>
        <v>1782673.9866666666</v>
      </c>
      <c r="U38" s="897">
        <f t="shared" si="33"/>
        <v>1782673.9866666666</v>
      </c>
      <c r="V38" s="897">
        <f t="shared" si="33"/>
        <v>1782673.9866666666</v>
      </c>
      <c r="W38" s="897">
        <f t="shared" si="33"/>
        <v>1782673.9866666666</v>
      </c>
      <c r="X38" s="897">
        <f t="shared" si="33"/>
        <v>1782673.9866666666</v>
      </c>
      <c r="Y38" s="897">
        <f t="shared" si="33"/>
        <v>1782673.9866666666</v>
      </c>
      <c r="Z38" s="897">
        <f t="shared" si="33"/>
        <v>1782673.9866666666</v>
      </c>
      <c r="AA38" s="897">
        <f t="shared" si="33"/>
        <v>1782673.9866666666</v>
      </c>
      <c r="AB38" s="897">
        <f t="shared" si="33"/>
        <v>1782673.9866666666</v>
      </c>
      <c r="AC38" s="897">
        <f t="shared" si="33"/>
        <v>1782673.9866666666</v>
      </c>
      <c r="AD38" s="897">
        <f t="shared" si="33"/>
        <v>1782673.9866666666</v>
      </c>
      <c r="AE38" s="897">
        <f t="shared" si="33"/>
        <v>1782673.9866666666</v>
      </c>
      <c r="AF38" s="897">
        <f t="shared" si="33"/>
        <v>1782673.9866666666</v>
      </c>
      <c r="AG38" s="897">
        <f t="shared" si="33"/>
        <v>1782673.9866666666</v>
      </c>
      <c r="AH38" s="897">
        <f t="shared" si="33"/>
        <v>1782673.9866666666</v>
      </c>
      <c r="AI38" s="897">
        <f t="shared" si="33"/>
        <v>1782673.9866666666</v>
      </c>
      <c r="AJ38" s="897">
        <f t="shared" si="33"/>
        <v>1782673.9866666666</v>
      </c>
      <c r="AK38" s="897">
        <f t="shared" si="33"/>
        <v>1782673.9866666666</v>
      </c>
      <c r="AL38" s="897">
        <f t="shared" si="33"/>
        <v>1782673.9866666666</v>
      </c>
      <c r="AM38" s="897">
        <f t="shared" si="33"/>
        <v>1782673.9866666666</v>
      </c>
      <c r="AN38" s="897">
        <f t="shared" si="33"/>
        <v>1782673.9866666666</v>
      </c>
      <c r="AO38" s="897">
        <f t="shared" si="33"/>
        <v>1782673.9866666666</v>
      </c>
      <c r="AP38" s="897">
        <f t="shared" si="33"/>
        <v>1782673.9866666666</v>
      </c>
      <c r="AQ38" s="897">
        <f t="shared" si="33"/>
        <v>1782673.9866666666</v>
      </c>
      <c r="AR38" s="897">
        <f t="shared" si="33"/>
        <v>1782673.9866666666</v>
      </c>
      <c r="AS38" s="897">
        <f t="shared" si="33"/>
        <v>1782673.9866666666</v>
      </c>
      <c r="AT38" s="897">
        <f t="shared" si="33"/>
        <v>1782673.9866666666</v>
      </c>
      <c r="AU38" s="898">
        <f t="shared" si="33"/>
        <v>1782673.9866666666</v>
      </c>
      <c r="AV38" s="898">
        <f t="shared" si="33"/>
        <v>1782673.9866666666</v>
      </c>
      <c r="AW38" s="898">
        <f t="shared" si="33"/>
        <v>1782673.9866666666</v>
      </c>
      <c r="AX38" s="898">
        <f t="shared" si="33"/>
        <v>1782673.9866666666</v>
      </c>
      <c r="AY38" s="898">
        <f t="shared" si="33"/>
        <v>1782673.9866666666</v>
      </c>
      <c r="AZ38" s="898">
        <f t="shared" si="33"/>
        <v>1782673.9866666666</v>
      </c>
      <c r="BA38" s="898">
        <f t="shared" si="33"/>
        <v>1782673.9866666666</v>
      </c>
      <c r="BB38" s="898">
        <f t="shared" si="33"/>
        <v>1782673.9866666666</v>
      </c>
      <c r="BC38" s="898">
        <f t="shared" si="33"/>
        <v>1782673.9866666666</v>
      </c>
      <c r="BD38" s="898">
        <f t="shared" si="33"/>
        <v>1782673.9866666666</v>
      </c>
      <c r="BE38" s="898">
        <f t="shared" si="33"/>
        <v>1782673.9866666666</v>
      </c>
      <c r="BF38" s="898">
        <f t="shared" si="33"/>
        <v>1782673.9866666666</v>
      </c>
      <c r="BG38" s="898">
        <f t="shared" si="33"/>
        <v>1782673.9866666666</v>
      </c>
      <c r="BH38" s="898">
        <f t="shared" si="33"/>
        <v>1782673.9866666666</v>
      </c>
      <c r="BI38" s="898">
        <f t="shared" si="33"/>
        <v>1782673.9866666666</v>
      </c>
      <c r="BJ38" s="898">
        <f t="shared" si="33"/>
        <v>1782673.9866666666</v>
      </c>
      <c r="BK38" s="898">
        <f t="shared" si="33"/>
        <v>1782673.9866666666</v>
      </c>
      <c r="BL38" s="898">
        <f t="shared" si="33"/>
        <v>1782673.9866666666</v>
      </c>
      <c r="BM38" s="898">
        <f t="shared" si="33"/>
        <v>1782673.9866666666</v>
      </c>
      <c r="BN38" s="898">
        <f t="shared" si="33"/>
        <v>1782673.9866666666</v>
      </c>
      <c r="BO38" s="898">
        <f t="shared" si="33"/>
        <v>1782673.9866666666</v>
      </c>
      <c r="BP38" s="898">
        <f t="shared" si="33"/>
        <v>1782673.9866666666</v>
      </c>
      <c r="BQ38" s="898">
        <f t="shared" si="33"/>
        <v>1782673.9866666666</v>
      </c>
      <c r="BR38" s="898">
        <f t="shared" si="33"/>
        <v>1782673.9866666666</v>
      </c>
      <c r="BS38" s="898">
        <f t="shared" ref="BS38:CL38" si="34">$D$38*BS16</f>
        <v>1782673.9866666666</v>
      </c>
      <c r="BT38" s="898">
        <f t="shared" si="34"/>
        <v>1782673.9866666666</v>
      </c>
      <c r="BU38" s="898">
        <f t="shared" si="34"/>
        <v>1782673.9866666666</v>
      </c>
      <c r="BV38" s="898">
        <f t="shared" si="34"/>
        <v>1782673.9866666666</v>
      </c>
      <c r="BW38" s="898">
        <f t="shared" si="34"/>
        <v>1782673.9866666666</v>
      </c>
      <c r="BX38" s="898">
        <f t="shared" si="34"/>
        <v>1782673.9866666666</v>
      </c>
      <c r="BY38" s="898">
        <f t="shared" si="34"/>
        <v>1782673.9866666666</v>
      </c>
      <c r="BZ38" s="898">
        <f t="shared" si="34"/>
        <v>1782673.9866666666</v>
      </c>
      <c r="CA38" s="898">
        <f t="shared" si="34"/>
        <v>1782673.9866666666</v>
      </c>
      <c r="CB38" s="898">
        <f t="shared" si="34"/>
        <v>1782673.9866666666</v>
      </c>
      <c r="CC38" s="898">
        <f t="shared" si="34"/>
        <v>1782673.9866666666</v>
      </c>
      <c r="CD38" s="898">
        <f t="shared" si="34"/>
        <v>1782673.9866666666</v>
      </c>
      <c r="CE38" s="898">
        <f t="shared" si="34"/>
        <v>1782673.9866666666</v>
      </c>
      <c r="CF38" s="898">
        <f t="shared" si="34"/>
        <v>1782673.9866666666</v>
      </c>
      <c r="CG38" s="898">
        <f t="shared" si="34"/>
        <v>1782673.9866666666</v>
      </c>
      <c r="CH38" s="898">
        <f t="shared" si="34"/>
        <v>1782673.9866666666</v>
      </c>
      <c r="CI38" s="898">
        <f t="shared" si="34"/>
        <v>1782673.9866666666</v>
      </c>
      <c r="CJ38" s="898">
        <f t="shared" si="34"/>
        <v>1782673.9866666666</v>
      </c>
      <c r="CK38" s="898">
        <f t="shared" si="34"/>
        <v>1782673.9866666666</v>
      </c>
      <c r="CL38" s="896">
        <f t="shared" si="34"/>
        <v>1782673.9866666666</v>
      </c>
      <c r="CM38" s="875">
        <f t="shared" si="0"/>
        <v>1782673.9866666666</v>
      </c>
      <c r="CN38" s="907" t="s">
        <v>249</v>
      </c>
      <c r="CO38" s="908">
        <v>3</v>
      </c>
      <c r="CP38" s="908">
        <v>3</v>
      </c>
      <c r="CQ38" s="908">
        <v>3</v>
      </c>
      <c r="CR38" s="908">
        <v>3</v>
      </c>
      <c r="CS38" s="908">
        <v>3</v>
      </c>
      <c r="CT38" s="908">
        <v>3</v>
      </c>
      <c r="CU38" s="908">
        <v>3</v>
      </c>
      <c r="CV38" s="908">
        <v>3</v>
      </c>
      <c r="CW38" s="908">
        <v>3</v>
      </c>
      <c r="CX38" s="908">
        <v>3</v>
      </c>
      <c r="CY38" s="908">
        <v>3</v>
      </c>
      <c r="CZ38" s="908">
        <v>3</v>
      </c>
      <c r="DA38" s="908">
        <v>3</v>
      </c>
      <c r="DB38" s="908">
        <v>3</v>
      </c>
      <c r="DC38" s="908">
        <v>3</v>
      </c>
      <c r="DD38" s="908">
        <v>3</v>
      </c>
      <c r="DE38" s="908">
        <v>3</v>
      </c>
      <c r="DF38" s="908">
        <v>3</v>
      </c>
      <c r="DG38" s="908">
        <v>3</v>
      </c>
      <c r="DH38" s="908">
        <v>3</v>
      </c>
      <c r="DI38" s="908">
        <v>3</v>
      </c>
      <c r="DJ38" s="908">
        <v>3</v>
      </c>
      <c r="DK38" s="908">
        <v>3</v>
      </c>
      <c r="DL38" s="908">
        <v>3</v>
      </c>
      <c r="DM38" s="908">
        <v>3</v>
      </c>
      <c r="DN38" s="908">
        <v>3</v>
      </c>
      <c r="DO38" s="908">
        <v>3</v>
      </c>
      <c r="DP38" s="908">
        <v>3</v>
      </c>
      <c r="DQ38" s="908">
        <v>3</v>
      </c>
      <c r="DR38" s="908">
        <v>3</v>
      </c>
      <c r="DS38" s="908">
        <v>3</v>
      </c>
      <c r="DT38" s="908">
        <v>3</v>
      </c>
      <c r="DU38" s="908">
        <v>3</v>
      </c>
      <c r="DV38" s="908">
        <v>3</v>
      </c>
      <c r="DW38" s="908">
        <v>3</v>
      </c>
      <c r="DX38" s="908">
        <v>3</v>
      </c>
      <c r="DY38" s="908">
        <v>3</v>
      </c>
      <c r="DZ38" s="908">
        <v>3</v>
      </c>
      <c r="EA38" s="908">
        <v>3</v>
      </c>
      <c r="EB38" s="908">
        <v>3</v>
      </c>
      <c r="EC38" s="908">
        <v>3</v>
      </c>
      <c r="ED38" s="908">
        <v>3</v>
      </c>
      <c r="EE38" s="908">
        <v>3</v>
      </c>
      <c r="EF38" s="908">
        <v>3</v>
      </c>
      <c r="EG38" s="908">
        <v>3</v>
      </c>
      <c r="EH38" s="908">
        <v>3</v>
      </c>
      <c r="EI38" s="908">
        <v>3</v>
      </c>
      <c r="EJ38" s="908">
        <v>3</v>
      </c>
      <c r="EK38" s="908">
        <v>3</v>
      </c>
      <c r="EL38" s="908">
        <v>3</v>
      </c>
      <c r="EM38" s="908">
        <v>3</v>
      </c>
      <c r="EN38" s="908">
        <v>3</v>
      </c>
      <c r="EO38" s="908">
        <v>3</v>
      </c>
      <c r="EP38" s="908">
        <v>3</v>
      </c>
      <c r="EQ38" s="908">
        <v>3</v>
      </c>
      <c r="ER38" s="908">
        <v>3</v>
      </c>
      <c r="ES38" s="908">
        <v>3</v>
      </c>
      <c r="ET38" s="908">
        <v>3</v>
      </c>
      <c r="EU38" s="908">
        <v>3</v>
      </c>
      <c r="EV38" s="908">
        <v>3</v>
      </c>
      <c r="EW38" s="908">
        <v>3</v>
      </c>
      <c r="EX38" s="908">
        <v>3</v>
      </c>
      <c r="EY38" s="908">
        <v>3</v>
      </c>
      <c r="EZ38" s="908">
        <v>3</v>
      </c>
      <c r="FA38" s="908">
        <v>3</v>
      </c>
      <c r="FB38" s="908">
        <v>3</v>
      </c>
      <c r="FC38" s="908">
        <v>3</v>
      </c>
      <c r="FD38" s="908">
        <v>3</v>
      </c>
      <c r="FE38" s="908">
        <v>3</v>
      </c>
      <c r="FF38" s="908">
        <v>3</v>
      </c>
      <c r="FG38" s="908">
        <v>3</v>
      </c>
      <c r="FH38" s="908">
        <v>3</v>
      </c>
      <c r="FI38" s="908">
        <v>3</v>
      </c>
      <c r="FJ38" s="908">
        <v>3</v>
      </c>
      <c r="FK38" s="908">
        <v>3</v>
      </c>
      <c r="FL38" s="908">
        <v>3</v>
      </c>
      <c r="FM38" s="908">
        <v>3</v>
      </c>
      <c r="FN38" s="908">
        <v>3</v>
      </c>
      <c r="FO38" s="908">
        <v>3</v>
      </c>
      <c r="FP38" s="908">
        <v>3</v>
      </c>
      <c r="FQ38" s="908">
        <v>3</v>
      </c>
      <c r="FR38" s="908">
        <v>3</v>
      </c>
      <c r="FS38" s="908">
        <v>3</v>
      </c>
      <c r="FT38" s="908">
        <v>3</v>
      </c>
      <c r="FU38" s="908">
        <v>3</v>
      </c>
      <c r="FV38" s="906">
        <f t="shared" si="26"/>
        <v>3</v>
      </c>
      <c r="FW38" s="903"/>
    </row>
    <row r="39" spans="1:179">
      <c r="A39" s="1397"/>
      <c r="B39" s="876" t="s">
        <v>399</v>
      </c>
      <c r="C39" s="877" t="s">
        <v>361</v>
      </c>
      <c r="D39" s="877">
        <v>16.829999999999998</v>
      </c>
      <c r="E39" s="1398"/>
      <c r="F39" s="896" t="s">
        <v>408</v>
      </c>
      <c r="G39" s="897">
        <f>$D$39*G16</f>
        <v>1925699.8199999996</v>
      </c>
      <c r="H39" s="897">
        <f t="shared" ref="H39:BS39" si="35">$D$39*H16</f>
        <v>1925699.8199999996</v>
      </c>
      <c r="I39" s="897">
        <f t="shared" si="35"/>
        <v>1925699.8199999996</v>
      </c>
      <c r="J39" s="897">
        <f t="shared" si="35"/>
        <v>1925699.8199999996</v>
      </c>
      <c r="K39" s="897">
        <f t="shared" si="35"/>
        <v>1925699.8199999996</v>
      </c>
      <c r="L39" s="897">
        <f t="shared" si="35"/>
        <v>1925699.8199999996</v>
      </c>
      <c r="M39" s="897">
        <f t="shared" si="35"/>
        <v>1925699.8199999996</v>
      </c>
      <c r="N39" s="897">
        <f t="shared" si="35"/>
        <v>1925699.8199999996</v>
      </c>
      <c r="O39" s="897">
        <f t="shared" si="35"/>
        <v>1925699.8199999996</v>
      </c>
      <c r="P39" s="897">
        <f t="shared" si="35"/>
        <v>1925699.8199999996</v>
      </c>
      <c r="Q39" s="897">
        <f t="shared" si="35"/>
        <v>1925699.8199999996</v>
      </c>
      <c r="R39" s="897">
        <f t="shared" si="35"/>
        <v>1925699.8199999996</v>
      </c>
      <c r="S39" s="897">
        <f t="shared" si="35"/>
        <v>1925699.8199999996</v>
      </c>
      <c r="T39" s="897">
        <f t="shared" si="35"/>
        <v>1925699.8199999996</v>
      </c>
      <c r="U39" s="897">
        <f t="shared" si="35"/>
        <v>1925699.8199999996</v>
      </c>
      <c r="V39" s="897">
        <f t="shared" si="35"/>
        <v>1925699.8199999996</v>
      </c>
      <c r="W39" s="897">
        <f t="shared" si="35"/>
        <v>1925699.8199999996</v>
      </c>
      <c r="X39" s="897">
        <f t="shared" si="35"/>
        <v>1925699.8199999996</v>
      </c>
      <c r="Y39" s="897">
        <f t="shared" si="35"/>
        <v>1925699.8199999996</v>
      </c>
      <c r="Z39" s="897">
        <f t="shared" si="35"/>
        <v>1925699.8199999996</v>
      </c>
      <c r="AA39" s="897">
        <f t="shared" si="35"/>
        <v>1925699.8199999996</v>
      </c>
      <c r="AB39" s="897">
        <f t="shared" si="35"/>
        <v>1925699.8199999996</v>
      </c>
      <c r="AC39" s="897">
        <f t="shared" si="35"/>
        <v>1925699.8199999996</v>
      </c>
      <c r="AD39" s="897">
        <f t="shared" si="35"/>
        <v>1925699.8199999996</v>
      </c>
      <c r="AE39" s="897">
        <f t="shared" si="35"/>
        <v>1925699.8199999996</v>
      </c>
      <c r="AF39" s="897">
        <f t="shared" si="35"/>
        <v>1925699.8199999996</v>
      </c>
      <c r="AG39" s="897">
        <f t="shared" si="35"/>
        <v>1925699.8199999996</v>
      </c>
      <c r="AH39" s="897">
        <f t="shared" si="35"/>
        <v>1925699.8199999996</v>
      </c>
      <c r="AI39" s="897">
        <f t="shared" si="35"/>
        <v>1925699.8199999996</v>
      </c>
      <c r="AJ39" s="897">
        <f t="shared" si="35"/>
        <v>1925699.8199999996</v>
      </c>
      <c r="AK39" s="897">
        <f t="shared" si="35"/>
        <v>1925699.8199999996</v>
      </c>
      <c r="AL39" s="897">
        <f t="shared" si="35"/>
        <v>1925699.8199999996</v>
      </c>
      <c r="AM39" s="897">
        <f t="shared" si="35"/>
        <v>1925699.8199999996</v>
      </c>
      <c r="AN39" s="897">
        <f t="shared" si="35"/>
        <v>1925699.8199999996</v>
      </c>
      <c r="AO39" s="897">
        <f t="shared" si="35"/>
        <v>1925699.8199999996</v>
      </c>
      <c r="AP39" s="897">
        <f t="shared" si="35"/>
        <v>1925699.8199999996</v>
      </c>
      <c r="AQ39" s="897">
        <f t="shared" si="35"/>
        <v>1925699.8199999996</v>
      </c>
      <c r="AR39" s="897">
        <f t="shared" si="35"/>
        <v>1925699.8199999996</v>
      </c>
      <c r="AS39" s="897">
        <f t="shared" si="35"/>
        <v>1925699.8199999996</v>
      </c>
      <c r="AT39" s="897">
        <f t="shared" si="35"/>
        <v>1925699.8199999996</v>
      </c>
      <c r="AU39" s="897">
        <f t="shared" si="35"/>
        <v>1925699.8199999996</v>
      </c>
      <c r="AV39" s="897">
        <f t="shared" si="35"/>
        <v>1925699.8199999996</v>
      </c>
      <c r="AW39" s="897">
        <f t="shared" si="35"/>
        <v>1925699.8199999996</v>
      </c>
      <c r="AX39" s="897">
        <f t="shared" si="35"/>
        <v>1925699.8199999996</v>
      </c>
      <c r="AY39" s="897">
        <f t="shared" si="35"/>
        <v>1925699.8199999996</v>
      </c>
      <c r="AZ39" s="897">
        <f t="shared" si="35"/>
        <v>1925699.8199999996</v>
      </c>
      <c r="BA39" s="897">
        <f t="shared" si="35"/>
        <v>1925699.8199999996</v>
      </c>
      <c r="BB39" s="897">
        <f t="shared" si="35"/>
        <v>1925699.8199999996</v>
      </c>
      <c r="BC39" s="897">
        <f t="shared" si="35"/>
        <v>1925699.8199999996</v>
      </c>
      <c r="BD39" s="897">
        <f t="shared" si="35"/>
        <v>1925699.8199999996</v>
      </c>
      <c r="BE39" s="897">
        <f t="shared" si="35"/>
        <v>1925699.8199999996</v>
      </c>
      <c r="BF39" s="897">
        <f t="shared" si="35"/>
        <v>1925699.8199999996</v>
      </c>
      <c r="BG39" s="897">
        <f t="shared" si="35"/>
        <v>1925699.8199999996</v>
      </c>
      <c r="BH39" s="897">
        <f t="shared" si="35"/>
        <v>1925699.8199999996</v>
      </c>
      <c r="BI39" s="897">
        <f t="shared" si="35"/>
        <v>1925699.8199999996</v>
      </c>
      <c r="BJ39" s="897">
        <f t="shared" si="35"/>
        <v>1925699.8199999996</v>
      </c>
      <c r="BK39" s="897">
        <f t="shared" si="35"/>
        <v>1925699.8199999996</v>
      </c>
      <c r="BL39" s="897">
        <f t="shared" si="35"/>
        <v>1925699.8199999996</v>
      </c>
      <c r="BM39" s="897">
        <f t="shared" si="35"/>
        <v>1925699.8199999996</v>
      </c>
      <c r="BN39" s="897">
        <f t="shared" si="35"/>
        <v>1925699.8199999996</v>
      </c>
      <c r="BO39" s="897">
        <f t="shared" si="35"/>
        <v>1925699.8199999996</v>
      </c>
      <c r="BP39" s="897">
        <f t="shared" si="35"/>
        <v>1925699.8199999996</v>
      </c>
      <c r="BQ39" s="897">
        <f t="shared" si="35"/>
        <v>1925699.8199999996</v>
      </c>
      <c r="BR39" s="897">
        <f t="shared" si="35"/>
        <v>1925699.8199999996</v>
      </c>
      <c r="BS39" s="897">
        <f t="shared" si="35"/>
        <v>1925699.8199999996</v>
      </c>
      <c r="BT39" s="897">
        <f t="shared" ref="BT39:CL39" si="36">$D$39*BT16</f>
        <v>1925699.8199999996</v>
      </c>
      <c r="BU39" s="897">
        <f t="shared" si="36"/>
        <v>1925699.8199999996</v>
      </c>
      <c r="BV39" s="897">
        <f t="shared" si="36"/>
        <v>1925699.8199999996</v>
      </c>
      <c r="BW39" s="897">
        <f t="shared" si="36"/>
        <v>1925699.8199999996</v>
      </c>
      <c r="BX39" s="897">
        <f t="shared" si="36"/>
        <v>1925699.8199999996</v>
      </c>
      <c r="BY39" s="897">
        <f t="shared" si="36"/>
        <v>1925699.8199999996</v>
      </c>
      <c r="BZ39" s="897">
        <f t="shared" si="36"/>
        <v>1925699.8199999996</v>
      </c>
      <c r="CA39" s="897">
        <f t="shared" si="36"/>
        <v>1925699.8199999996</v>
      </c>
      <c r="CB39" s="897">
        <f t="shared" si="36"/>
        <v>1925699.8199999996</v>
      </c>
      <c r="CC39" s="897">
        <f t="shared" si="36"/>
        <v>1925699.8199999996</v>
      </c>
      <c r="CD39" s="897">
        <f t="shared" si="36"/>
        <v>1925699.8199999996</v>
      </c>
      <c r="CE39" s="897">
        <f t="shared" si="36"/>
        <v>1925699.8199999996</v>
      </c>
      <c r="CF39" s="897">
        <f t="shared" si="36"/>
        <v>1925699.8199999996</v>
      </c>
      <c r="CG39" s="897">
        <f t="shared" si="36"/>
        <v>1925699.8199999996</v>
      </c>
      <c r="CH39" s="897">
        <f t="shared" si="36"/>
        <v>1925699.8199999996</v>
      </c>
      <c r="CI39" s="897">
        <f t="shared" si="36"/>
        <v>1925699.8199999996</v>
      </c>
      <c r="CJ39" s="897">
        <f t="shared" si="36"/>
        <v>1925699.8199999996</v>
      </c>
      <c r="CK39" s="897">
        <f t="shared" si="36"/>
        <v>1925699.8199999996</v>
      </c>
      <c r="CL39" s="897">
        <f t="shared" si="36"/>
        <v>1925699.8199999996</v>
      </c>
      <c r="CM39" s="897">
        <f t="shared" si="0"/>
        <v>1925699.8199999961</v>
      </c>
      <c r="CN39" s="907" t="s">
        <v>250</v>
      </c>
      <c r="CO39" s="908">
        <v>2.4500000000000002</v>
      </c>
      <c r="CP39" s="908">
        <v>2.4500000000000002</v>
      </c>
      <c r="CQ39" s="908">
        <v>2.4500000000000002</v>
      </c>
      <c r="CR39" s="908">
        <v>2.4500000000000002</v>
      </c>
      <c r="CS39" s="908">
        <v>2.4500000000000002</v>
      </c>
      <c r="CT39" s="908">
        <v>2.4500000000000002</v>
      </c>
      <c r="CU39" s="908">
        <v>2.4500000000000002</v>
      </c>
      <c r="CV39" s="908">
        <v>2.4500000000000002</v>
      </c>
      <c r="CW39" s="908">
        <v>2.4500000000000002</v>
      </c>
      <c r="CX39" s="908">
        <v>2.4500000000000002</v>
      </c>
      <c r="CY39" s="908">
        <v>2.4500000000000002</v>
      </c>
      <c r="CZ39" s="908">
        <v>2.4500000000000002</v>
      </c>
      <c r="DA39" s="908">
        <v>2.4500000000000002</v>
      </c>
      <c r="DB39" s="908">
        <v>2.4500000000000002</v>
      </c>
      <c r="DC39" s="908">
        <v>2.4500000000000002</v>
      </c>
      <c r="DD39" s="908">
        <v>2.4500000000000002</v>
      </c>
      <c r="DE39" s="908">
        <v>2.4500000000000002</v>
      </c>
      <c r="DF39" s="908">
        <v>2.4500000000000002</v>
      </c>
      <c r="DG39" s="908">
        <v>2.4500000000000002</v>
      </c>
      <c r="DH39" s="908">
        <v>2.4500000000000002</v>
      </c>
      <c r="DI39" s="908">
        <v>2.4500000000000002</v>
      </c>
      <c r="DJ39" s="908">
        <v>2.4500000000000002</v>
      </c>
      <c r="DK39" s="908">
        <v>2.4500000000000002</v>
      </c>
      <c r="DL39" s="908">
        <v>2.4500000000000002</v>
      </c>
      <c r="DM39" s="908">
        <v>2.4500000000000002</v>
      </c>
      <c r="DN39" s="908">
        <v>2.4500000000000002</v>
      </c>
      <c r="DO39" s="908">
        <v>2.4500000000000002</v>
      </c>
      <c r="DP39" s="908">
        <v>2.4500000000000002</v>
      </c>
      <c r="DQ39" s="908">
        <v>2.4500000000000002</v>
      </c>
      <c r="DR39" s="908">
        <v>2.4500000000000002</v>
      </c>
      <c r="DS39" s="908">
        <v>2.4500000000000002</v>
      </c>
      <c r="DT39" s="908">
        <v>2.4500000000000002</v>
      </c>
      <c r="DU39" s="908">
        <v>2.4500000000000002</v>
      </c>
      <c r="DV39" s="908">
        <v>2.4500000000000002</v>
      </c>
      <c r="DW39" s="908">
        <v>2.4500000000000002</v>
      </c>
      <c r="DX39" s="908">
        <v>2.4500000000000002</v>
      </c>
      <c r="DY39" s="908">
        <v>2.4500000000000002</v>
      </c>
      <c r="DZ39" s="908">
        <v>2.4500000000000002</v>
      </c>
      <c r="EA39" s="908">
        <v>2.4500000000000002</v>
      </c>
      <c r="EB39" s="908">
        <v>2.4500000000000002</v>
      </c>
      <c r="EC39" s="908">
        <v>2.4500000000000002</v>
      </c>
      <c r="ED39" s="908">
        <v>2.4500000000000002</v>
      </c>
      <c r="EE39" s="908">
        <v>2.4500000000000002</v>
      </c>
      <c r="EF39" s="908">
        <v>2.4500000000000002</v>
      </c>
      <c r="EG39" s="908">
        <v>2.4500000000000002</v>
      </c>
      <c r="EH39" s="908">
        <v>2.4500000000000002</v>
      </c>
      <c r="EI39" s="908">
        <v>2.4500000000000002</v>
      </c>
      <c r="EJ39" s="908">
        <v>2.4500000000000002</v>
      </c>
      <c r="EK39" s="908">
        <v>2.4500000000000002</v>
      </c>
      <c r="EL39" s="908">
        <v>2.4500000000000002</v>
      </c>
      <c r="EM39" s="908">
        <v>2.4500000000000002</v>
      </c>
      <c r="EN39" s="908">
        <v>2.4500000000000002</v>
      </c>
      <c r="EO39" s="908">
        <v>2.4500000000000002</v>
      </c>
      <c r="EP39" s="908">
        <v>2.4500000000000002</v>
      </c>
      <c r="EQ39" s="908">
        <v>2.4500000000000002</v>
      </c>
      <c r="ER39" s="908">
        <v>2.4500000000000002</v>
      </c>
      <c r="ES39" s="908">
        <v>2.4500000000000002</v>
      </c>
      <c r="ET39" s="908">
        <v>2.4500000000000002</v>
      </c>
      <c r="EU39" s="908">
        <v>2.4500000000000002</v>
      </c>
      <c r="EV39" s="908">
        <v>2.4500000000000002</v>
      </c>
      <c r="EW39" s="908">
        <v>2.4500000000000002</v>
      </c>
      <c r="EX39" s="908">
        <v>2.4500000000000002</v>
      </c>
      <c r="EY39" s="908">
        <v>2.4500000000000002</v>
      </c>
      <c r="EZ39" s="908">
        <v>2.4500000000000002</v>
      </c>
      <c r="FA39" s="908">
        <v>2.4500000000000002</v>
      </c>
      <c r="FB39" s="908">
        <v>2.4500000000000002</v>
      </c>
      <c r="FC39" s="908">
        <v>2.4500000000000002</v>
      </c>
      <c r="FD39" s="908">
        <v>2.4500000000000002</v>
      </c>
      <c r="FE39" s="908">
        <v>2.4500000000000002</v>
      </c>
      <c r="FF39" s="908">
        <v>2.4500000000000002</v>
      </c>
      <c r="FG39" s="908">
        <v>2.4500000000000002</v>
      </c>
      <c r="FH39" s="908">
        <v>2.4500000000000002</v>
      </c>
      <c r="FI39" s="908">
        <v>2.4500000000000002</v>
      </c>
      <c r="FJ39" s="908">
        <v>2.4500000000000002</v>
      </c>
      <c r="FK39" s="908">
        <v>2.4500000000000002</v>
      </c>
      <c r="FL39" s="908">
        <v>2.4500000000000002</v>
      </c>
      <c r="FM39" s="908">
        <v>2.4500000000000002</v>
      </c>
      <c r="FN39" s="908">
        <v>2.4500000000000002</v>
      </c>
      <c r="FO39" s="908">
        <v>2.4500000000000002</v>
      </c>
      <c r="FP39" s="908">
        <v>2.4500000000000002</v>
      </c>
      <c r="FQ39" s="908">
        <v>2.4500000000000002</v>
      </c>
      <c r="FR39" s="908">
        <v>2.4500000000000002</v>
      </c>
      <c r="FS39" s="908">
        <v>2.4500000000000002</v>
      </c>
      <c r="FT39" s="908">
        <v>2.4500000000000002</v>
      </c>
      <c r="FU39" s="908">
        <v>2.4500000000000002</v>
      </c>
      <c r="FV39" s="906">
        <f t="shared" si="26"/>
        <v>2.450000000000002</v>
      </c>
      <c r="FW39" s="903"/>
    </row>
    <row r="40" spans="1:179">
      <c r="A40" s="1397"/>
      <c r="B40" s="876" t="s">
        <v>399</v>
      </c>
      <c r="C40" s="877" t="s">
        <v>167</v>
      </c>
      <c r="D40" s="877">
        <v>2.8000000000000001E-2</v>
      </c>
      <c r="E40" s="1398"/>
      <c r="F40" s="909" t="s">
        <v>442</v>
      </c>
      <c r="G40" s="897">
        <f t="shared" ref="G40:BR40" si="37">$D$40*G16</f>
        <v>3203.7786666666666</v>
      </c>
      <c r="H40" s="897">
        <f t="shared" si="37"/>
        <v>3203.7786666666666</v>
      </c>
      <c r="I40" s="897">
        <f t="shared" si="37"/>
        <v>3203.7786666666666</v>
      </c>
      <c r="J40" s="897">
        <f t="shared" si="37"/>
        <v>3203.7786666666666</v>
      </c>
      <c r="K40" s="897">
        <f t="shared" si="37"/>
        <v>3203.7786666666666</v>
      </c>
      <c r="L40" s="897">
        <f t="shared" si="37"/>
        <v>3203.7786666666666</v>
      </c>
      <c r="M40" s="897">
        <f t="shared" si="37"/>
        <v>3203.7786666666666</v>
      </c>
      <c r="N40" s="897">
        <f t="shared" si="37"/>
        <v>3203.7786666666666</v>
      </c>
      <c r="O40" s="897">
        <f t="shared" si="37"/>
        <v>3203.7786666666666</v>
      </c>
      <c r="P40" s="897">
        <f t="shared" si="37"/>
        <v>3203.7786666666666</v>
      </c>
      <c r="Q40" s="897">
        <f t="shared" si="37"/>
        <v>3203.7786666666666</v>
      </c>
      <c r="R40" s="897">
        <f t="shared" si="37"/>
        <v>3203.7786666666666</v>
      </c>
      <c r="S40" s="897">
        <f t="shared" si="37"/>
        <v>3203.7786666666666</v>
      </c>
      <c r="T40" s="897">
        <f t="shared" si="37"/>
        <v>3203.7786666666666</v>
      </c>
      <c r="U40" s="897">
        <f t="shared" si="37"/>
        <v>3203.7786666666666</v>
      </c>
      <c r="V40" s="897">
        <f t="shared" si="37"/>
        <v>3203.7786666666666</v>
      </c>
      <c r="W40" s="897">
        <f t="shared" si="37"/>
        <v>3203.7786666666666</v>
      </c>
      <c r="X40" s="897">
        <f t="shared" si="37"/>
        <v>3203.7786666666666</v>
      </c>
      <c r="Y40" s="897">
        <f t="shared" si="37"/>
        <v>3203.7786666666666</v>
      </c>
      <c r="Z40" s="897">
        <f t="shared" si="37"/>
        <v>3203.7786666666666</v>
      </c>
      <c r="AA40" s="897">
        <f t="shared" si="37"/>
        <v>3203.7786666666666</v>
      </c>
      <c r="AB40" s="897">
        <f t="shared" si="37"/>
        <v>3203.7786666666666</v>
      </c>
      <c r="AC40" s="897">
        <f t="shared" si="37"/>
        <v>3203.7786666666666</v>
      </c>
      <c r="AD40" s="897">
        <f t="shared" si="37"/>
        <v>3203.7786666666666</v>
      </c>
      <c r="AE40" s="897">
        <f t="shared" si="37"/>
        <v>3203.7786666666666</v>
      </c>
      <c r="AF40" s="897">
        <f t="shared" si="37"/>
        <v>3203.7786666666666</v>
      </c>
      <c r="AG40" s="897">
        <f t="shared" si="37"/>
        <v>3203.7786666666666</v>
      </c>
      <c r="AH40" s="897">
        <f t="shared" si="37"/>
        <v>3203.7786666666666</v>
      </c>
      <c r="AI40" s="897">
        <f t="shared" si="37"/>
        <v>3203.7786666666666</v>
      </c>
      <c r="AJ40" s="897">
        <f t="shared" si="37"/>
        <v>3203.7786666666666</v>
      </c>
      <c r="AK40" s="897">
        <f t="shared" si="37"/>
        <v>3203.7786666666666</v>
      </c>
      <c r="AL40" s="897">
        <f t="shared" si="37"/>
        <v>3203.7786666666666</v>
      </c>
      <c r="AM40" s="897">
        <f t="shared" si="37"/>
        <v>3203.7786666666666</v>
      </c>
      <c r="AN40" s="897">
        <f t="shared" si="37"/>
        <v>3203.7786666666666</v>
      </c>
      <c r="AO40" s="897">
        <f t="shared" si="37"/>
        <v>3203.7786666666666</v>
      </c>
      <c r="AP40" s="897">
        <f t="shared" si="37"/>
        <v>3203.7786666666666</v>
      </c>
      <c r="AQ40" s="897">
        <f t="shared" si="37"/>
        <v>3203.7786666666666</v>
      </c>
      <c r="AR40" s="897">
        <f t="shared" si="37"/>
        <v>3203.7786666666666</v>
      </c>
      <c r="AS40" s="897">
        <f t="shared" si="37"/>
        <v>3203.7786666666666</v>
      </c>
      <c r="AT40" s="897">
        <f t="shared" si="37"/>
        <v>3203.7786666666666</v>
      </c>
      <c r="AU40" s="898">
        <f t="shared" si="37"/>
        <v>3203.7786666666666</v>
      </c>
      <c r="AV40" s="898">
        <f t="shared" si="37"/>
        <v>3203.7786666666666</v>
      </c>
      <c r="AW40" s="898">
        <f t="shared" si="37"/>
        <v>3203.7786666666666</v>
      </c>
      <c r="AX40" s="898">
        <f t="shared" si="37"/>
        <v>3203.7786666666666</v>
      </c>
      <c r="AY40" s="898">
        <f t="shared" si="37"/>
        <v>3203.7786666666666</v>
      </c>
      <c r="AZ40" s="898">
        <f t="shared" si="37"/>
        <v>3203.7786666666666</v>
      </c>
      <c r="BA40" s="898">
        <f t="shared" si="37"/>
        <v>3203.7786666666666</v>
      </c>
      <c r="BB40" s="898">
        <f t="shared" si="37"/>
        <v>3203.7786666666666</v>
      </c>
      <c r="BC40" s="898">
        <f t="shared" si="37"/>
        <v>3203.7786666666666</v>
      </c>
      <c r="BD40" s="898">
        <f t="shared" si="37"/>
        <v>3203.7786666666666</v>
      </c>
      <c r="BE40" s="898">
        <f t="shared" si="37"/>
        <v>3203.7786666666666</v>
      </c>
      <c r="BF40" s="898">
        <f t="shared" si="37"/>
        <v>3203.7786666666666</v>
      </c>
      <c r="BG40" s="898">
        <f t="shared" si="37"/>
        <v>3203.7786666666666</v>
      </c>
      <c r="BH40" s="898">
        <f t="shared" si="37"/>
        <v>3203.7786666666666</v>
      </c>
      <c r="BI40" s="898">
        <f t="shared" si="37"/>
        <v>3203.7786666666666</v>
      </c>
      <c r="BJ40" s="898">
        <f t="shared" si="37"/>
        <v>3203.7786666666666</v>
      </c>
      <c r="BK40" s="898">
        <f t="shared" si="37"/>
        <v>3203.7786666666666</v>
      </c>
      <c r="BL40" s="898">
        <f t="shared" si="37"/>
        <v>3203.7786666666666</v>
      </c>
      <c r="BM40" s="898">
        <f t="shared" si="37"/>
        <v>3203.7786666666666</v>
      </c>
      <c r="BN40" s="898">
        <f t="shared" si="37"/>
        <v>3203.7786666666666</v>
      </c>
      <c r="BO40" s="898">
        <f t="shared" si="37"/>
        <v>3203.7786666666666</v>
      </c>
      <c r="BP40" s="898">
        <f t="shared" si="37"/>
        <v>3203.7786666666666</v>
      </c>
      <c r="BQ40" s="898">
        <f t="shared" si="37"/>
        <v>3203.7786666666666</v>
      </c>
      <c r="BR40" s="898">
        <f t="shared" si="37"/>
        <v>3203.7786666666666</v>
      </c>
      <c r="BS40" s="898">
        <f t="shared" ref="BS40:CL40" si="38">$D$40*BS16</f>
        <v>3203.7786666666666</v>
      </c>
      <c r="BT40" s="898">
        <f t="shared" si="38"/>
        <v>3203.7786666666666</v>
      </c>
      <c r="BU40" s="898">
        <f t="shared" si="38"/>
        <v>3203.7786666666666</v>
      </c>
      <c r="BV40" s="898">
        <f t="shared" si="38"/>
        <v>3203.7786666666666</v>
      </c>
      <c r="BW40" s="898">
        <f t="shared" si="38"/>
        <v>3203.7786666666666</v>
      </c>
      <c r="BX40" s="898">
        <f t="shared" si="38"/>
        <v>3203.7786666666666</v>
      </c>
      <c r="BY40" s="898">
        <f t="shared" si="38"/>
        <v>3203.7786666666666</v>
      </c>
      <c r="BZ40" s="898">
        <f t="shared" si="38"/>
        <v>3203.7786666666666</v>
      </c>
      <c r="CA40" s="898">
        <f t="shared" si="38"/>
        <v>3203.7786666666666</v>
      </c>
      <c r="CB40" s="898">
        <f t="shared" si="38"/>
        <v>3203.7786666666666</v>
      </c>
      <c r="CC40" s="898">
        <f t="shared" si="38"/>
        <v>3203.7786666666666</v>
      </c>
      <c r="CD40" s="898">
        <f t="shared" si="38"/>
        <v>3203.7786666666666</v>
      </c>
      <c r="CE40" s="898">
        <f t="shared" si="38"/>
        <v>3203.7786666666666</v>
      </c>
      <c r="CF40" s="898">
        <f t="shared" si="38"/>
        <v>3203.7786666666666</v>
      </c>
      <c r="CG40" s="898">
        <f t="shared" si="38"/>
        <v>3203.7786666666666</v>
      </c>
      <c r="CH40" s="898">
        <f t="shared" si="38"/>
        <v>3203.7786666666666</v>
      </c>
      <c r="CI40" s="898">
        <f t="shared" si="38"/>
        <v>3203.7786666666666</v>
      </c>
      <c r="CJ40" s="898">
        <f t="shared" si="38"/>
        <v>3203.7786666666666</v>
      </c>
      <c r="CK40" s="898">
        <f t="shared" si="38"/>
        <v>3203.7786666666666</v>
      </c>
      <c r="CL40" s="896">
        <f t="shared" si="38"/>
        <v>3203.7786666666666</v>
      </c>
      <c r="CM40" s="875">
        <f t="shared" si="0"/>
        <v>3203.7786666666721</v>
      </c>
      <c r="CN40" s="907" t="s">
        <v>251</v>
      </c>
      <c r="CO40" s="908">
        <v>752</v>
      </c>
      <c r="CP40" s="908">
        <v>752</v>
      </c>
      <c r="CQ40" s="908">
        <v>752</v>
      </c>
      <c r="CR40" s="908">
        <v>752</v>
      </c>
      <c r="CS40" s="908">
        <v>752</v>
      </c>
      <c r="CT40" s="908">
        <v>752</v>
      </c>
      <c r="CU40" s="908">
        <v>752</v>
      </c>
      <c r="CV40" s="908">
        <v>752</v>
      </c>
      <c r="CW40" s="908">
        <v>752</v>
      </c>
      <c r="CX40" s="908">
        <v>752</v>
      </c>
      <c r="CY40" s="908">
        <v>752</v>
      </c>
      <c r="CZ40" s="908">
        <v>752</v>
      </c>
      <c r="DA40" s="908">
        <v>752</v>
      </c>
      <c r="DB40" s="908">
        <v>752</v>
      </c>
      <c r="DC40" s="908">
        <v>752</v>
      </c>
      <c r="DD40" s="908">
        <v>752</v>
      </c>
      <c r="DE40" s="908">
        <v>752</v>
      </c>
      <c r="DF40" s="908">
        <v>752</v>
      </c>
      <c r="DG40" s="908">
        <v>752</v>
      </c>
      <c r="DH40" s="908">
        <v>752</v>
      </c>
      <c r="DI40" s="908">
        <v>752</v>
      </c>
      <c r="DJ40" s="908">
        <v>752</v>
      </c>
      <c r="DK40" s="908">
        <v>752</v>
      </c>
      <c r="DL40" s="908">
        <v>752</v>
      </c>
      <c r="DM40" s="908">
        <v>752</v>
      </c>
      <c r="DN40" s="908">
        <v>752</v>
      </c>
      <c r="DO40" s="908">
        <v>752</v>
      </c>
      <c r="DP40" s="908">
        <v>752</v>
      </c>
      <c r="DQ40" s="908">
        <v>752</v>
      </c>
      <c r="DR40" s="908">
        <v>752</v>
      </c>
      <c r="DS40" s="908">
        <v>752</v>
      </c>
      <c r="DT40" s="908">
        <v>752</v>
      </c>
      <c r="DU40" s="908">
        <v>752</v>
      </c>
      <c r="DV40" s="908">
        <v>752</v>
      </c>
      <c r="DW40" s="908">
        <v>752</v>
      </c>
      <c r="DX40" s="908">
        <v>752</v>
      </c>
      <c r="DY40" s="908">
        <v>752</v>
      </c>
      <c r="DZ40" s="908">
        <v>752</v>
      </c>
      <c r="EA40" s="908">
        <v>752</v>
      </c>
      <c r="EB40" s="908">
        <v>752</v>
      </c>
      <c r="EC40" s="908">
        <v>752</v>
      </c>
      <c r="ED40" s="908">
        <v>752</v>
      </c>
      <c r="EE40" s="908">
        <v>752</v>
      </c>
      <c r="EF40" s="908">
        <v>752</v>
      </c>
      <c r="EG40" s="908">
        <v>752</v>
      </c>
      <c r="EH40" s="908">
        <v>752</v>
      </c>
      <c r="EI40" s="908">
        <v>752</v>
      </c>
      <c r="EJ40" s="908">
        <v>752</v>
      </c>
      <c r="EK40" s="908">
        <v>752</v>
      </c>
      <c r="EL40" s="908">
        <v>752</v>
      </c>
      <c r="EM40" s="908">
        <v>752</v>
      </c>
      <c r="EN40" s="908">
        <v>752</v>
      </c>
      <c r="EO40" s="908">
        <v>752</v>
      </c>
      <c r="EP40" s="908">
        <v>752</v>
      </c>
      <c r="EQ40" s="908">
        <v>752</v>
      </c>
      <c r="ER40" s="908">
        <v>752</v>
      </c>
      <c r="ES40" s="908">
        <v>752</v>
      </c>
      <c r="ET40" s="908">
        <v>752</v>
      </c>
      <c r="EU40" s="908">
        <v>752</v>
      </c>
      <c r="EV40" s="908">
        <v>752</v>
      </c>
      <c r="EW40" s="908">
        <v>752</v>
      </c>
      <c r="EX40" s="908">
        <v>752</v>
      </c>
      <c r="EY40" s="908">
        <v>752</v>
      </c>
      <c r="EZ40" s="908">
        <v>752</v>
      </c>
      <c r="FA40" s="908">
        <v>752</v>
      </c>
      <c r="FB40" s="908">
        <v>752</v>
      </c>
      <c r="FC40" s="908">
        <v>752</v>
      </c>
      <c r="FD40" s="908">
        <v>752</v>
      </c>
      <c r="FE40" s="908">
        <v>752</v>
      </c>
      <c r="FF40" s="908">
        <v>752</v>
      </c>
      <c r="FG40" s="908">
        <v>752</v>
      </c>
      <c r="FH40" s="908">
        <v>752</v>
      </c>
      <c r="FI40" s="908">
        <v>752</v>
      </c>
      <c r="FJ40" s="908">
        <v>752</v>
      </c>
      <c r="FK40" s="908">
        <v>752</v>
      </c>
      <c r="FL40" s="908">
        <v>752</v>
      </c>
      <c r="FM40" s="908">
        <v>752</v>
      </c>
      <c r="FN40" s="908">
        <v>752</v>
      </c>
      <c r="FO40" s="908">
        <v>752</v>
      </c>
      <c r="FP40" s="908">
        <v>752</v>
      </c>
      <c r="FQ40" s="908">
        <v>752</v>
      </c>
      <c r="FR40" s="908">
        <v>752</v>
      </c>
      <c r="FS40" s="908">
        <v>752</v>
      </c>
      <c r="FT40" s="908">
        <v>752</v>
      </c>
      <c r="FU40" s="908">
        <v>752</v>
      </c>
      <c r="FV40" s="906">
        <f t="shared" si="26"/>
        <v>752</v>
      </c>
      <c r="FW40" s="903"/>
    </row>
    <row r="41" spans="1:179">
      <c r="A41" s="910"/>
      <c r="B41" s="911" t="s">
        <v>399</v>
      </c>
      <c r="C41" s="912" t="s">
        <v>352</v>
      </c>
      <c r="D41" s="912"/>
      <c r="E41" s="913"/>
      <c r="F41" s="914" t="s">
        <v>409</v>
      </c>
      <c r="G41" s="915">
        <f t="shared" ref="G41:BR41" si="39">G34*CP35+G36*CP36+G37*CP34+G38*CP37+G35*CP38+CP39*G39+G40*CP40</f>
        <v>596656258.48307002</v>
      </c>
      <c r="H41" s="915">
        <f t="shared" si="39"/>
        <v>596656258.48307002</v>
      </c>
      <c r="I41" s="915">
        <f t="shared" si="39"/>
        <v>596656258.48307002</v>
      </c>
      <c r="J41" s="915">
        <f t="shared" si="39"/>
        <v>596658180.75027001</v>
      </c>
      <c r="K41" s="915">
        <f t="shared" si="39"/>
        <v>597103849.24693668</v>
      </c>
      <c r="L41" s="915">
        <f t="shared" si="39"/>
        <v>597104490.00267005</v>
      </c>
      <c r="M41" s="915">
        <f t="shared" si="39"/>
        <v>597104490.00267005</v>
      </c>
      <c r="N41" s="915">
        <f t="shared" si="39"/>
        <v>598356231.16795301</v>
      </c>
      <c r="O41" s="915">
        <f t="shared" si="39"/>
        <v>597105130.75840342</v>
      </c>
      <c r="P41" s="915">
        <f t="shared" si="39"/>
        <v>598358634.00195301</v>
      </c>
      <c r="Q41" s="915">
        <f t="shared" si="39"/>
        <v>599609734.41150451</v>
      </c>
      <c r="R41" s="915">
        <f t="shared" si="39"/>
        <v>600860834.82105601</v>
      </c>
      <c r="S41" s="915">
        <f t="shared" si="39"/>
        <v>602112575.98633885</v>
      </c>
      <c r="T41" s="915">
        <f t="shared" si="39"/>
        <v>603365834.54621768</v>
      </c>
      <c r="U41" s="915">
        <f t="shared" si="39"/>
        <v>604617167.45126557</v>
      </c>
      <c r="V41" s="915">
        <f t="shared" si="39"/>
        <v>605970999.53958595</v>
      </c>
      <c r="W41" s="915">
        <f t="shared" si="39"/>
        <v>607184960.28433883</v>
      </c>
      <c r="X41" s="915">
        <f t="shared" si="39"/>
        <v>608398921.02909005</v>
      </c>
      <c r="Y41" s="915">
        <f t="shared" si="39"/>
        <v>609612881.77384305</v>
      </c>
      <c r="Z41" s="915">
        <f t="shared" si="39"/>
        <v>610826842.51859605</v>
      </c>
      <c r="AA41" s="915">
        <f t="shared" si="39"/>
        <v>612040803.26334727</v>
      </c>
      <c r="AB41" s="915">
        <f t="shared" si="39"/>
        <v>613254764.00810027</v>
      </c>
      <c r="AC41" s="915">
        <f t="shared" si="39"/>
        <v>614468724.75285327</v>
      </c>
      <c r="AD41" s="915">
        <f t="shared" si="39"/>
        <v>615682685.49760449</v>
      </c>
      <c r="AE41" s="915">
        <f t="shared" si="39"/>
        <v>616898338.19890332</v>
      </c>
      <c r="AF41" s="915">
        <f t="shared" si="39"/>
        <v>618110606.98710859</v>
      </c>
      <c r="AG41" s="915">
        <f t="shared" si="39"/>
        <v>619324993.75274801</v>
      </c>
      <c r="AH41" s="915">
        <f t="shared" si="39"/>
        <v>620538528.47661471</v>
      </c>
      <c r="AI41" s="915">
        <f t="shared" si="39"/>
        <v>621752489.22136581</v>
      </c>
      <c r="AJ41" s="915">
        <f t="shared" si="39"/>
        <v>622966449.96611881</v>
      </c>
      <c r="AK41" s="915">
        <f t="shared" si="39"/>
        <v>624180410.71087182</v>
      </c>
      <c r="AL41" s="915">
        <f t="shared" si="39"/>
        <v>625394371.45562291</v>
      </c>
      <c r="AM41" s="915">
        <f t="shared" si="39"/>
        <v>626608332.20037591</v>
      </c>
      <c r="AN41" s="915">
        <f t="shared" si="39"/>
        <v>627822292.94512713</v>
      </c>
      <c r="AO41" s="915">
        <f t="shared" si="39"/>
        <v>629036253.68988013</v>
      </c>
      <c r="AP41" s="915">
        <f t="shared" si="39"/>
        <v>630250214.43463314</v>
      </c>
      <c r="AQ41" s="915">
        <f t="shared" si="39"/>
        <v>631464175.17938435</v>
      </c>
      <c r="AR41" s="915">
        <f t="shared" si="39"/>
        <v>632678135.92413735</v>
      </c>
      <c r="AS41" s="915">
        <f t="shared" si="39"/>
        <v>633892096.66889036</v>
      </c>
      <c r="AT41" s="915">
        <f t="shared" si="39"/>
        <v>496551939.23666668</v>
      </c>
      <c r="AU41" s="916">
        <f t="shared" si="39"/>
        <v>604882051.02700007</v>
      </c>
      <c r="AV41" s="916">
        <f t="shared" si="39"/>
        <v>608097170.28598917</v>
      </c>
      <c r="AW41" s="916">
        <f t="shared" si="39"/>
        <v>587485736.12551749</v>
      </c>
      <c r="AX41" s="916">
        <f t="shared" si="39"/>
        <v>638052680.82726669</v>
      </c>
      <c r="AY41" s="916">
        <f t="shared" si="39"/>
        <v>691431417.57635081</v>
      </c>
      <c r="AZ41" s="916">
        <f t="shared" si="39"/>
        <v>706762765.7755214</v>
      </c>
      <c r="BA41" s="916">
        <f t="shared" si="39"/>
        <v>716527118.24002469</v>
      </c>
      <c r="BB41" s="916">
        <f t="shared" si="39"/>
        <v>705631981.07398736</v>
      </c>
      <c r="BC41" s="916">
        <f t="shared" si="39"/>
        <v>755808823.44955599</v>
      </c>
      <c r="BD41" s="916">
        <f t="shared" si="39"/>
        <v>715504399.1485126</v>
      </c>
      <c r="BE41" s="916">
        <f t="shared" si="39"/>
        <v>673765363.35763848</v>
      </c>
      <c r="BF41" s="916">
        <f t="shared" si="39"/>
        <v>666703442.28401363</v>
      </c>
      <c r="BG41" s="916">
        <f t="shared" si="39"/>
        <v>719040729.77666736</v>
      </c>
      <c r="BH41" s="916">
        <f t="shared" si="39"/>
        <v>646861327.37493384</v>
      </c>
      <c r="BI41" s="916">
        <f t="shared" si="39"/>
        <v>577517344.43789601</v>
      </c>
      <c r="BJ41" s="916">
        <f t="shared" si="39"/>
        <v>565390410.12479997</v>
      </c>
      <c r="BK41" s="916">
        <f t="shared" si="39"/>
        <v>597609095.86546659</v>
      </c>
      <c r="BL41" s="916">
        <f t="shared" si="39"/>
        <v>645645008.51446664</v>
      </c>
      <c r="BM41" s="916">
        <f t="shared" si="39"/>
        <v>596333534.27346671</v>
      </c>
      <c r="BN41" s="916">
        <f t="shared" si="39"/>
        <v>579247851.29653323</v>
      </c>
      <c r="BO41" s="916">
        <f t="shared" si="39"/>
        <v>681599895.16793323</v>
      </c>
      <c r="BP41" s="916">
        <f t="shared" si="39"/>
        <v>670370868.34053338</v>
      </c>
      <c r="BQ41" s="916">
        <f t="shared" si="39"/>
        <v>732009167.05319989</v>
      </c>
      <c r="BR41" s="916">
        <f t="shared" si="39"/>
        <v>634288631.48506665</v>
      </c>
      <c r="BS41" s="916">
        <f t="shared" ref="BS41:CL41" si="40">BS34*FB35+BS36*FB36+BS37*FB34+BS38*FB37+BS35*FB38+FB39*BS39+BS40*FB40</f>
        <v>610125984.50653338</v>
      </c>
      <c r="BT41" s="916">
        <f t="shared" si="40"/>
        <v>453097327.10240006</v>
      </c>
      <c r="BU41" s="916">
        <f t="shared" si="40"/>
        <v>544447263.21253335</v>
      </c>
      <c r="BV41" s="916">
        <f t="shared" si="40"/>
        <v>522098916.09293342</v>
      </c>
      <c r="BW41" s="916">
        <f t="shared" si="40"/>
        <v>395262050.97186667</v>
      </c>
      <c r="BX41" s="916">
        <f t="shared" si="40"/>
        <v>380175571.6512</v>
      </c>
      <c r="BY41" s="916">
        <f t="shared" si="40"/>
        <v>433936282.07346666</v>
      </c>
      <c r="BZ41" s="916">
        <f t="shared" si="40"/>
        <v>498987508.98940003</v>
      </c>
      <c r="CA41" s="916">
        <f t="shared" si="40"/>
        <v>521025798.98646665</v>
      </c>
      <c r="CB41" s="916">
        <f t="shared" si="40"/>
        <v>568085897.86393332</v>
      </c>
      <c r="CC41" s="916">
        <f t="shared" si="40"/>
        <v>609281445.56586671</v>
      </c>
      <c r="CD41" s="916">
        <f t="shared" si="40"/>
        <v>691496767.94159997</v>
      </c>
      <c r="CE41" s="916">
        <f t="shared" si="40"/>
        <v>802986057.22273326</v>
      </c>
      <c r="CF41" s="916">
        <f t="shared" si="40"/>
        <v>718990040.33786666</v>
      </c>
      <c r="CG41" s="916">
        <f t="shared" si="40"/>
        <v>611873073.66586661</v>
      </c>
      <c r="CH41" s="916">
        <f t="shared" si="40"/>
        <v>606309380.19126666</v>
      </c>
      <c r="CI41" s="916">
        <f t="shared" si="40"/>
        <v>655835107.13059986</v>
      </c>
      <c r="CJ41" s="916">
        <f t="shared" si="40"/>
        <v>731702199.28866673</v>
      </c>
      <c r="CK41" s="916">
        <f t="shared" si="40"/>
        <v>834454475.20999992</v>
      </c>
      <c r="CL41" s="917">
        <f t="shared" si="40"/>
        <v>896056456.80306661</v>
      </c>
      <c r="CM41" s="918">
        <f t="shared" si="0"/>
        <v>620952756.64289117</v>
      </c>
      <c r="CN41" s="919" t="s">
        <v>209</v>
      </c>
      <c r="CO41" s="920">
        <f t="shared" ref="CO41:EB41" si="41">0.75*CO36</f>
        <v>27.734853846153825</v>
      </c>
      <c r="CP41" s="920">
        <f t="shared" si="41"/>
        <v>27.734853846153825</v>
      </c>
      <c r="CQ41" s="920">
        <f t="shared" si="41"/>
        <v>27.734853846153825</v>
      </c>
      <c r="CR41" s="920">
        <f t="shared" si="41"/>
        <v>27.734853846153825</v>
      </c>
      <c r="CS41" s="920">
        <f t="shared" si="41"/>
        <v>27.734853846153825</v>
      </c>
      <c r="CT41" s="920">
        <f t="shared" si="41"/>
        <v>27.734853846153825</v>
      </c>
      <c r="CU41" s="920">
        <f t="shared" si="41"/>
        <v>27.734853846153825</v>
      </c>
      <c r="CV41" s="920">
        <f t="shared" si="41"/>
        <v>27.734853846153825</v>
      </c>
      <c r="CW41" s="920">
        <f t="shared" si="41"/>
        <v>28.317217948717946</v>
      </c>
      <c r="CX41" s="920">
        <f t="shared" si="41"/>
        <v>27.734853846153825</v>
      </c>
      <c r="CY41" s="920">
        <f t="shared" si="41"/>
        <v>28.317217948717946</v>
      </c>
      <c r="CZ41" s="920">
        <f t="shared" si="41"/>
        <v>28.899582051282074</v>
      </c>
      <c r="DA41" s="920">
        <f t="shared" si="41"/>
        <v>29.481946153846124</v>
      </c>
      <c r="DB41" s="920">
        <f t="shared" si="41"/>
        <v>30.064310256410252</v>
      </c>
      <c r="DC41" s="920">
        <f t="shared" si="41"/>
        <v>30.646674358974373</v>
      </c>
      <c r="DD41" s="920">
        <f t="shared" si="41"/>
        <v>31.229038461538501</v>
      </c>
      <c r="DE41" s="920">
        <f t="shared" si="41"/>
        <v>31.811402564102551</v>
      </c>
      <c r="DF41" s="920">
        <f t="shared" si="41"/>
        <v>32.393766666666671</v>
      </c>
      <c r="DG41" s="920">
        <f t="shared" si="41"/>
        <v>32.976130769230799</v>
      </c>
      <c r="DH41" s="920">
        <f t="shared" si="41"/>
        <v>33.558494871794849</v>
      </c>
      <c r="DI41" s="920">
        <f t="shared" si="41"/>
        <v>34.140858974358977</v>
      </c>
      <c r="DJ41" s="920">
        <f t="shared" si="41"/>
        <v>34.723223076923098</v>
      </c>
      <c r="DK41" s="920">
        <f t="shared" si="41"/>
        <v>35.305587179487148</v>
      </c>
      <c r="DL41" s="920">
        <f t="shared" si="41"/>
        <v>35.887951282051276</v>
      </c>
      <c r="DM41" s="920">
        <f t="shared" si="41"/>
        <v>36.470315384615397</v>
      </c>
      <c r="DN41" s="920">
        <f t="shared" si="41"/>
        <v>37.052679487179525</v>
      </c>
      <c r="DO41" s="920">
        <f t="shared" si="41"/>
        <v>37.635043589743574</v>
      </c>
      <c r="DP41" s="920">
        <f t="shared" si="41"/>
        <v>38.217407692307702</v>
      </c>
      <c r="DQ41" s="920">
        <f t="shared" si="41"/>
        <v>38.799771794871823</v>
      </c>
      <c r="DR41" s="920">
        <f t="shared" si="41"/>
        <v>39.382135897435873</v>
      </c>
      <c r="DS41" s="920">
        <f t="shared" si="41"/>
        <v>39.964500000000001</v>
      </c>
      <c r="DT41" s="920">
        <f t="shared" si="41"/>
        <v>40.546864102564122</v>
      </c>
      <c r="DU41" s="920">
        <f t="shared" si="41"/>
        <v>41.129228205128179</v>
      </c>
      <c r="DV41" s="920">
        <f t="shared" si="41"/>
        <v>41.7115923076923</v>
      </c>
      <c r="DW41" s="920">
        <f t="shared" si="41"/>
        <v>42.293956410256428</v>
      </c>
      <c r="DX41" s="920">
        <f t="shared" si="41"/>
        <v>42.876320512820548</v>
      </c>
      <c r="DY41" s="920">
        <f t="shared" si="41"/>
        <v>43.458684615384598</v>
      </c>
      <c r="DZ41" s="920">
        <f t="shared" si="41"/>
        <v>44.041048717948726</v>
      </c>
      <c r="EA41" s="920">
        <f t="shared" si="41"/>
        <v>44.623412820512847</v>
      </c>
      <c r="EB41" s="920">
        <f t="shared" si="41"/>
        <v>45.205776923076904</v>
      </c>
      <c r="EC41" s="920">
        <f>0.75*EC36</f>
        <v>42.075000000000003</v>
      </c>
      <c r="ED41" s="920">
        <f t="shared" ref="ED41:FU41" si="42">0.75*ED36</f>
        <v>43.2</v>
      </c>
      <c r="EE41" s="920">
        <f t="shared" si="42"/>
        <v>41.775000000000006</v>
      </c>
      <c r="EF41" s="920">
        <f t="shared" si="42"/>
        <v>44.962500000000006</v>
      </c>
      <c r="EG41" s="920">
        <f t="shared" si="42"/>
        <v>51.427499999999995</v>
      </c>
      <c r="EH41" s="920">
        <f t="shared" si="42"/>
        <v>59.775000000000006</v>
      </c>
      <c r="EI41" s="920">
        <f t="shared" si="42"/>
        <v>63.757500000000007</v>
      </c>
      <c r="EJ41" s="920">
        <f t="shared" si="42"/>
        <v>55.064999999999998</v>
      </c>
      <c r="EK41" s="920">
        <f t="shared" si="42"/>
        <v>51.1875</v>
      </c>
      <c r="EL41" s="920">
        <f t="shared" si="42"/>
        <v>39.9375</v>
      </c>
      <c r="EM41" s="920">
        <f t="shared" si="42"/>
        <v>49.094999999999999</v>
      </c>
      <c r="EN41" s="920">
        <f t="shared" si="42"/>
        <v>45.697499999999998</v>
      </c>
      <c r="EO41" s="920">
        <f t="shared" si="42"/>
        <v>44.775000000000006</v>
      </c>
      <c r="EP41" s="920">
        <f t="shared" si="42"/>
        <v>44.204999999999998</v>
      </c>
      <c r="EQ41" s="920">
        <f t="shared" si="42"/>
        <v>43.462500000000006</v>
      </c>
      <c r="ER41" s="920">
        <f t="shared" si="42"/>
        <v>58.86</v>
      </c>
      <c r="ES41" s="920">
        <f t="shared" si="42"/>
        <v>61.882500000000007</v>
      </c>
      <c r="ET41" s="920">
        <f t="shared" si="42"/>
        <v>62.699999999999996</v>
      </c>
      <c r="EU41" s="920">
        <f t="shared" si="42"/>
        <v>76.612500000000011</v>
      </c>
      <c r="EV41" s="920">
        <f t="shared" si="42"/>
        <v>55.935000000000002</v>
      </c>
      <c r="EW41" s="920">
        <f t="shared" si="42"/>
        <v>58.837500000000006</v>
      </c>
      <c r="EX41" s="920">
        <f t="shared" si="42"/>
        <v>57.652500000000003</v>
      </c>
      <c r="EY41" s="920">
        <f t="shared" si="42"/>
        <v>61.792500000000004</v>
      </c>
      <c r="EZ41" s="920">
        <f t="shared" si="42"/>
        <v>58.41</v>
      </c>
      <c r="FA41" s="920">
        <f t="shared" si="42"/>
        <v>56.542500000000004</v>
      </c>
      <c r="FB41" s="920">
        <f t="shared" si="42"/>
        <v>50.137499999999996</v>
      </c>
      <c r="FC41" s="920">
        <f t="shared" si="42"/>
        <v>48.435000000000002</v>
      </c>
      <c r="FD41" s="920">
        <f t="shared" si="42"/>
        <v>63.727499999999999</v>
      </c>
      <c r="FE41" s="920">
        <f t="shared" si="42"/>
        <v>58.552499999999995</v>
      </c>
      <c r="FF41" s="920">
        <f t="shared" si="42"/>
        <v>53.377499999999998</v>
      </c>
      <c r="FG41" s="920">
        <f t="shared" si="42"/>
        <v>51.172499999999999</v>
      </c>
      <c r="FH41" s="920">
        <f t="shared" si="42"/>
        <v>51.900000000000006</v>
      </c>
      <c r="FI41" s="920">
        <f t="shared" si="42"/>
        <v>53.37</v>
      </c>
      <c r="FJ41" s="920">
        <f t="shared" si="42"/>
        <v>62.175000000000004</v>
      </c>
      <c r="FK41" s="920">
        <f t="shared" si="42"/>
        <v>66.66</v>
      </c>
      <c r="FL41" s="920">
        <f t="shared" si="42"/>
        <v>60.105000000000004</v>
      </c>
      <c r="FM41" s="920">
        <f t="shared" si="42"/>
        <v>67.072500000000005</v>
      </c>
      <c r="FN41" s="920">
        <f t="shared" si="42"/>
        <v>77.085000000000008</v>
      </c>
      <c r="FO41" s="920">
        <f t="shared" si="42"/>
        <v>76.6875</v>
      </c>
      <c r="FP41" s="920">
        <f t="shared" si="42"/>
        <v>75.239999999999995</v>
      </c>
      <c r="FQ41" s="920">
        <f t="shared" si="42"/>
        <v>61.005000000000003</v>
      </c>
      <c r="FR41" s="920">
        <f t="shared" si="42"/>
        <v>68.002499999999998</v>
      </c>
      <c r="FS41" s="920">
        <f t="shared" si="42"/>
        <v>68.894999999999996</v>
      </c>
      <c r="FT41" s="920">
        <f t="shared" si="42"/>
        <v>71.992499999999993</v>
      </c>
      <c r="FU41" s="920">
        <f t="shared" si="42"/>
        <v>71.212500000000006</v>
      </c>
      <c r="FV41" s="921">
        <f t="shared" si="26"/>
        <v>57.476166666666664</v>
      </c>
      <c r="FW41" s="903"/>
    </row>
    <row r="42" spans="1:179">
      <c r="A42" s="1399" t="s">
        <v>410</v>
      </c>
      <c r="B42" s="313" t="s">
        <v>399</v>
      </c>
      <c r="C42" s="583" t="s">
        <v>352</v>
      </c>
      <c r="D42" s="583"/>
      <c r="E42" s="922">
        <v>58.016529232000003</v>
      </c>
      <c r="F42" s="923" t="s">
        <v>432</v>
      </c>
      <c r="G42" s="924">
        <f t="shared" ref="G42:AS42" si="43">$E$42*G16</f>
        <v>6638289.9524115948</v>
      </c>
      <c r="H42" s="924">
        <f t="shared" si="43"/>
        <v>6638289.9524115948</v>
      </c>
      <c r="I42" s="924">
        <f t="shared" si="43"/>
        <v>6638289.9524115948</v>
      </c>
      <c r="J42" s="924">
        <f t="shared" si="43"/>
        <v>6638289.9524115948</v>
      </c>
      <c r="K42" s="924">
        <f t="shared" si="43"/>
        <v>6638289.9524115948</v>
      </c>
      <c r="L42" s="924">
        <f t="shared" si="43"/>
        <v>6638289.9524115948</v>
      </c>
      <c r="M42" s="924">
        <f t="shared" si="43"/>
        <v>6638289.9524115948</v>
      </c>
      <c r="N42" s="924">
        <f t="shared" si="43"/>
        <v>6638289.9524115948</v>
      </c>
      <c r="O42" s="924">
        <f t="shared" si="43"/>
        <v>6638289.9524115948</v>
      </c>
      <c r="P42" s="924">
        <f t="shared" si="43"/>
        <v>6638289.9524115948</v>
      </c>
      <c r="Q42" s="924">
        <f t="shared" si="43"/>
        <v>6638289.9524115948</v>
      </c>
      <c r="R42" s="924">
        <f t="shared" si="43"/>
        <v>6638289.9524115948</v>
      </c>
      <c r="S42" s="924">
        <f t="shared" si="43"/>
        <v>6638289.9524115948</v>
      </c>
      <c r="T42" s="924">
        <f t="shared" si="43"/>
        <v>6638289.9524115948</v>
      </c>
      <c r="U42" s="924">
        <f t="shared" si="43"/>
        <v>6638289.9524115948</v>
      </c>
      <c r="V42" s="924">
        <f t="shared" si="43"/>
        <v>6638289.9524115948</v>
      </c>
      <c r="W42" s="924">
        <f t="shared" si="43"/>
        <v>6638289.9524115948</v>
      </c>
      <c r="X42" s="924">
        <f t="shared" si="43"/>
        <v>6638289.9524115948</v>
      </c>
      <c r="Y42" s="924">
        <f t="shared" si="43"/>
        <v>6638289.9524115948</v>
      </c>
      <c r="Z42" s="924">
        <f t="shared" si="43"/>
        <v>6638289.9524115948</v>
      </c>
      <c r="AA42" s="924">
        <f t="shared" si="43"/>
        <v>6638289.9524115948</v>
      </c>
      <c r="AB42" s="924">
        <f t="shared" si="43"/>
        <v>6638289.9524115948</v>
      </c>
      <c r="AC42" s="924">
        <f t="shared" si="43"/>
        <v>6638289.9524115948</v>
      </c>
      <c r="AD42" s="924">
        <f t="shared" si="43"/>
        <v>6638289.9524115948</v>
      </c>
      <c r="AE42" s="924">
        <f t="shared" si="43"/>
        <v>6638289.9524115948</v>
      </c>
      <c r="AF42" s="924">
        <f t="shared" si="43"/>
        <v>6638289.9524115948</v>
      </c>
      <c r="AG42" s="924">
        <f t="shared" si="43"/>
        <v>6638289.9524115948</v>
      </c>
      <c r="AH42" s="924">
        <f t="shared" si="43"/>
        <v>6638289.9524115948</v>
      </c>
      <c r="AI42" s="924">
        <f t="shared" si="43"/>
        <v>6638289.9524115948</v>
      </c>
      <c r="AJ42" s="924">
        <f t="shared" si="43"/>
        <v>6638289.9524115948</v>
      </c>
      <c r="AK42" s="924">
        <f t="shared" si="43"/>
        <v>6638289.9524115948</v>
      </c>
      <c r="AL42" s="924">
        <f t="shared" si="43"/>
        <v>6638289.9524115948</v>
      </c>
      <c r="AM42" s="924">
        <f t="shared" si="43"/>
        <v>6638289.9524115948</v>
      </c>
      <c r="AN42" s="924">
        <f t="shared" si="43"/>
        <v>6638289.9524115948</v>
      </c>
      <c r="AO42" s="924">
        <f t="shared" si="43"/>
        <v>6638289.9524115948</v>
      </c>
      <c r="AP42" s="924">
        <f t="shared" si="43"/>
        <v>6638289.9524115948</v>
      </c>
      <c r="AQ42" s="924">
        <f t="shared" si="43"/>
        <v>6638289.9524115948</v>
      </c>
      <c r="AR42" s="924">
        <f t="shared" si="43"/>
        <v>6638289.9524115948</v>
      </c>
      <c r="AS42" s="924">
        <f t="shared" si="43"/>
        <v>6638289.9524115948</v>
      </c>
      <c r="AT42" s="924">
        <f>$E$42*AT16</f>
        <v>6638289.9524115948</v>
      </c>
      <c r="AU42" s="925">
        <f t="shared" ref="AU42:CL42" si="44">$E$42*AU16</f>
        <v>6638289.9524115948</v>
      </c>
      <c r="AV42" s="925">
        <f t="shared" si="44"/>
        <v>6638289.9524115948</v>
      </c>
      <c r="AW42" s="925">
        <f t="shared" si="44"/>
        <v>6638289.9524115948</v>
      </c>
      <c r="AX42" s="925">
        <f t="shared" si="44"/>
        <v>6638289.9524115948</v>
      </c>
      <c r="AY42" s="925">
        <f t="shared" si="44"/>
        <v>6638289.9524115948</v>
      </c>
      <c r="AZ42" s="925">
        <f t="shared" si="44"/>
        <v>6638289.9524115948</v>
      </c>
      <c r="BA42" s="925">
        <f t="shared" si="44"/>
        <v>6638289.9524115948</v>
      </c>
      <c r="BB42" s="925">
        <f t="shared" si="44"/>
        <v>6638289.9524115948</v>
      </c>
      <c r="BC42" s="925">
        <f t="shared" si="44"/>
        <v>6638289.9524115948</v>
      </c>
      <c r="BD42" s="925">
        <f t="shared" si="44"/>
        <v>6638289.9524115948</v>
      </c>
      <c r="BE42" s="925">
        <f t="shared" si="44"/>
        <v>6638289.9524115948</v>
      </c>
      <c r="BF42" s="925">
        <f t="shared" si="44"/>
        <v>6638289.9524115948</v>
      </c>
      <c r="BG42" s="925">
        <f t="shared" si="44"/>
        <v>6638289.9524115948</v>
      </c>
      <c r="BH42" s="925">
        <f t="shared" si="44"/>
        <v>6638289.9524115948</v>
      </c>
      <c r="BI42" s="925">
        <f t="shared" si="44"/>
        <v>6638289.9524115948</v>
      </c>
      <c r="BJ42" s="925">
        <f t="shared" si="44"/>
        <v>6638289.9524115948</v>
      </c>
      <c r="BK42" s="925">
        <f t="shared" si="44"/>
        <v>6638289.9524115948</v>
      </c>
      <c r="BL42" s="925">
        <f t="shared" si="44"/>
        <v>6638289.9524115948</v>
      </c>
      <c r="BM42" s="925">
        <f t="shared" si="44"/>
        <v>6638289.9524115948</v>
      </c>
      <c r="BN42" s="925">
        <f t="shared" si="44"/>
        <v>6638289.9524115948</v>
      </c>
      <c r="BO42" s="925">
        <f t="shared" si="44"/>
        <v>6638289.9524115948</v>
      </c>
      <c r="BP42" s="925">
        <f t="shared" si="44"/>
        <v>6638289.9524115948</v>
      </c>
      <c r="BQ42" s="925">
        <f t="shared" si="44"/>
        <v>6638289.9524115948</v>
      </c>
      <c r="BR42" s="925">
        <f t="shared" si="44"/>
        <v>6638289.9524115948</v>
      </c>
      <c r="BS42" s="925">
        <f t="shared" si="44"/>
        <v>6638289.9524115948</v>
      </c>
      <c r="BT42" s="925">
        <f t="shared" si="44"/>
        <v>6638289.9524115948</v>
      </c>
      <c r="BU42" s="925">
        <f t="shared" si="44"/>
        <v>6638289.9524115948</v>
      </c>
      <c r="BV42" s="925">
        <f t="shared" si="44"/>
        <v>6638289.9524115948</v>
      </c>
      <c r="BW42" s="925">
        <f t="shared" si="44"/>
        <v>6638289.9524115948</v>
      </c>
      <c r="BX42" s="925">
        <f t="shared" si="44"/>
        <v>6638289.9524115948</v>
      </c>
      <c r="BY42" s="925">
        <f t="shared" si="44"/>
        <v>6638289.9524115948</v>
      </c>
      <c r="BZ42" s="925">
        <f t="shared" si="44"/>
        <v>6638289.9524115948</v>
      </c>
      <c r="CA42" s="925">
        <f t="shared" si="44"/>
        <v>6638289.9524115948</v>
      </c>
      <c r="CB42" s="925">
        <f t="shared" si="44"/>
        <v>6638289.9524115948</v>
      </c>
      <c r="CC42" s="925">
        <f t="shared" si="44"/>
        <v>6638289.9524115948</v>
      </c>
      <c r="CD42" s="925">
        <f t="shared" si="44"/>
        <v>6638289.9524115948</v>
      </c>
      <c r="CE42" s="925">
        <f t="shared" si="44"/>
        <v>6638289.9524115948</v>
      </c>
      <c r="CF42" s="925">
        <f t="shared" si="44"/>
        <v>6638289.9524115948</v>
      </c>
      <c r="CG42" s="925">
        <f t="shared" si="44"/>
        <v>6638289.9524115948</v>
      </c>
      <c r="CH42" s="925">
        <f t="shared" si="44"/>
        <v>6638289.9524115948</v>
      </c>
      <c r="CI42" s="925">
        <f t="shared" si="44"/>
        <v>6638289.9524115948</v>
      </c>
      <c r="CJ42" s="925">
        <f t="shared" si="44"/>
        <v>6638289.9524115948</v>
      </c>
      <c r="CK42" s="925">
        <f t="shared" si="44"/>
        <v>6638289.9524115948</v>
      </c>
      <c r="CL42" s="925">
        <f t="shared" si="44"/>
        <v>6638289.9524115948</v>
      </c>
      <c r="CM42" s="356">
        <f t="shared" si="0"/>
        <v>6638289.9524115948</v>
      </c>
      <c r="CN42" s="347"/>
      <c r="CO42" s="347"/>
      <c r="CP42" s="347"/>
      <c r="CQ42" s="347"/>
      <c r="CR42" s="347"/>
      <c r="CS42" s="347"/>
      <c r="CT42" s="347"/>
      <c r="CU42" s="347"/>
      <c r="CV42" s="347"/>
      <c r="CW42" s="347"/>
      <c r="CX42" s="347"/>
      <c r="CY42" s="347"/>
      <c r="CZ42" s="347"/>
      <c r="DA42" s="347"/>
      <c r="DB42" s="347"/>
      <c r="DC42" s="347"/>
      <c r="DD42" s="347"/>
      <c r="DE42" s="347"/>
      <c r="DF42" s="347"/>
      <c r="DG42" s="347"/>
      <c r="DH42" s="347"/>
      <c r="DI42" s="347"/>
      <c r="DJ42" s="347"/>
      <c r="DK42" s="347"/>
      <c r="DL42" s="347"/>
      <c r="DM42" s="347"/>
      <c r="DN42" s="347"/>
      <c r="DO42" s="347"/>
      <c r="DP42" s="347"/>
      <c r="DQ42" s="347"/>
      <c r="DR42" s="347"/>
      <c r="DS42" s="347"/>
      <c r="DT42" s="347"/>
      <c r="DU42" s="347"/>
      <c r="DV42" s="347"/>
      <c r="DW42" s="347"/>
      <c r="DX42" s="347"/>
      <c r="DY42" s="347"/>
      <c r="DZ42" s="347"/>
      <c r="EA42" s="347"/>
      <c r="EB42" s="347"/>
      <c r="EC42" s="347"/>
      <c r="ED42" s="347"/>
      <c r="EE42" s="347"/>
      <c r="EF42" s="347"/>
      <c r="EG42" s="347"/>
      <c r="EH42" s="347"/>
      <c r="EI42" s="347"/>
      <c r="EJ42" s="347"/>
      <c r="EK42" s="347"/>
      <c r="EL42" s="347"/>
      <c r="EM42" s="347"/>
      <c r="EN42" s="347"/>
      <c r="EO42" s="347"/>
      <c r="EP42" s="347"/>
      <c r="EQ42" s="347"/>
      <c r="ER42" s="347"/>
      <c r="ES42" s="347"/>
      <c r="ET42" s="347"/>
      <c r="EU42" s="347"/>
      <c r="EV42" s="347"/>
      <c r="EW42" s="347"/>
      <c r="EX42" s="347"/>
      <c r="EY42" s="347"/>
      <c r="EZ42" s="347"/>
      <c r="FA42" s="347"/>
      <c r="FB42" s="347"/>
      <c r="FC42" s="347"/>
      <c r="FD42" s="347"/>
      <c r="FE42" s="347"/>
      <c r="FF42" s="347"/>
      <c r="FG42" s="347"/>
      <c r="FH42" s="347"/>
      <c r="FI42" s="347"/>
      <c r="FJ42" s="347"/>
      <c r="FK42" s="347"/>
      <c r="FL42" s="347"/>
      <c r="FM42" s="347"/>
      <c r="FN42" s="347"/>
      <c r="FO42" s="347"/>
      <c r="FP42" s="347"/>
      <c r="FQ42" s="347"/>
      <c r="FR42" s="347"/>
      <c r="FS42" s="347"/>
      <c r="FT42" s="347"/>
      <c r="FU42" s="347"/>
      <c r="FV42" s="347"/>
      <c r="FW42" s="926"/>
    </row>
    <row r="43" spans="1:179">
      <c r="A43" s="1394"/>
      <c r="B43" s="859" t="s">
        <v>399</v>
      </c>
      <c r="C43" s="860" t="s">
        <v>352</v>
      </c>
      <c r="D43" s="581"/>
      <c r="E43" s="856">
        <v>113.95</v>
      </c>
      <c r="F43" s="886" t="s">
        <v>433</v>
      </c>
      <c r="G43" s="927">
        <f t="shared" ref="G43:AS43" si="45">$E$43*G16</f>
        <v>13038234.966666667</v>
      </c>
      <c r="H43" s="927">
        <f t="shared" si="45"/>
        <v>13038234.966666667</v>
      </c>
      <c r="I43" s="927">
        <f t="shared" si="45"/>
        <v>13038234.966666667</v>
      </c>
      <c r="J43" s="927">
        <f t="shared" si="45"/>
        <v>13038234.966666667</v>
      </c>
      <c r="K43" s="927">
        <f t="shared" si="45"/>
        <v>13038234.966666667</v>
      </c>
      <c r="L43" s="927">
        <f t="shared" si="45"/>
        <v>13038234.966666667</v>
      </c>
      <c r="M43" s="927">
        <f t="shared" si="45"/>
        <v>13038234.966666667</v>
      </c>
      <c r="N43" s="927">
        <f t="shared" si="45"/>
        <v>13038234.966666667</v>
      </c>
      <c r="O43" s="927">
        <f t="shared" si="45"/>
        <v>13038234.966666667</v>
      </c>
      <c r="P43" s="927">
        <f t="shared" si="45"/>
        <v>13038234.966666667</v>
      </c>
      <c r="Q43" s="927">
        <f t="shared" si="45"/>
        <v>13038234.966666667</v>
      </c>
      <c r="R43" s="927">
        <f t="shared" si="45"/>
        <v>13038234.966666667</v>
      </c>
      <c r="S43" s="927">
        <f t="shared" si="45"/>
        <v>13038234.966666667</v>
      </c>
      <c r="T43" s="927">
        <f t="shared" si="45"/>
        <v>13038234.966666667</v>
      </c>
      <c r="U43" s="927">
        <f t="shared" si="45"/>
        <v>13038234.966666667</v>
      </c>
      <c r="V43" s="927">
        <f t="shared" si="45"/>
        <v>13038234.966666667</v>
      </c>
      <c r="W43" s="927">
        <f t="shared" si="45"/>
        <v>13038234.966666667</v>
      </c>
      <c r="X43" s="927">
        <f t="shared" si="45"/>
        <v>13038234.966666667</v>
      </c>
      <c r="Y43" s="927">
        <f t="shared" si="45"/>
        <v>13038234.966666667</v>
      </c>
      <c r="Z43" s="927">
        <f t="shared" si="45"/>
        <v>13038234.966666667</v>
      </c>
      <c r="AA43" s="927">
        <f t="shared" si="45"/>
        <v>13038234.966666667</v>
      </c>
      <c r="AB43" s="927">
        <f t="shared" si="45"/>
        <v>13038234.966666667</v>
      </c>
      <c r="AC43" s="927">
        <f t="shared" si="45"/>
        <v>13038234.966666667</v>
      </c>
      <c r="AD43" s="927">
        <f t="shared" si="45"/>
        <v>13038234.966666667</v>
      </c>
      <c r="AE43" s="927">
        <f t="shared" si="45"/>
        <v>13038234.966666667</v>
      </c>
      <c r="AF43" s="927">
        <f t="shared" si="45"/>
        <v>13038234.966666667</v>
      </c>
      <c r="AG43" s="927">
        <f t="shared" si="45"/>
        <v>13038234.966666667</v>
      </c>
      <c r="AH43" s="927">
        <f t="shared" si="45"/>
        <v>13038234.966666667</v>
      </c>
      <c r="AI43" s="927">
        <f t="shared" si="45"/>
        <v>13038234.966666667</v>
      </c>
      <c r="AJ43" s="927">
        <f t="shared" si="45"/>
        <v>13038234.966666667</v>
      </c>
      <c r="AK43" s="927">
        <f t="shared" si="45"/>
        <v>13038234.966666667</v>
      </c>
      <c r="AL43" s="927">
        <f t="shared" si="45"/>
        <v>13038234.966666667</v>
      </c>
      <c r="AM43" s="927">
        <f t="shared" si="45"/>
        <v>13038234.966666667</v>
      </c>
      <c r="AN43" s="927">
        <f t="shared" si="45"/>
        <v>13038234.966666667</v>
      </c>
      <c r="AO43" s="927">
        <f t="shared" si="45"/>
        <v>13038234.966666667</v>
      </c>
      <c r="AP43" s="927">
        <f t="shared" si="45"/>
        <v>13038234.966666667</v>
      </c>
      <c r="AQ43" s="927">
        <f t="shared" si="45"/>
        <v>13038234.966666667</v>
      </c>
      <c r="AR43" s="927">
        <f t="shared" si="45"/>
        <v>13038234.966666667</v>
      </c>
      <c r="AS43" s="927">
        <f t="shared" si="45"/>
        <v>13038234.966666667</v>
      </c>
      <c r="AT43" s="927">
        <f>$E$43*AT16</f>
        <v>13038234.966666667</v>
      </c>
      <c r="AU43" s="928">
        <f t="shared" ref="AU43:CL43" si="46">$E$43*AU16</f>
        <v>13038234.966666667</v>
      </c>
      <c r="AV43" s="928">
        <f t="shared" si="46"/>
        <v>13038234.966666667</v>
      </c>
      <c r="AW43" s="928">
        <f t="shared" si="46"/>
        <v>13038234.966666667</v>
      </c>
      <c r="AX43" s="928">
        <f t="shared" si="46"/>
        <v>13038234.966666667</v>
      </c>
      <c r="AY43" s="928">
        <f t="shared" si="46"/>
        <v>13038234.966666667</v>
      </c>
      <c r="AZ43" s="928">
        <f t="shared" si="46"/>
        <v>13038234.966666667</v>
      </c>
      <c r="BA43" s="928">
        <f t="shared" si="46"/>
        <v>13038234.966666667</v>
      </c>
      <c r="BB43" s="928">
        <f t="shared" si="46"/>
        <v>13038234.966666667</v>
      </c>
      <c r="BC43" s="928">
        <f t="shared" si="46"/>
        <v>13038234.966666667</v>
      </c>
      <c r="BD43" s="928">
        <f t="shared" si="46"/>
        <v>13038234.966666667</v>
      </c>
      <c r="BE43" s="928">
        <f t="shared" si="46"/>
        <v>13038234.966666667</v>
      </c>
      <c r="BF43" s="928">
        <f t="shared" si="46"/>
        <v>13038234.966666667</v>
      </c>
      <c r="BG43" s="928">
        <f t="shared" si="46"/>
        <v>13038234.966666667</v>
      </c>
      <c r="BH43" s="928">
        <f t="shared" si="46"/>
        <v>13038234.966666667</v>
      </c>
      <c r="BI43" s="928">
        <f t="shared" si="46"/>
        <v>13038234.966666667</v>
      </c>
      <c r="BJ43" s="928">
        <f t="shared" si="46"/>
        <v>13038234.966666667</v>
      </c>
      <c r="BK43" s="928">
        <f t="shared" si="46"/>
        <v>13038234.966666667</v>
      </c>
      <c r="BL43" s="928">
        <f t="shared" si="46"/>
        <v>13038234.966666667</v>
      </c>
      <c r="BM43" s="928">
        <f t="shared" si="46"/>
        <v>13038234.966666667</v>
      </c>
      <c r="BN43" s="928">
        <f t="shared" si="46"/>
        <v>13038234.966666667</v>
      </c>
      <c r="BO43" s="928">
        <f t="shared" si="46"/>
        <v>13038234.966666667</v>
      </c>
      <c r="BP43" s="928">
        <f t="shared" si="46"/>
        <v>13038234.966666667</v>
      </c>
      <c r="BQ43" s="928">
        <f t="shared" si="46"/>
        <v>13038234.966666667</v>
      </c>
      <c r="BR43" s="928">
        <f t="shared" si="46"/>
        <v>13038234.966666667</v>
      </c>
      <c r="BS43" s="928">
        <f t="shared" si="46"/>
        <v>13038234.966666667</v>
      </c>
      <c r="BT43" s="928">
        <f t="shared" si="46"/>
        <v>13038234.966666667</v>
      </c>
      <c r="BU43" s="928">
        <f t="shared" si="46"/>
        <v>13038234.966666667</v>
      </c>
      <c r="BV43" s="928">
        <f t="shared" si="46"/>
        <v>13038234.966666667</v>
      </c>
      <c r="BW43" s="928">
        <f t="shared" si="46"/>
        <v>13038234.966666667</v>
      </c>
      <c r="BX43" s="928">
        <f t="shared" si="46"/>
        <v>13038234.966666667</v>
      </c>
      <c r="BY43" s="928">
        <f t="shared" si="46"/>
        <v>13038234.966666667</v>
      </c>
      <c r="BZ43" s="928">
        <f t="shared" si="46"/>
        <v>13038234.966666667</v>
      </c>
      <c r="CA43" s="928">
        <f t="shared" si="46"/>
        <v>13038234.966666667</v>
      </c>
      <c r="CB43" s="928">
        <f t="shared" si="46"/>
        <v>13038234.966666667</v>
      </c>
      <c r="CC43" s="928">
        <f t="shared" si="46"/>
        <v>13038234.966666667</v>
      </c>
      <c r="CD43" s="928">
        <f t="shared" si="46"/>
        <v>13038234.966666667</v>
      </c>
      <c r="CE43" s="928">
        <f t="shared" si="46"/>
        <v>13038234.966666667</v>
      </c>
      <c r="CF43" s="928">
        <f t="shared" si="46"/>
        <v>13038234.966666667</v>
      </c>
      <c r="CG43" s="928">
        <f t="shared" si="46"/>
        <v>13038234.966666667</v>
      </c>
      <c r="CH43" s="928">
        <f t="shared" si="46"/>
        <v>13038234.966666667</v>
      </c>
      <c r="CI43" s="928">
        <f t="shared" si="46"/>
        <v>13038234.966666667</v>
      </c>
      <c r="CJ43" s="928">
        <f t="shared" si="46"/>
        <v>13038234.966666667</v>
      </c>
      <c r="CK43" s="928">
        <f t="shared" si="46"/>
        <v>13038234.966666667</v>
      </c>
      <c r="CL43" s="928">
        <f t="shared" si="46"/>
        <v>13038234.966666667</v>
      </c>
      <c r="CM43" s="356">
        <f t="shared" si="0"/>
        <v>13038234.966666676</v>
      </c>
      <c r="CN43" s="347"/>
      <c r="CO43" s="347"/>
      <c r="CP43" s="347"/>
      <c r="CQ43" s="347"/>
      <c r="CR43" s="347"/>
      <c r="CS43" s="347"/>
      <c r="CT43" s="347"/>
      <c r="CU43" s="347"/>
      <c r="CV43" s="347"/>
      <c r="CW43" s="347"/>
      <c r="CX43" s="347"/>
      <c r="CY43" s="347"/>
      <c r="CZ43" s="347"/>
      <c r="DA43" s="347"/>
      <c r="DB43" s="347"/>
      <c r="DC43" s="347"/>
      <c r="DD43" s="347"/>
      <c r="DE43" s="347"/>
      <c r="DF43" s="347"/>
      <c r="DG43" s="347"/>
      <c r="DH43" s="347"/>
      <c r="DI43" s="347"/>
      <c r="DJ43" s="347"/>
      <c r="DK43" s="347"/>
      <c r="DL43" s="347"/>
      <c r="DM43" s="347"/>
      <c r="DN43" s="347"/>
      <c r="DO43" s="347"/>
      <c r="DP43" s="347"/>
      <c r="DQ43" s="347"/>
      <c r="DR43" s="347"/>
      <c r="DS43" s="347"/>
      <c r="DT43" s="347"/>
      <c r="DU43" s="347"/>
      <c r="DV43" s="347"/>
      <c r="DW43" s="347"/>
      <c r="DX43" s="347"/>
      <c r="DY43" s="347"/>
      <c r="DZ43" s="347"/>
      <c r="EA43" s="347"/>
      <c r="EB43" s="347"/>
      <c r="EC43" s="347"/>
      <c r="ED43" s="347"/>
      <c r="EE43" s="347"/>
      <c r="EF43" s="347"/>
      <c r="EG43" s="347"/>
      <c r="EH43" s="347"/>
      <c r="EI43" s="347"/>
      <c r="EJ43" s="347"/>
      <c r="EK43" s="347"/>
      <c r="EL43" s="347"/>
      <c r="EM43" s="347"/>
      <c r="EN43" s="347"/>
      <c r="EO43" s="347"/>
      <c r="EP43" s="347"/>
      <c r="EQ43" s="347"/>
      <c r="ER43" s="347"/>
      <c r="ES43" s="347"/>
      <c r="ET43" s="347"/>
      <c r="EU43" s="347"/>
      <c r="EV43" s="347"/>
      <c r="EW43" s="347"/>
      <c r="EX43" s="347"/>
      <c r="EY43" s="347"/>
      <c r="EZ43" s="347"/>
      <c r="FA43" s="347"/>
      <c r="FB43" s="347"/>
      <c r="FC43" s="347"/>
      <c r="FD43" s="347"/>
      <c r="FE43" s="347"/>
      <c r="FF43" s="347"/>
      <c r="FG43" s="347"/>
      <c r="FH43" s="347"/>
      <c r="FI43" s="347"/>
      <c r="FJ43" s="347"/>
      <c r="FK43" s="347"/>
      <c r="FL43" s="347"/>
      <c r="FM43" s="347"/>
      <c r="FN43" s="347"/>
      <c r="FO43" s="347"/>
      <c r="FP43" s="347"/>
      <c r="FQ43" s="347"/>
      <c r="FR43" s="347"/>
      <c r="FS43" s="347"/>
      <c r="FT43" s="347"/>
      <c r="FU43" s="347"/>
      <c r="FV43" s="347"/>
    </row>
    <row r="44" spans="1:179" ht="17.25" customHeight="1">
      <c r="A44" s="929" t="s">
        <v>35</v>
      </c>
      <c r="B44" s="930" t="s">
        <v>399</v>
      </c>
      <c r="C44" s="929" t="s">
        <v>352</v>
      </c>
      <c r="D44" s="929"/>
      <c r="E44" s="931">
        <v>7924</v>
      </c>
      <c r="F44" s="932" t="s">
        <v>411</v>
      </c>
      <c r="G44" s="933">
        <f>$E$44*G16</f>
        <v>906669362.66666663</v>
      </c>
      <c r="H44" s="933">
        <f t="shared" ref="H44:BS44" si="47">$E$44*H16</f>
        <v>906669362.66666663</v>
      </c>
      <c r="I44" s="933">
        <f t="shared" si="47"/>
        <v>906669362.66666663</v>
      </c>
      <c r="J44" s="933">
        <f t="shared" si="47"/>
        <v>906669362.66666663</v>
      </c>
      <c r="K44" s="933">
        <f t="shared" si="47"/>
        <v>906669362.66666663</v>
      </c>
      <c r="L44" s="933">
        <f t="shared" si="47"/>
        <v>906669362.66666663</v>
      </c>
      <c r="M44" s="933">
        <f t="shared" si="47"/>
        <v>906669362.66666663</v>
      </c>
      <c r="N44" s="933">
        <f t="shared" si="47"/>
        <v>906669362.66666663</v>
      </c>
      <c r="O44" s="933">
        <f t="shared" si="47"/>
        <v>906669362.66666663</v>
      </c>
      <c r="P44" s="933">
        <f t="shared" si="47"/>
        <v>906669362.66666663</v>
      </c>
      <c r="Q44" s="933">
        <f t="shared" si="47"/>
        <v>906669362.66666663</v>
      </c>
      <c r="R44" s="933">
        <f t="shared" si="47"/>
        <v>906669362.66666663</v>
      </c>
      <c r="S44" s="933">
        <f t="shared" si="47"/>
        <v>906669362.66666663</v>
      </c>
      <c r="T44" s="933">
        <f t="shared" si="47"/>
        <v>906669362.66666663</v>
      </c>
      <c r="U44" s="933">
        <f t="shared" si="47"/>
        <v>906669362.66666663</v>
      </c>
      <c r="V44" s="933">
        <f t="shared" si="47"/>
        <v>906669362.66666663</v>
      </c>
      <c r="W44" s="933">
        <f t="shared" si="47"/>
        <v>906669362.66666663</v>
      </c>
      <c r="X44" s="933">
        <f t="shared" si="47"/>
        <v>906669362.66666663</v>
      </c>
      <c r="Y44" s="933">
        <f t="shared" si="47"/>
        <v>906669362.66666663</v>
      </c>
      <c r="Z44" s="933">
        <f t="shared" si="47"/>
        <v>906669362.66666663</v>
      </c>
      <c r="AA44" s="933">
        <f t="shared" si="47"/>
        <v>906669362.66666663</v>
      </c>
      <c r="AB44" s="933">
        <f t="shared" si="47"/>
        <v>906669362.66666663</v>
      </c>
      <c r="AC44" s="933">
        <f t="shared" si="47"/>
        <v>906669362.66666663</v>
      </c>
      <c r="AD44" s="933">
        <f t="shared" si="47"/>
        <v>906669362.66666663</v>
      </c>
      <c r="AE44" s="933">
        <f t="shared" si="47"/>
        <v>906669362.66666663</v>
      </c>
      <c r="AF44" s="933">
        <f t="shared" si="47"/>
        <v>906669362.66666663</v>
      </c>
      <c r="AG44" s="933">
        <f t="shared" si="47"/>
        <v>906669362.66666663</v>
      </c>
      <c r="AH44" s="933">
        <f t="shared" si="47"/>
        <v>906669362.66666663</v>
      </c>
      <c r="AI44" s="933">
        <f t="shared" si="47"/>
        <v>906669362.66666663</v>
      </c>
      <c r="AJ44" s="933">
        <f t="shared" si="47"/>
        <v>906669362.66666663</v>
      </c>
      <c r="AK44" s="933">
        <f t="shared" si="47"/>
        <v>906669362.66666663</v>
      </c>
      <c r="AL44" s="933">
        <f t="shared" si="47"/>
        <v>906669362.66666663</v>
      </c>
      <c r="AM44" s="933">
        <f t="shared" si="47"/>
        <v>906669362.66666663</v>
      </c>
      <c r="AN44" s="933">
        <f t="shared" si="47"/>
        <v>906669362.66666663</v>
      </c>
      <c r="AO44" s="933">
        <f t="shared" si="47"/>
        <v>906669362.66666663</v>
      </c>
      <c r="AP44" s="933">
        <f t="shared" si="47"/>
        <v>906669362.66666663</v>
      </c>
      <c r="AQ44" s="933">
        <f t="shared" si="47"/>
        <v>906669362.66666663</v>
      </c>
      <c r="AR44" s="933">
        <f t="shared" si="47"/>
        <v>906669362.66666663</v>
      </c>
      <c r="AS44" s="933">
        <f t="shared" si="47"/>
        <v>906669362.66666663</v>
      </c>
      <c r="AT44" s="933">
        <f t="shared" si="47"/>
        <v>906669362.66666663</v>
      </c>
      <c r="AU44" s="933">
        <f t="shared" si="47"/>
        <v>906669362.66666663</v>
      </c>
      <c r="AV44" s="933">
        <f t="shared" si="47"/>
        <v>906669362.66666663</v>
      </c>
      <c r="AW44" s="933">
        <f t="shared" si="47"/>
        <v>906669362.66666663</v>
      </c>
      <c r="AX44" s="933">
        <f t="shared" si="47"/>
        <v>906669362.66666663</v>
      </c>
      <c r="AY44" s="933">
        <f t="shared" si="47"/>
        <v>906669362.66666663</v>
      </c>
      <c r="AZ44" s="933">
        <f t="shared" si="47"/>
        <v>906669362.66666663</v>
      </c>
      <c r="BA44" s="933">
        <f t="shared" si="47"/>
        <v>906669362.66666663</v>
      </c>
      <c r="BB44" s="933">
        <f t="shared" si="47"/>
        <v>906669362.66666663</v>
      </c>
      <c r="BC44" s="933">
        <f t="shared" si="47"/>
        <v>906669362.66666663</v>
      </c>
      <c r="BD44" s="933">
        <f t="shared" si="47"/>
        <v>906669362.66666663</v>
      </c>
      <c r="BE44" s="933">
        <f t="shared" si="47"/>
        <v>906669362.66666663</v>
      </c>
      <c r="BF44" s="933">
        <f t="shared" si="47"/>
        <v>906669362.66666663</v>
      </c>
      <c r="BG44" s="933">
        <f t="shared" si="47"/>
        <v>906669362.66666663</v>
      </c>
      <c r="BH44" s="933">
        <f t="shared" si="47"/>
        <v>906669362.66666663</v>
      </c>
      <c r="BI44" s="933">
        <f t="shared" si="47"/>
        <v>906669362.66666663</v>
      </c>
      <c r="BJ44" s="933">
        <f t="shared" si="47"/>
        <v>906669362.66666663</v>
      </c>
      <c r="BK44" s="933">
        <f t="shared" si="47"/>
        <v>906669362.66666663</v>
      </c>
      <c r="BL44" s="933">
        <f t="shared" si="47"/>
        <v>906669362.66666663</v>
      </c>
      <c r="BM44" s="933">
        <f t="shared" si="47"/>
        <v>906669362.66666663</v>
      </c>
      <c r="BN44" s="933">
        <f t="shared" si="47"/>
        <v>906669362.66666663</v>
      </c>
      <c r="BO44" s="933">
        <f t="shared" si="47"/>
        <v>906669362.66666663</v>
      </c>
      <c r="BP44" s="933">
        <f t="shared" si="47"/>
        <v>906669362.66666663</v>
      </c>
      <c r="BQ44" s="933">
        <f t="shared" si="47"/>
        <v>906669362.66666663</v>
      </c>
      <c r="BR44" s="933">
        <f t="shared" si="47"/>
        <v>906669362.66666663</v>
      </c>
      <c r="BS44" s="933">
        <f t="shared" si="47"/>
        <v>906669362.66666663</v>
      </c>
      <c r="BT44" s="933">
        <f t="shared" ref="BT44:CL44" si="48">$E$44*BT16</f>
        <v>906669362.66666663</v>
      </c>
      <c r="BU44" s="933">
        <f t="shared" si="48"/>
        <v>906669362.66666663</v>
      </c>
      <c r="BV44" s="933">
        <f t="shared" si="48"/>
        <v>906669362.66666663</v>
      </c>
      <c r="BW44" s="933">
        <f t="shared" si="48"/>
        <v>906669362.66666663</v>
      </c>
      <c r="BX44" s="933">
        <f t="shared" si="48"/>
        <v>906669362.66666663</v>
      </c>
      <c r="BY44" s="933">
        <f t="shared" si="48"/>
        <v>906669362.66666663</v>
      </c>
      <c r="BZ44" s="933">
        <f t="shared" si="48"/>
        <v>906669362.66666663</v>
      </c>
      <c r="CA44" s="933">
        <f t="shared" si="48"/>
        <v>906669362.66666663</v>
      </c>
      <c r="CB44" s="933">
        <f t="shared" si="48"/>
        <v>906669362.66666663</v>
      </c>
      <c r="CC44" s="933">
        <f t="shared" si="48"/>
        <v>906669362.66666663</v>
      </c>
      <c r="CD44" s="933">
        <f t="shared" si="48"/>
        <v>906669362.66666663</v>
      </c>
      <c r="CE44" s="933">
        <f t="shared" si="48"/>
        <v>906669362.66666663</v>
      </c>
      <c r="CF44" s="933">
        <f t="shared" si="48"/>
        <v>906669362.66666663</v>
      </c>
      <c r="CG44" s="933">
        <f t="shared" si="48"/>
        <v>906669362.66666663</v>
      </c>
      <c r="CH44" s="933">
        <f t="shared" si="48"/>
        <v>906669362.66666663</v>
      </c>
      <c r="CI44" s="933">
        <f t="shared" si="48"/>
        <v>906669362.66666663</v>
      </c>
      <c r="CJ44" s="933">
        <f t="shared" si="48"/>
        <v>906669362.66666663</v>
      </c>
      <c r="CK44" s="933">
        <f t="shared" si="48"/>
        <v>906669362.66666663</v>
      </c>
      <c r="CL44" s="933">
        <f t="shared" si="48"/>
        <v>906669362.66666663</v>
      </c>
      <c r="CM44" s="933">
        <f t="shared" si="0"/>
        <v>906669362.66666627</v>
      </c>
      <c r="CN44" s="347"/>
      <c r="CO44" s="347"/>
      <c r="CP44" s="347"/>
      <c r="CQ44" s="347"/>
      <c r="CR44" s="347"/>
      <c r="CS44" s="347"/>
      <c r="CT44" s="347"/>
      <c r="CU44" s="347"/>
      <c r="CV44" s="347"/>
      <c r="CW44" s="347"/>
      <c r="CX44" s="347"/>
      <c r="CY44" s="347"/>
      <c r="CZ44" s="347"/>
      <c r="DA44" s="347"/>
      <c r="DB44" s="347"/>
      <c r="DC44" s="347"/>
      <c r="DD44" s="347"/>
      <c r="DE44" s="347"/>
      <c r="DF44" s="347"/>
      <c r="DG44" s="347"/>
      <c r="DH44" s="347"/>
      <c r="DI44" s="347"/>
      <c r="DJ44" s="347"/>
      <c r="DK44" s="347"/>
      <c r="DL44" s="347"/>
      <c r="DM44" s="347"/>
      <c r="DN44" s="347"/>
      <c r="DO44" s="347"/>
      <c r="DP44" s="347"/>
      <c r="DQ44" s="347"/>
      <c r="DR44" s="347"/>
      <c r="DS44" s="347"/>
      <c r="DT44" s="347"/>
      <c r="DU44" s="347"/>
      <c r="DV44" s="347"/>
      <c r="DW44" s="347"/>
      <c r="DX44" s="347"/>
      <c r="DY44" s="347"/>
      <c r="DZ44" s="347"/>
      <c r="EA44" s="347"/>
      <c r="EB44" s="347"/>
      <c r="EC44" s="347"/>
      <c r="ED44" s="347"/>
      <c r="EE44" s="347"/>
      <c r="EF44" s="347"/>
      <c r="EG44" s="347"/>
      <c r="EH44" s="347"/>
      <c r="EI44" s="347"/>
      <c r="EJ44" s="347"/>
      <c r="EK44" s="347"/>
      <c r="EL44" s="347"/>
      <c r="EM44" s="347"/>
      <c r="EN44" s="347"/>
      <c r="EO44" s="347"/>
      <c r="EP44" s="347"/>
      <c r="EQ44" s="347"/>
      <c r="ER44" s="347"/>
      <c r="ES44" s="347"/>
      <c r="ET44" s="347"/>
      <c r="EU44" s="347"/>
      <c r="EV44" s="347"/>
      <c r="EW44" s="347"/>
      <c r="EX44" s="347"/>
      <c r="EY44" s="347"/>
      <c r="EZ44" s="347"/>
      <c r="FA44" s="347"/>
      <c r="FB44" s="347"/>
      <c r="FC44" s="347"/>
      <c r="FD44" s="347"/>
      <c r="FE44" s="347"/>
      <c r="FF44" s="347"/>
      <c r="FG44" s="347"/>
      <c r="FH44" s="347"/>
      <c r="FI44" s="347"/>
      <c r="FJ44" s="347"/>
      <c r="FK44" s="347"/>
      <c r="FL44" s="347"/>
      <c r="FM44" s="347"/>
      <c r="FN44" s="347"/>
      <c r="FO44" s="347"/>
      <c r="FP44" s="347"/>
      <c r="FQ44" s="347"/>
      <c r="FR44" s="347"/>
      <c r="FS44" s="347"/>
      <c r="FT44" s="347"/>
      <c r="FU44" s="347"/>
      <c r="FV44" s="347"/>
    </row>
    <row r="45" spans="1:179" s="75" customFormat="1" ht="20.25" customHeight="1">
      <c r="A45" s="1147" t="s">
        <v>269</v>
      </c>
      <c r="B45" s="1150" t="s">
        <v>399</v>
      </c>
      <c r="C45" s="1147" t="s">
        <v>352</v>
      </c>
      <c r="D45" s="1147"/>
      <c r="E45" s="72">
        <v>3131</v>
      </c>
      <c r="F45" s="862" t="s">
        <v>432</v>
      </c>
      <c r="G45" s="933">
        <f>$E$45*G16</f>
        <v>358251107.33333331</v>
      </c>
      <c r="H45" s="933">
        <f t="shared" ref="H45:BS45" si="49">$E$45*H16</f>
        <v>358251107.33333331</v>
      </c>
      <c r="I45" s="933">
        <f t="shared" si="49"/>
        <v>358251107.33333331</v>
      </c>
      <c r="J45" s="933">
        <f t="shared" si="49"/>
        <v>358251107.33333331</v>
      </c>
      <c r="K45" s="933">
        <f t="shared" si="49"/>
        <v>358251107.33333331</v>
      </c>
      <c r="L45" s="933">
        <f t="shared" si="49"/>
        <v>358251107.33333331</v>
      </c>
      <c r="M45" s="933">
        <f t="shared" si="49"/>
        <v>358251107.33333331</v>
      </c>
      <c r="N45" s="933">
        <f t="shared" si="49"/>
        <v>358251107.33333331</v>
      </c>
      <c r="O45" s="933">
        <f t="shared" si="49"/>
        <v>358251107.33333331</v>
      </c>
      <c r="P45" s="933">
        <f t="shared" si="49"/>
        <v>358251107.33333331</v>
      </c>
      <c r="Q45" s="933">
        <f t="shared" si="49"/>
        <v>358251107.33333331</v>
      </c>
      <c r="R45" s="933">
        <f t="shared" si="49"/>
        <v>358251107.33333331</v>
      </c>
      <c r="S45" s="933">
        <f t="shared" si="49"/>
        <v>358251107.33333331</v>
      </c>
      <c r="T45" s="933">
        <f t="shared" si="49"/>
        <v>358251107.33333331</v>
      </c>
      <c r="U45" s="933">
        <f t="shared" si="49"/>
        <v>358251107.33333331</v>
      </c>
      <c r="V45" s="933">
        <f t="shared" si="49"/>
        <v>358251107.33333331</v>
      </c>
      <c r="W45" s="933">
        <f t="shared" si="49"/>
        <v>358251107.33333331</v>
      </c>
      <c r="X45" s="933">
        <f t="shared" si="49"/>
        <v>358251107.33333331</v>
      </c>
      <c r="Y45" s="933">
        <f t="shared" si="49"/>
        <v>358251107.33333331</v>
      </c>
      <c r="Z45" s="933">
        <f t="shared" si="49"/>
        <v>358251107.33333331</v>
      </c>
      <c r="AA45" s="933">
        <f t="shared" si="49"/>
        <v>358251107.33333331</v>
      </c>
      <c r="AB45" s="933">
        <f t="shared" si="49"/>
        <v>358251107.33333331</v>
      </c>
      <c r="AC45" s="933">
        <f t="shared" si="49"/>
        <v>358251107.33333331</v>
      </c>
      <c r="AD45" s="933">
        <f t="shared" si="49"/>
        <v>358251107.33333331</v>
      </c>
      <c r="AE45" s="933">
        <f t="shared" si="49"/>
        <v>358251107.33333331</v>
      </c>
      <c r="AF45" s="933">
        <f t="shared" si="49"/>
        <v>358251107.33333331</v>
      </c>
      <c r="AG45" s="933">
        <f t="shared" si="49"/>
        <v>358251107.33333331</v>
      </c>
      <c r="AH45" s="933">
        <f t="shared" si="49"/>
        <v>358251107.33333331</v>
      </c>
      <c r="AI45" s="933">
        <f t="shared" si="49"/>
        <v>358251107.33333331</v>
      </c>
      <c r="AJ45" s="933">
        <f t="shared" si="49"/>
        <v>358251107.33333331</v>
      </c>
      <c r="AK45" s="933">
        <f t="shared" si="49"/>
        <v>358251107.33333331</v>
      </c>
      <c r="AL45" s="933">
        <f t="shared" si="49"/>
        <v>358251107.33333331</v>
      </c>
      <c r="AM45" s="933">
        <f t="shared" si="49"/>
        <v>358251107.33333331</v>
      </c>
      <c r="AN45" s="933">
        <f t="shared" si="49"/>
        <v>358251107.33333331</v>
      </c>
      <c r="AO45" s="933">
        <f t="shared" si="49"/>
        <v>358251107.33333331</v>
      </c>
      <c r="AP45" s="933">
        <f t="shared" si="49"/>
        <v>358251107.33333331</v>
      </c>
      <c r="AQ45" s="933">
        <f t="shared" si="49"/>
        <v>358251107.33333331</v>
      </c>
      <c r="AR45" s="933">
        <f t="shared" si="49"/>
        <v>358251107.33333331</v>
      </c>
      <c r="AS45" s="933">
        <f t="shared" si="49"/>
        <v>358251107.33333331</v>
      </c>
      <c r="AT45" s="933">
        <f t="shared" si="49"/>
        <v>358251107.33333331</v>
      </c>
      <c r="AU45" s="933">
        <f t="shared" si="49"/>
        <v>358251107.33333331</v>
      </c>
      <c r="AV45" s="933">
        <f t="shared" si="49"/>
        <v>358251107.33333331</v>
      </c>
      <c r="AW45" s="933">
        <f t="shared" si="49"/>
        <v>358251107.33333331</v>
      </c>
      <c r="AX45" s="933">
        <f t="shared" si="49"/>
        <v>358251107.33333331</v>
      </c>
      <c r="AY45" s="933">
        <f t="shared" si="49"/>
        <v>358251107.33333331</v>
      </c>
      <c r="AZ45" s="933">
        <f t="shared" si="49"/>
        <v>358251107.33333331</v>
      </c>
      <c r="BA45" s="933">
        <f t="shared" si="49"/>
        <v>358251107.33333331</v>
      </c>
      <c r="BB45" s="933">
        <f t="shared" si="49"/>
        <v>358251107.33333331</v>
      </c>
      <c r="BC45" s="933">
        <f t="shared" si="49"/>
        <v>358251107.33333331</v>
      </c>
      <c r="BD45" s="933">
        <f t="shared" si="49"/>
        <v>358251107.33333331</v>
      </c>
      <c r="BE45" s="933">
        <f t="shared" si="49"/>
        <v>358251107.33333331</v>
      </c>
      <c r="BF45" s="933">
        <f t="shared" si="49"/>
        <v>358251107.33333331</v>
      </c>
      <c r="BG45" s="933">
        <f t="shared" si="49"/>
        <v>358251107.33333331</v>
      </c>
      <c r="BH45" s="933">
        <f t="shared" si="49"/>
        <v>358251107.33333331</v>
      </c>
      <c r="BI45" s="933">
        <f t="shared" si="49"/>
        <v>358251107.33333331</v>
      </c>
      <c r="BJ45" s="933">
        <f t="shared" si="49"/>
        <v>358251107.33333331</v>
      </c>
      <c r="BK45" s="933">
        <f t="shared" si="49"/>
        <v>358251107.33333331</v>
      </c>
      <c r="BL45" s="933">
        <f t="shared" si="49"/>
        <v>358251107.33333331</v>
      </c>
      <c r="BM45" s="933">
        <f t="shared" si="49"/>
        <v>358251107.33333331</v>
      </c>
      <c r="BN45" s="933">
        <f t="shared" si="49"/>
        <v>358251107.33333331</v>
      </c>
      <c r="BO45" s="933">
        <f t="shared" si="49"/>
        <v>358251107.33333331</v>
      </c>
      <c r="BP45" s="933">
        <f t="shared" si="49"/>
        <v>358251107.33333331</v>
      </c>
      <c r="BQ45" s="933">
        <f t="shared" si="49"/>
        <v>358251107.33333331</v>
      </c>
      <c r="BR45" s="933">
        <f t="shared" si="49"/>
        <v>358251107.33333331</v>
      </c>
      <c r="BS45" s="933">
        <f t="shared" si="49"/>
        <v>358251107.33333331</v>
      </c>
      <c r="BT45" s="933">
        <f t="shared" ref="BT45:CL45" si="50">$E$45*BT16</f>
        <v>358251107.33333331</v>
      </c>
      <c r="BU45" s="933">
        <f t="shared" si="50"/>
        <v>358251107.33333331</v>
      </c>
      <c r="BV45" s="933">
        <f t="shared" si="50"/>
        <v>358251107.33333331</v>
      </c>
      <c r="BW45" s="933">
        <f t="shared" si="50"/>
        <v>358251107.33333331</v>
      </c>
      <c r="BX45" s="933">
        <f t="shared" si="50"/>
        <v>358251107.33333331</v>
      </c>
      <c r="BY45" s="933">
        <f t="shared" si="50"/>
        <v>358251107.33333331</v>
      </c>
      <c r="BZ45" s="933">
        <f t="shared" si="50"/>
        <v>358251107.33333331</v>
      </c>
      <c r="CA45" s="933">
        <f t="shared" si="50"/>
        <v>358251107.33333331</v>
      </c>
      <c r="CB45" s="933">
        <f t="shared" si="50"/>
        <v>358251107.33333331</v>
      </c>
      <c r="CC45" s="933">
        <f t="shared" si="50"/>
        <v>358251107.33333331</v>
      </c>
      <c r="CD45" s="933">
        <f t="shared" si="50"/>
        <v>358251107.33333331</v>
      </c>
      <c r="CE45" s="933">
        <f t="shared" si="50"/>
        <v>358251107.33333331</v>
      </c>
      <c r="CF45" s="933">
        <f t="shared" si="50"/>
        <v>358251107.33333331</v>
      </c>
      <c r="CG45" s="933">
        <f t="shared" si="50"/>
        <v>358251107.33333331</v>
      </c>
      <c r="CH45" s="933">
        <f t="shared" si="50"/>
        <v>358251107.33333331</v>
      </c>
      <c r="CI45" s="933">
        <f t="shared" si="50"/>
        <v>358251107.33333331</v>
      </c>
      <c r="CJ45" s="933">
        <f t="shared" si="50"/>
        <v>358251107.33333331</v>
      </c>
      <c r="CK45" s="933">
        <f t="shared" si="50"/>
        <v>358251107.33333331</v>
      </c>
      <c r="CL45" s="933">
        <f t="shared" si="50"/>
        <v>358251107.33333331</v>
      </c>
      <c r="CM45" s="933">
        <f t="shared" si="0"/>
        <v>358251107.3333329</v>
      </c>
      <c r="CN45" s="1153"/>
      <c r="CO45" s="1153"/>
      <c r="CP45" s="1153"/>
      <c r="CQ45" s="1153"/>
      <c r="CR45" s="1153"/>
      <c r="CS45" s="1153"/>
      <c r="CT45" s="1153"/>
      <c r="CU45" s="1153"/>
      <c r="CV45" s="1153"/>
      <c r="CW45" s="1153"/>
      <c r="CX45" s="1153"/>
      <c r="CY45" s="1153"/>
      <c r="CZ45" s="1153"/>
      <c r="DA45" s="1153"/>
      <c r="DB45" s="1153"/>
      <c r="DC45" s="1153"/>
      <c r="DD45" s="1153"/>
      <c r="DE45" s="1153"/>
      <c r="DF45" s="1153"/>
      <c r="DG45" s="1153"/>
      <c r="DH45" s="1153"/>
      <c r="DI45" s="1153"/>
      <c r="DJ45" s="1153"/>
      <c r="DK45" s="1153"/>
      <c r="DL45" s="1153"/>
      <c r="DM45" s="1153"/>
      <c r="DN45" s="1153"/>
      <c r="DO45" s="1153"/>
      <c r="DP45" s="1153"/>
      <c r="DQ45" s="1153"/>
      <c r="DR45" s="1153"/>
      <c r="DS45" s="1153"/>
      <c r="DT45" s="1153"/>
      <c r="DU45" s="1153"/>
      <c r="DV45" s="1153"/>
      <c r="DW45" s="1153"/>
      <c r="DX45" s="1153"/>
      <c r="DY45" s="1153"/>
      <c r="DZ45" s="1153"/>
      <c r="EA45" s="1153"/>
      <c r="EB45" s="1153"/>
      <c r="EC45" s="1153"/>
      <c r="ED45" s="1153"/>
      <c r="EE45" s="1153"/>
      <c r="EF45" s="1153"/>
      <c r="EG45" s="1153"/>
      <c r="EH45" s="1153"/>
      <c r="EI45" s="1153"/>
      <c r="EJ45" s="1153"/>
      <c r="EK45" s="1153"/>
      <c r="EL45" s="1153"/>
      <c r="EM45" s="1153"/>
      <c r="EN45" s="1153"/>
      <c r="EO45" s="1153"/>
      <c r="EP45" s="1153"/>
      <c r="EQ45" s="1153"/>
      <c r="ER45" s="1153"/>
      <c r="ES45" s="1153"/>
      <c r="ET45" s="1153"/>
      <c r="EU45" s="1153"/>
      <c r="EV45" s="1153"/>
      <c r="EW45" s="1153"/>
      <c r="EX45" s="1153"/>
      <c r="EY45" s="1153"/>
      <c r="EZ45" s="1153"/>
      <c r="FA45" s="1153"/>
      <c r="FB45" s="1153"/>
      <c r="FC45" s="1153"/>
      <c r="FD45" s="1153"/>
      <c r="FE45" s="1153"/>
      <c r="FF45" s="1153"/>
      <c r="FG45" s="1153"/>
      <c r="FH45" s="1153"/>
      <c r="FI45" s="1153"/>
      <c r="FJ45" s="1153"/>
      <c r="FK45" s="1153"/>
      <c r="FL45" s="1153"/>
      <c r="FM45" s="1153"/>
      <c r="FN45" s="1153"/>
      <c r="FO45" s="1153"/>
      <c r="FP45" s="1153"/>
      <c r="FQ45" s="1153"/>
      <c r="FR45" s="1153"/>
      <c r="FS45" s="1153"/>
      <c r="FT45" s="1153"/>
      <c r="FU45" s="1153"/>
      <c r="FV45" s="1153"/>
    </row>
    <row r="46" spans="1:179" s="75" customFormat="1">
      <c r="A46" s="1148" t="s">
        <v>412</v>
      </c>
      <c r="B46" s="1149" t="s">
        <v>403</v>
      </c>
      <c r="C46" s="1148" t="s">
        <v>352</v>
      </c>
      <c r="D46" s="1148"/>
      <c r="E46" s="1152"/>
      <c r="F46" s="938" t="s">
        <v>168</v>
      </c>
      <c r="G46" s="939">
        <f t="shared" ref="G46:BR47" si="51">G12*G2</f>
        <v>2387948199.7117939</v>
      </c>
      <c r="H46" s="939">
        <f t="shared" si="51"/>
        <v>2478469828.6413369</v>
      </c>
      <c r="I46" s="939">
        <f t="shared" si="51"/>
        <v>2609379816.3258581</v>
      </c>
      <c r="J46" s="939">
        <f t="shared" si="51"/>
        <v>2397429775.6939144</v>
      </c>
      <c r="K46" s="939">
        <f t="shared" si="51"/>
        <v>2338891464.5581369</v>
      </c>
      <c r="L46" s="939">
        <f t="shared" si="51"/>
        <v>2356779252.2866797</v>
      </c>
      <c r="M46" s="939">
        <f t="shared" si="51"/>
        <v>2310030339.8032174</v>
      </c>
      <c r="N46" s="939">
        <f t="shared" si="51"/>
        <v>2326056495.5278988</v>
      </c>
      <c r="O46" s="939">
        <f t="shared" si="51"/>
        <v>2321763510.9948382</v>
      </c>
      <c r="P46" s="939">
        <f t="shared" si="51"/>
        <v>2309085176.2931099</v>
      </c>
      <c r="Q46" s="939">
        <f t="shared" si="51"/>
        <v>2370006417.5227456</v>
      </c>
      <c r="R46" s="939">
        <f t="shared" si="51"/>
        <v>2354875145.707746</v>
      </c>
      <c r="S46" s="939">
        <f t="shared" si="51"/>
        <v>2309942333.1114664</v>
      </c>
      <c r="T46" s="939">
        <f t="shared" si="51"/>
        <v>2240926280.0495057</v>
      </c>
      <c r="U46" s="939">
        <f t="shared" si="51"/>
        <v>2149252754.962359</v>
      </c>
      <c r="V46" s="939">
        <f t="shared" si="51"/>
        <v>2197053063.2577281</v>
      </c>
      <c r="W46" s="939">
        <f t="shared" si="51"/>
        <v>2183130174.607233</v>
      </c>
      <c r="X46" s="939">
        <f t="shared" si="51"/>
        <v>2058153829.0803535</v>
      </c>
      <c r="Y46" s="939">
        <f t="shared" si="51"/>
        <v>1971996006.5119464</v>
      </c>
      <c r="Z46" s="939">
        <f t="shared" si="51"/>
        <v>1998066031.418386</v>
      </c>
      <c r="AA46" s="939">
        <f t="shared" si="51"/>
        <v>1998445120.6481798</v>
      </c>
      <c r="AB46" s="939">
        <f t="shared" si="51"/>
        <v>2172329968.6636295</v>
      </c>
      <c r="AC46" s="939">
        <f t="shared" si="51"/>
        <v>2126250695.392638</v>
      </c>
      <c r="AD46" s="939">
        <f t="shared" si="51"/>
        <v>2155943915.713429</v>
      </c>
      <c r="AE46" s="939">
        <f t="shared" si="51"/>
        <v>2084063968.0044785</v>
      </c>
      <c r="AF46" s="939">
        <f t="shared" si="51"/>
        <v>2078319783.8385541</v>
      </c>
      <c r="AG46" s="939">
        <f t="shared" si="51"/>
        <v>2161027996.3398986</v>
      </c>
      <c r="AH46" s="939">
        <f t="shared" si="51"/>
        <v>2298338796.4189463</v>
      </c>
      <c r="AI46" s="939">
        <f t="shared" si="51"/>
        <v>2168534986.464056</v>
      </c>
      <c r="AJ46" s="939">
        <f t="shared" si="51"/>
        <v>1996598786.3018429</v>
      </c>
      <c r="AK46" s="939">
        <f t="shared" si="51"/>
        <v>2066867308.0044265</v>
      </c>
      <c r="AL46" s="939">
        <f t="shared" si="51"/>
        <v>2061637313.8987429</v>
      </c>
      <c r="AM46" s="939">
        <f t="shared" si="51"/>
        <v>2079319473.9858127</v>
      </c>
      <c r="AN46" s="939">
        <f t="shared" si="51"/>
        <v>2043607873.344322</v>
      </c>
      <c r="AO46" s="939">
        <f t="shared" si="51"/>
        <v>2021733716.4647956</v>
      </c>
      <c r="AP46" s="939">
        <f t="shared" si="51"/>
        <v>2030302311.0931184</v>
      </c>
      <c r="AQ46" s="939">
        <f t="shared" si="51"/>
        <v>2106725230.3468509</v>
      </c>
      <c r="AR46" s="939">
        <f t="shared" si="51"/>
        <v>2063808655.3179741</v>
      </c>
      <c r="AS46" s="939">
        <f t="shared" si="51"/>
        <v>2100746413.6732726</v>
      </c>
      <c r="AT46" s="939">
        <f t="shared" si="51"/>
        <v>2036375890.9193358</v>
      </c>
      <c r="AU46" s="866">
        <f t="shared" si="51"/>
        <v>2218759163.4836602</v>
      </c>
      <c r="AV46" s="866">
        <f t="shared" si="51"/>
        <v>2047869319.0818229</v>
      </c>
      <c r="AW46" s="866">
        <f t="shared" si="51"/>
        <v>2105486707.7168753</v>
      </c>
      <c r="AX46" s="866">
        <f t="shared" si="51"/>
        <v>2167025088.990519</v>
      </c>
      <c r="AY46" s="866">
        <f t="shared" si="51"/>
        <v>2188479477.0520201</v>
      </c>
      <c r="AZ46" s="866">
        <f t="shared" si="51"/>
        <v>2227859911.8523211</v>
      </c>
      <c r="BA46" s="866">
        <f t="shared" si="51"/>
        <v>2226756367.2073298</v>
      </c>
      <c r="BB46" s="866">
        <f t="shared" si="51"/>
        <v>2300583842.6701603</v>
      </c>
      <c r="BC46" s="866">
        <f t="shared" si="51"/>
        <v>2398161506.4858074</v>
      </c>
      <c r="BD46" s="866">
        <f t="shared" si="51"/>
        <v>2379593378.7094193</v>
      </c>
      <c r="BE46" s="866">
        <f t="shared" si="51"/>
        <v>2665227006.5160789</v>
      </c>
      <c r="BF46" s="866">
        <f t="shared" si="51"/>
        <v>2465742350.1192856</v>
      </c>
      <c r="BG46" s="866">
        <f t="shared" si="51"/>
        <v>2331016986.7637954</v>
      </c>
      <c r="BH46" s="866">
        <f t="shared" si="51"/>
        <v>2266290174.1536002</v>
      </c>
      <c r="BI46" s="866">
        <f t="shared" si="51"/>
        <v>2295418001.5366182</v>
      </c>
      <c r="BJ46" s="866">
        <f t="shared" si="51"/>
        <v>2277314632.9848962</v>
      </c>
      <c r="BK46" s="866">
        <f t="shared" si="51"/>
        <v>2276139817.7251196</v>
      </c>
      <c r="BL46" s="866">
        <f t="shared" si="51"/>
        <v>2203589472.3625798</v>
      </c>
      <c r="BM46" s="866">
        <f t="shared" si="51"/>
        <v>2227933844.4880462</v>
      </c>
      <c r="BN46" s="866">
        <f t="shared" si="51"/>
        <v>2243953580.8002701</v>
      </c>
      <c r="BO46" s="866">
        <f t="shared" si="51"/>
        <v>2198691316.9743872</v>
      </c>
      <c r="BP46" s="866">
        <f t="shared" si="51"/>
        <v>2250101572.9208026</v>
      </c>
      <c r="BQ46" s="866">
        <f t="shared" si="51"/>
        <v>2215889284.468575</v>
      </c>
      <c r="BR46" s="866">
        <f t="shared" si="51"/>
        <v>2152248846.3929086</v>
      </c>
      <c r="BS46" s="866">
        <f t="shared" ref="BS46:CL47" si="52">BS12*BS2</f>
        <v>2109671997.3095498</v>
      </c>
      <c r="BT46" s="866">
        <f t="shared" si="52"/>
        <v>2166044725.6060715</v>
      </c>
      <c r="BU46" s="866">
        <f t="shared" si="52"/>
        <v>1997268865.4747066</v>
      </c>
      <c r="BV46" s="866">
        <f t="shared" si="52"/>
        <v>2023452480.5758178</v>
      </c>
      <c r="BW46" s="866">
        <f t="shared" si="52"/>
        <v>2007032713.7785003</v>
      </c>
      <c r="BX46" s="866">
        <f t="shared" si="52"/>
        <v>1945522250.9187005</v>
      </c>
      <c r="BY46" s="866">
        <f t="shared" si="52"/>
        <v>2007535456.3159351</v>
      </c>
      <c r="BZ46" s="866">
        <f t="shared" si="52"/>
        <v>2142708497.3920181</v>
      </c>
      <c r="CA46" s="866">
        <f t="shared" si="52"/>
        <v>1942535651.4879653</v>
      </c>
      <c r="CB46" s="866">
        <f t="shared" si="52"/>
        <v>2136215457.9280553</v>
      </c>
      <c r="CC46" s="866">
        <f t="shared" si="52"/>
        <v>2103190804.3081784</v>
      </c>
      <c r="CD46" s="866">
        <f t="shared" si="52"/>
        <v>2004847940.8761039</v>
      </c>
      <c r="CE46" s="866">
        <f t="shared" si="52"/>
        <v>2065873762.6901414</v>
      </c>
      <c r="CF46" s="866">
        <f t="shared" si="52"/>
        <v>2079056507.8263907</v>
      </c>
      <c r="CG46" s="866">
        <f t="shared" si="52"/>
        <v>2060565189.7553506</v>
      </c>
      <c r="CH46" s="866">
        <f t="shared" si="52"/>
        <v>2097002665.0313573</v>
      </c>
      <c r="CI46" s="866">
        <f t="shared" si="52"/>
        <v>2132602704.9361203</v>
      </c>
      <c r="CJ46" s="866">
        <f t="shared" si="52"/>
        <v>2275101946.6749616</v>
      </c>
      <c r="CK46" s="866">
        <f t="shared" si="52"/>
        <v>2349853146.4857817</v>
      </c>
      <c r="CL46" s="866">
        <f t="shared" si="52"/>
        <v>2415683750.0575304</v>
      </c>
      <c r="CM46" s="356">
        <f t="shared" si="0"/>
        <v>2189429907.949842</v>
      </c>
      <c r="CN46" s="1153"/>
      <c r="CO46" s="1153"/>
      <c r="CP46" s="1153"/>
      <c r="CQ46" s="1153"/>
      <c r="CR46" s="1153"/>
      <c r="CS46" s="1153"/>
      <c r="CT46" s="1153"/>
      <c r="CU46" s="1153"/>
      <c r="CV46" s="1153"/>
      <c r="CW46" s="1153"/>
      <c r="CX46" s="1153"/>
      <c r="CY46" s="1153"/>
      <c r="CZ46" s="1153"/>
      <c r="DA46" s="1153"/>
      <c r="DB46" s="1153"/>
      <c r="DC46" s="1153"/>
      <c r="DD46" s="1153"/>
      <c r="DE46" s="1153"/>
      <c r="DF46" s="1153"/>
      <c r="DG46" s="1153"/>
      <c r="DH46" s="1153"/>
      <c r="DI46" s="1153"/>
      <c r="DJ46" s="1153"/>
      <c r="DK46" s="1153"/>
      <c r="DL46" s="1153"/>
      <c r="DM46" s="1153"/>
      <c r="DN46" s="1153"/>
      <c r="DO46" s="1153"/>
      <c r="DP46" s="1153"/>
      <c r="DQ46" s="1153"/>
      <c r="DR46" s="1153"/>
      <c r="DS46" s="1153"/>
      <c r="DT46" s="1153"/>
      <c r="DU46" s="1153"/>
      <c r="DV46" s="1153"/>
      <c r="DW46" s="1153"/>
      <c r="DX46" s="1153"/>
      <c r="DY46" s="1153"/>
      <c r="DZ46" s="1153"/>
      <c r="EA46" s="1153"/>
      <c r="EB46" s="1153"/>
      <c r="EC46" s="1153"/>
      <c r="ED46" s="1153"/>
      <c r="EE46" s="1153"/>
      <c r="EF46" s="1153"/>
      <c r="EG46" s="1153"/>
      <c r="EH46" s="1153"/>
      <c r="EI46" s="1153"/>
      <c r="EJ46" s="1153"/>
      <c r="EK46" s="1153"/>
      <c r="EL46" s="1153"/>
      <c r="EM46" s="1153"/>
      <c r="EN46" s="1153"/>
      <c r="EO46" s="1153"/>
      <c r="EP46" s="1153"/>
      <c r="EQ46" s="1153"/>
      <c r="ER46" s="1153"/>
      <c r="ES46" s="1153"/>
      <c r="ET46" s="1153"/>
      <c r="EU46" s="1153"/>
      <c r="EV46" s="1153"/>
      <c r="EW46" s="1153"/>
      <c r="EX46" s="1153"/>
      <c r="EY46" s="1153"/>
      <c r="EZ46" s="1153"/>
      <c r="FA46" s="1153"/>
      <c r="FB46" s="1153"/>
      <c r="FC46" s="1153"/>
      <c r="FD46" s="1153"/>
      <c r="FE46" s="1153"/>
      <c r="FF46" s="1153"/>
      <c r="FG46" s="1153"/>
      <c r="FH46" s="1153"/>
      <c r="FI46" s="1153"/>
      <c r="FJ46" s="1153"/>
      <c r="FK46" s="1153"/>
      <c r="FL46" s="1153"/>
      <c r="FM46" s="1153"/>
      <c r="FN46" s="1153"/>
      <c r="FO46" s="1153"/>
      <c r="FP46" s="1153"/>
      <c r="FQ46" s="1153"/>
      <c r="FR46" s="1153"/>
      <c r="FS46" s="1153"/>
      <c r="FT46" s="1153"/>
      <c r="FU46" s="1153"/>
      <c r="FV46" s="1153"/>
    </row>
    <row r="47" spans="1:179" s="75" customFormat="1">
      <c r="A47" s="1148" t="s">
        <v>412</v>
      </c>
      <c r="B47" s="1149" t="s">
        <v>403</v>
      </c>
      <c r="C47" s="1148" t="s">
        <v>352</v>
      </c>
      <c r="D47" s="1148"/>
      <c r="E47" s="1152"/>
      <c r="F47" s="938" t="s">
        <v>0</v>
      </c>
      <c r="G47" s="939">
        <f t="shared" si="51"/>
        <v>966276839.62831879</v>
      </c>
      <c r="H47" s="939">
        <f t="shared" si="51"/>
        <v>806107321.95338333</v>
      </c>
      <c r="I47" s="939">
        <f t="shared" si="51"/>
        <v>739166241.13222921</v>
      </c>
      <c r="J47" s="939">
        <f t="shared" si="51"/>
        <v>565505098.63276041</v>
      </c>
      <c r="K47" s="939">
        <f t="shared" si="51"/>
        <v>598114915.16306257</v>
      </c>
      <c r="L47" s="939">
        <f t="shared" si="51"/>
        <v>669361191.25458336</v>
      </c>
      <c r="M47" s="939">
        <f t="shared" si="51"/>
        <v>618195125.52186668</v>
      </c>
      <c r="N47" s="939">
        <f t="shared" si="51"/>
        <v>635214197.29993749</v>
      </c>
      <c r="O47" s="939">
        <f t="shared" si="51"/>
        <v>553758716.16253114</v>
      </c>
      <c r="P47" s="939">
        <f t="shared" si="51"/>
        <v>538526056.1555438</v>
      </c>
      <c r="Q47" s="939">
        <f t="shared" si="51"/>
        <v>508936483.99871677</v>
      </c>
      <c r="R47" s="939">
        <f t="shared" si="51"/>
        <v>446702837.18759996</v>
      </c>
      <c r="S47" s="939">
        <f t="shared" si="51"/>
        <v>501742113.04979992</v>
      </c>
      <c r="T47" s="939">
        <f t="shared" si="51"/>
        <v>559814208.11178327</v>
      </c>
      <c r="U47" s="939">
        <f t="shared" si="51"/>
        <v>655615764.14069164</v>
      </c>
      <c r="V47" s="939">
        <f t="shared" si="51"/>
        <v>497372515.50000006</v>
      </c>
      <c r="W47" s="939">
        <f t="shared" si="51"/>
        <v>415352601.70833337</v>
      </c>
      <c r="X47" s="939">
        <f t="shared" si="51"/>
        <v>412939623.25</v>
      </c>
      <c r="Y47" s="939">
        <f t="shared" si="51"/>
        <v>454835762.50000006</v>
      </c>
      <c r="Z47" s="939">
        <f t="shared" si="51"/>
        <v>464936105.95833337</v>
      </c>
      <c r="AA47" s="939">
        <f t="shared" si="51"/>
        <v>473840637.08333337</v>
      </c>
      <c r="AB47" s="939">
        <f t="shared" si="51"/>
        <v>422207168.83333337</v>
      </c>
      <c r="AC47" s="939">
        <f t="shared" si="51"/>
        <v>407643882.91666669</v>
      </c>
      <c r="AD47" s="939">
        <f t="shared" si="51"/>
        <v>420755111</v>
      </c>
      <c r="AE47" s="939">
        <f t="shared" si="51"/>
        <v>484688363.25000006</v>
      </c>
      <c r="AF47" s="939">
        <f t="shared" si="51"/>
        <v>565042681.29166675</v>
      </c>
      <c r="AG47" s="939">
        <f t="shared" si="51"/>
        <v>550116380.91666675</v>
      </c>
      <c r="AH47" s="939">
        <f t="shared" si="51"/>
        <v>632307125.04166675</v>
      </c>
      <c r="AI47" s="939">
        <f t="shared" si="51"/>
        <v>728570017.87500012</v>
      </c>
      <c r="AJ47" s="939">
        <f t="shared" si="51"/>
        <v>673776188.45833349</v>
      </c>
      <c r="AK47" s="939">
        <f t="shared" si="51"/>
        <v>591500029.16666675</v>
      </c>
      <c r="AL47" s="939">
        <f t="shared" si="51"/>
        <v>529616740.91666675</v>
      </c>
      <c r="AM47" s="939">
        <f t="shared" si="51"/>
        <v>529830278.83333337</v>
      </c>
      <c r="AN47" s="939">
        <f t="shared" si="51"/>
        <v>474096882.58333337</v>
      </c>
      <c r="AO47" s="939">
        <f t="shared" si="51"/>
        <v>573925858.62500012</v>
      </c>
      <c r="AP47" s="939">
        <f t="shared" si="51"/>
        <v>661113390.00000012</v>
      </c>
      <c r="AQ47" s="939">
        <f t="shared" si="51"/>
        <v>798076609.75</v>
      </c>
      <c r="AR47" s="939">
        <f t="shared" si="51"/>
        <v>795962584.375</v>
      </c>
      <c r="AS47" s="939">
        <f t="shared" si="51"/>
        <v>808070184.25000012</v>
      </c>
      <c r="AT47" s="939">
        <f t="shared" si="51"/>
        <v>802261952.91666675</v>
      </c>
      <c r="AU47" s="866">
        <f t="shared" si="51"/>
        <v>723509169.25</v>
      </c>
      <c r="AV47" s="866">
        <f t="shared" si="51"/>
        <v>666942975.12500012</v>
      </c>
      <c r="AW47" s="866">
        <f t="shared" si="51"/>
        <v>667455466.12500012</v>
      </c>
      <c r="AX47" s="866">
        <f t="shared" si="51"/>
        <v>720348808.08333337</v>
      </c>
      <c r="AY47" s="866">
        <f t="shared" si="51"/>
        <v>812276881.20833349</v>
      </c>
      <c r="AZ47" s="866">
        <f t="shared" si="51"/>
        <v>813622170.08333349</v>
      </c>
      <c r="BA47" s="866">
        <f t="shared" si="51"/>
        <v>864956685.25000012</v>
      </c>
      <c r="BB47" s="866">
        <f t="shared" si="51"/>
        <v>923829088.87500012</v>
      </c>
      <c r="BC47" s="866">
        <f t="shared" si="51"/>
        <v>1026754364.7083335</v>
      </c>
      <c r="BD47" s="866">
        <f t="shared" si="51"/>
        <v>821565780.58333349</v>
      </c>
      <c r="BE47" s="866">
        <f t="shared" si="51"/>
        <v>672772560.25000012</v>
      </c>
      <c r="BF47" s="866">
        <f t="shared" si="51"/>
        <v>649817234.20833337</v>
      </c>
      <c r="BG47" s="866">
        <f t="shared" si="51"/>
        <v>668544509.50000012</v>
      </c>
      <c r="BH47" s="866">
        <f t="shared" si="51"/>
        <v>726285162.16666675</v>
      </c>
      <c r="BI47" s="866">
        <f t="shared" si="51"/>
        <v>762928268.66666675</v>
      </c>
      <c r="BJ47" s="866">
        <f t="shared" si="51"/>
        <v>782125327.37500012</v>
      </c>
      <c r="BK47" s="866">
        <f t="shared" si="51"/>
        <v>637624219.16666675</v>
      </c>
      <c r="BL47" s="866">
        <f t="shared" si="51"/>
        <v>551077301.54166675</v>
      </c>
      <c r="BM47" s="866">
        <f t="shared" si="51"/>
        <v>561967735.29166675</v>
      </c>
      <c r="BN47" s="866">
        <f t="shared" si="51"/>
        <v>530962029.79166675</v>
      </c>
      <c r="BO47" s="866">
        <f t="shared" si="51"/>
        <v>635851854.45833337</v>
      </c>
      <c r="BP47" s="866">
        <f t="shared" si="51"/>
        <v>657397830.25000012</v>
      </c>
      <c r="BQ47" s="866">
        <f t="shared" si="51"/>
        <v>668907523.95833337</v>
      </c>
      <c r="BR47" s="866">
        <f t="shared" si="51"/>
        <v>859831775.25</v>
      </c>
      <c r="BS47" s="866">
        <f t="shared" si="52"/>
        <v>774971807.16666687</v>
      </c>
      <c r="BT47" s="866">
        <f t="shared" si="52"/>
        <v>687015539.29166675</v>
      </c>
      <c r="BU47" s="866">
        <f t="shared" si="52"/>
        <v>374054368.62500006</v>
      </c>
      <c r="BV47" s="866">
        <f t="shared" si="52"/>
        <v>549945550.58333337</v>
      </c>
      <c r="BW47" s="866">
        <f t="shared" si="52"/>
        <v>566217139.83333337</v>
      </c>
      <c r="BX47" s="866">
        <f t="shared" si="52"/>
        <v>575676869.54166675</v>
      </c>
      <c r="BY47" s="866">
        <f t="shared" si="52"/>
        <v>579883566.5</v>
      </c>
      <c r="BZ47" s="866">
        <f t="shared" si="52"/>
        <v>572580569.75000012</v>
      </c>
      <c r="CA47" s="866">
        <f t="shared" si="52"/>
        <v>589941202.37500012</v>
      </c>
      <c r="CB47" s="866">
        <f t="shared" si="52"/>
        <v>680630755.58333337</v>
      </c>
      <c r="CC47" s="866">
        <f t="shared" si="52"/>
        <v>706831857.95833337</v>
      </c>
      <c r="CD47" s="866">
        <f t="shared" si="52"/>
        <v>858251594.66666675</v>
      </c>
      <c r="CE47" s="866">
        <f t="shared" si="52"/>
        <v>942898024.83333337</v>
      </c>
      <c r="CF47" s="866">
        <f t="shared" si="52"/>
        <v>971640228.41666675</v>
      </c>
      <c r="CG47" s="866">
        <f t="shared" si="52"/>
        <v>890858834.54166675</v>
      </c>
      <c r="CH47" s="866">
        <f t="shared" si="52"/>
        <v>771042709.5</v>
      </c>
      <c r="CI47" s="866">
        <f t="shared" si="52"/>
        <v>834783777.625</v>
      </c>
      <c r="CJ47" s="866">
        <f t="shared" si="52"/>
        <v>985925915.04166687</v>
      </c>
      <c r="CK47" s="866">
        <f t="shared" si="52"/>
        <v>1042385340.2083335</v>
      </c>
      <c r="CL47" s="938">
        <f t="shared" si="52"/>
        <v>1045866008.2500002</v>
      </c>
      <c r="CM47" s="356">
        <f t="shared" si="0"/>
        <v>665959906.76013243</v>
      </c>
      <c r="CN47" s="1153"/>
      <c r="CO47" s="1153"/>
      <c r="CP47" s="1153"/>
      <c r="CQ47" s="1153"/>
      <c r="CR47" s="1153"/>
      <c r="CS47" s="1153"/>
      <c r="CT47" s="1153"/>
      <c r="CU47" s="1153"/>
      <c r="CV47" s="1153"/>
      <c r="CW47" s="1153"/>
      <c r="CX47" s="1153"/>
      <c r="CY47" s="1153"/>
      <c r="CZ47" s="1153"/>
      <c r="DA47" s="1153"/>
      <c r="DB47" s="1153"/>
      <c r="DC47" s="1153"/>
      <c r="DD47" s="1153"/>
      <c r="DE47" s="1153"/>
      <c r="DF47" s="1153"/>
      <c r="DG47" s="1153"/>
      <c r="DH47" s="1153"/>
      <c r="DI47" s="1153"/>
      <c r="DJ47" s="1153"/>
      <c r="DK47" s="1153"/>
      <c r="DL47" s="1153"/>
      <c r="DM47" s="1153"/>
      <c r="DN47" s="1153"/>
      <c r="DO47" s="1153"/>
      <c r="DP47" s="1153"/>
      <c r="DQ47" s="1153"/>
      <c r="DR47" s="1153"/>
      <c r="DS47" s="1153"/>
      <c r="DT47" s="1153"/>
      <c r="DU47" s="1153"/>
      <c r="DV47" s="1153"/>
      <c r="DW47" s="1153"/>
      <c r="DX47" s="1153"/>
      <c r="DY47" s="1153"/>
      <c r="DZ47" s="1153"/>
      <c r="EA47" s="1153"/>
      <c r="EB47" s="1153"/>
      <c r="EC47" s="1153"/>
      <c r="ED47" s="1153"/>
      <c r="EE47" s="1153"/>
      <c r="EF47" s="1153"/>
      <c r="EG47" s="1153"/>
      <c r="EH47" s="1153"/>
      <c r="EI47" s="1153"/>
      <c r="EJ47" s="1153"/>
      <c r="EK47" s="1153"/>
      <c r="EL47" s="1153"/>
      <c r="EM47" s="1153"/>
      <c r="EN47" s="1153"/>
      <c r="EO47" s="1153"/>
      <c r="EP47" s="1153"/>
      <c r="EQ47" s="1153"/>
      <c r="ER47" s="1153"/>
      <c r="ES47" s="1153"/>
      <c r="ET47" s="1153"/>
      <c r="EU47" s="1153"/>
      <c r="EV47" s="1153"/>
      <c r="EW47" s="1153"/>
      <c r="EX47" s="1153"/>
      <c r="EY47" s="1153"/>
      <c r="EZ47" s="1153"/>
      <c r="FA47" s="1153"/>
      <c r="FB47" s="1153"/>
      <c r="FC47" s="1153"/>
      <c r="FD47" s="1153"/>
      <c r="FE47" s="1153"/>
      <c r="FF47" s="1153"/>
      <c r="FG47" s="1153"/>
      <c r="FH47" s="1153"/>
      <c r="FI47" s="1153"/>
      <c r="FJ47" s="1153"/>
      <c r="FK47" s="1153"/>
      <c r="FL47" s="1153"/>
      <c r="FM47" s="1153"/>
      <c r="FN47" s="1153"/>
      <c r="FO47" s="1153"/>
      <c r="FP47" s="1153"/>
      <c r="FQ47" s="1153"/>
      <c r="FR47" s="1153"/>
      <c r="FS47" s="1153"/>
      <c r="FT47" s="1153"/>
      <c r="FU47" s="1153"/>
      <c r="FV47" s="1153"/>
    </row>
    <row r="48" spans="1:179">
      <c r="A48" s="1146" t="s">
        <v>412</v>
      </c>
      <c r="B48" s="1151" t="s">
        <v>403</v>
      </c>
      <c r="C48" s="581" t="s">
        <v>352</v>
      </c>
      <c r="D48" s="581"/>
      <c r="E48" s="347"/>
      <c r="F48" s="885" t="s">
        <v>398</v>
      </c>
      <c r="G48" s="941">
        <f t="shared" ref="G48:BR49" si="53">G4*G14</f>
        <v>556625585.65250707</v>
      </c>
      <c r="H48" s="941">
        <f t="shared" si="53"/>
        <v>438835527.40303999</v>
      </c>
      <c r="I48" s="941">
        <f t="shared" si="53"/>
        <v>423976503.311378</v>
      </c>
      <c r="J48" s="941">
        <f t="shared" si="53"/>
        <v>346124986.33125669</v>
      </c>
      <c r="K48" s="941">
        <f t="shared" si="53"/>
        <v>353102550.82908803</v>
      </c>
      <c r="L48" s="941">
        <f t="shared" si="53"/>
        <v>340828462.19349068</v>
      </c>
      <c r="M48" s="941">
        <f t="shared" si="53"/>
        <v>349585250.93480539</v>
      </c>
      <c r="N48" s="941">
        <f t="shared" si="53"/>
        <v>359127243.20921671</v>
      </c>
      <c r="O48" s="941">
        <f t="shared" si="53"/>
        <v>332970476.15172005</v>
      </c>
      <c r="P48" s="941">
        <f t="shared" si="53"/>
        <v>320690470.17301506</v>
      </c>
      <c r="Q48" s="941">
        <f t="shared" si="53"/>
        <v>308686908.14997339</v>
      </c>
      <c r="R48" s="941">
        <f t="shared" si="53"/>
        <v>270778857.16742402</v>
      </c>
      <c r="S48" s="941">
        <f t="shared" si="53"/>
        <v>281551870.52743602</v>
      </c>
      <c r="T48" s="941">
        <f t="shared" si="53"/>
        <v>341211434.68296802</v>
      </c>
      <c r="U48" s="941">
        <f t="shared" si="53"/>
        <v>374690484.70866168</v>
      </c>
      <c r="V48" s="941">
        <f t="shared" si="53"/>
        <v>312097333.33333337</v>
      </c>
      <c r="W48" s="941">
        <f t="shared" si="53"/>
        <v>254841333.33333334</v>
      </c>
      <c r="X48" s="941">
        <f t="shared" si="53"/>
        <v>252937333.33333334</v>
      </c>
      <c r="Y48" s="941">
        <f t="shared" si="53"/>
        <v>276159333.33333337</v>
      </c>
      <c r="Z48" s="941">
        <f t="shared" si="53"/>
        <v>301761333.33333337</v>
      </c>
      <c r="AA48" s="941">
        <f t="shared" si="53"/>
        <v>290926666.66666669</v>
      </c>
      <c r="AB48" s="941">
        <f t="shared" si="53"/>
        <v>246284666.66666669</v>
      </c>
      <c r="AC48" s="941">
        <f t="shared" si="53"/>
        <v>230248000</v>
      </c>
      <c r="AD48" s="941">
        <f t="shared" si="53"/>
        <v>253356666.66666669</v>
      </c>
      <c r="AE48" s="941">
        <f t="shared" si="53"/>
        <v>292785333.33333337</v>
      </c>
      <c r="AF48" s="941">
        <f t="shared" si="53"/>
        <v>353860666.66666669</v>
      </c>
      <c r="AG48" s="941">
        <f t="shared" si="53"/>
        <v>337518000</v>
      </c>
      <c r="AH48" s="941">
        <f t="shared" si="53"/>
        <v>399409333.33333337</v>
      </c>
      <c r="AI48" s="941">
        <f t="shared" si="53"/>
        <v>475807333.33333337</v>
      </c>
      <c r="AJ48" s="941">
        <f t="shared" si="53"/>
        <v>467522666.66666669</v>
      </c>
      <c r="AK48" s="941">
        <f t="shared" si="53"/>
        <v>374158666.66666669</v>
      </c>
      <c r="AL48" s="941">
        <f t="shared" si="53"/>
        <v>297817333.33333337</v>
      </c>
      <c r="AM48" s="941">
        <f t="shared" si="53"/>
        <v>297930666.66666669</v>
      </c>
      <c r="AN48" s="941">
        <f t="shared" si="53"/>
        <v>278426000</v>
      </c>
      <c r="AO48" s="941">
        <f t="shared" si="53"/>
        <v>348930666.66666669</v>
      </c>
      <c r="AP48" s="941">
        <f t="shared" si="53"/>
        <v>382273333.33333337</v>
      </c>
      <c r="AQ48" s="941">
        <f t="shared" si="53"/>
        <v>446873333.33333337</v>
      </c>
      <c r="AR48" s="941">
        <f t="shared" si="53"/>
        <v>445683333.33333337</v>
      </c>
      <c r="AS48" s="941">
        <f t="shared" si="53"/>
        <v>433352666.66666669</v>
      </c>
      <c r="AT48" s="941">
        <f t="shared" si="53"/>
        <v>430236000</v>
      </c>
      <c r="AU48" s="868">
        <f t="shared" si="53"/>
        <v>386319333.33333337</v>
      </c>
      <c r="AV48" s="868">
        <f t="shared" si="53"/>
        <v>358643333.33333337</v>
      </c>
      <c r="AW48" s="868">
        <f t="shared" si="53"/>
        <v>366610666.66666669</v>
      </c>
      <c r="AX48" s="868">
        <f t="shared" si="53"/>
        <v>403874666.66666669</v>
      </c>
      <c r="AY48" s="868">
        <f t="shared" si="53"/>
        <v>450896666.66666669</v>
      </c>
      <c r="AZ48" s="868">
        <f t="shared" si="53"/>
        <v>463850666.66666669</v>
      </c>
      <c r="BA48" s="868">
        <f t="shared" si="53"/>
        <v>492558000</v>
      </c>
      <c r="BB48" s="868">
        <f t="shared" si="53"/>
        <v>542730666.66666675</v>
      </c>
      <c r="BC48" s="868">
        <f t="shared" si="53"/>
        <v>569953333.33333337</v>
      </c>
      <c r="BD48" s="868">
        <f t="shared" si="53"/>
        <v>443394000</v>
      </c>
      <c r="BE48" s="868">
        <f t="shared" si="53"/>
        <v>348284666.66666669</v>
      </c>
      <c r="BF48" s="868">
        <f t="shared" si="53"/>
        <v>352330666.66666669</v>
      </c>
      <c r="BG48" s="868">
        <f t="shared" si="53"/>
        <v>396417333.33333337</v>
      </c>
      <c r="BH48" s="868">
        <f t="shared" si="53"/>
        <v>427844666.66666669</v>
      </c>
      <c r="BI48" s="868">
        <f t="shared" si="53"/>
        <v>439948666.66666669</v>
      </c>
      <c r="BJ48" s="868">
        <f t="shared" si="53"/>
        <v>438294000</v>
      </c>
      <c r="BK48" s="868">
        <f t="shared" si="53"/>
        <v>341598000</v>
      </c>
      <c r="BL48" s="868">
        <f t="shared" si="53"/>
        <v>289589333.33333337</v>
      </c>
      <c r="BM48" s="868">
        <f t="shared" si="53"/>
        <v>303518000</v>
      </c>
      <c r="BN48" s="868">
        <f t="shared" si="53"/>
        <v>303155333.33333337</v>
      </c>
      <c r="BO48" s="868">
        <f t="shared" si="53"/>
        <v>365568000</v>
      </c>
      <c r="BP48" s="868">
        <f t="shared" si="53"/>
        <v>377660666.66666669</v>
      </c>
      <c r="BQ48" s="868">
        <f t="shared" si="53"/>
        <v>383973333.33333337</v>
      </c>
      <c r="BR48" s="868">
        <f t="shared" si="53"/>
        <v>498406000</v>
      </c>
      <c r="BS48" s="868">
        <f t="shared" ref="BS48:CL49" si="54">BS4*BS14</f>
        <v>464258666.66666669</v>
      </c>
      <c r="BT48" s="868">
        <f t="shared" si="54"/>
        <v>425702666.66666669</v>
      </c>
      <c r="BU48" s="868">
        <f t="shared" si="54"/>
        <v>216659333.33333334</v>
      </c>
      <c r="BV48" s="868">
        <f t="shared" si="54"/>
        <v>305274666.66666669</v>
      </c>
      <c r="BW48" s="868">
        <f t="shared" si="54"/>
        <v>296344000</v>
      </c>
      <c r="BX48" s="868">
        <f t="shared" si="54"/>
        <v>301806666.66666669</v>
      </c>
      <c r="BY48" s="868">
        <f t="shared" si="54"/>
        <v>304254666.66666669</v>
      </c>
      <c r="BZ48" s="868">
        <f t="shared" si="54"/>
        <v>309139333.33333337</v>
      </c>
      <c r="CA48" s="868">
        <f t="shared" si="54"/>
        <v>331840000</v>
      </c>
      <c r="CB48" s="868">
        <f t="shared" si="54"/>
        <v>386614000</v>
      </c>
      <c r="CC48" s="868">
        <f t="shared" si="54"/>
        <v>401075333.33333337</v>
      </c>
      <c r="CD48" s="868">
        <f t="shared" si="54"/>
        <v>459090666.66666669</v>
      </c>
      <c r="CE48" s="868">
        <f t="shared" si="54"/>
        <v>506101333.33333337</v>
      </c>
      <c r="CF48" s="868">
        <f t="shared" si="54"/>
        <v>513468000</v>
      </c>
      <c r="CG48" s="868">
        <f t="shared" si="54"/>
        <v>468032666.66666669</v>
      </c>
      <c r="CH48" s="868">
        <f t="shared" si="54"/>
        <v>410720000</v>
      </c>
      <c r="CI48" s="868">
        <f t="shared" si="54"/>
        <v>459022666.66666669</v>
      </c>
      <c r="CJ48" s="868">
        <f t="shared" si="54"/>
        <v>547286666.66666675</v>
      </c>
      <c r="CK48" s="868">
        <f t="shared" si="54"/>
        <v>574248666.66666675</v>
      </c>
      <c r="CL48" s="885">
        <f t="shared" si="54"/>
        <v>580561333.33333337</v>
      </c>
      <c r="CM48" s="356">
        <f t="shared" si="0"/>
        <v>379606023.15189666</v>
      </c>
      <c r="CN48" s="347"/>
      <c r="CO48" s="347"/>
      <c r="CP48" s="347"/>
      <c r="CQ48" s="347"/>
      <c r="CR48" s="347"/>
      <c r="CS48" s="347"/>
      <c r="CT48" s="347"/>
      <c r="CU48" s="347"/>
      <c r="CV48" s="347"/>
      <c r="CW48" s="347"/>
      <c r="CX48" s="347"/>
      <c r="CY48" s="347"/>
      <c r="CZ48" s="347"/>
      <c r="DA48" s="347"/>
      <c r="DB48" s="347"/>
      <c r="DC48" s="347"/>
      <c r="DD48" s="347"/>
      <c r="DE48" s="347"/>
      <c r="DF48" s="347"/>
      <c r="DG48" s="347"/>
      <c r="DH48" s="347"/>
      <c r="DI48" s="347"/>
      <c r="DJ48" s="347"/>
      <c r="DK48" s="347"/>
      <c r="DL48" s="347"/>
      <c r="DM48" s="347"/>
      <c r="DN48" s="347"/>
      <c r="DO48" s="347"/>
      <c r="DP48" s="347"/>
      <c r="DQ48" s="347"/>
      <c r="DR48" s="347"/>
      <c r="DS48" s="347"/>
      <c r="DT48" s="347"/>
      <c r="DU48" s="347"/>
      <c r="DV48" s="347"/>
      <c r="DW48" s="347"/>
      <c r="DX48" s="347"/>
      <c r="DY48" s="347"/>
      <c r="DZ48" s="347"/>
      <c r="EA48" s="347"/>
      <c r="EB48" s="347"/>
      <c r="EC48" s="347"/>
      <c r="ED48" s="347"/>
      <c r="EE48" s="347"/>
      <c r="EF48" s="347"/>
      <c r="EG48" s="347"/>
      <c r="EH48" s="347"/>
      <c r="EI48" s="347"/>
      <c r="EJ48" s="347"/>
      <c r="EK48" s="347"/>
      <c r="EL48" s="347"/>
      <c r="EM48" s="347"/>
      <c r="EN48" s="347"/>
      <c r="EO48" s="347"/>
      <c r="EP48" s="347"/>
      <c r="EQ48" s="347"/>
      <c r="ER48" s="347"/>
      <c r="ES48" s="347"/>
      <c r="ET48" s="347"/>
      <c r="EU48" s="347"/>
      <c r="EV48" s="347"/>
      <c r="EW48" s="347"/>
      <c r="EX48" s="347"/>
      <c r="EY48" s="347"/>
      <c r="EZ48" s="347"/>
      <c r="FA48" s="347"/>
      <c r="FB48" s="347"/>
      <c r="FC48" s="347"/>
      <c r="FD48" s="347"/>
      <c r="FE48" s="347"/>
      <c r="FF48" s="347"/>
      <c r="FG48" s="347"/>
      <c r="FH48" s="347"/>
      <c r="FI48" s="347"/>
      <c r="FJ48" s="347"/>
      <c r="FK48" s="347"/>
      <c r="FL48" s="347"/>
      <c r="FM48" s="347"/>
      <c r="FN48" s="347"/>
      <c r="FO48" s="347"/>
      <c r="FP48" s="347"/>
      <c r="FQ48" s="347"/>
      <c r="FR48" s="347"/>
      <c r="FS48" s="347"/>
      <c r="FT48" s="347"/>
      <c r="FU48" s="347"/>
      <c r="FV48" s="347"/>
    </row>
    <row r="49" spans="1:178">
      <c r="A49" s="1146" t="s">
        <v>412</v>
      </c>
      <c r="B49" s="1151" t="s">
        <v>403</v>
      </c>
      <c r="C49" s="581" t="s">
        <v>352</v>
      </c>
      <c r="D49" s="581"/>
      <c r="E49" s="347"/>
      <c r="F49" s="885" t="s">
        <v>1</v>
      </c>
      <c r="G49" s="941">
        <f t="shared" si="53"/>
        <v>3908726441.9254236</v>
      </c>
      <c r="H49" s="941">
        <f t="shared" si="53"/>
        <v>3514027412.0427394</v>
      </c>
      <c r="I49" s="941">
        <f t="shared" si="53"/>
        <v>2798493904.8734527</v>
      </c>
      <c r="J49" s="941">
        <f t="shared" si="53"/>
        <v>2201640324.2780237</v>
      </c>
      <c r="K49" s="941">
        <f t="shared" si="53"/>
        <v>2795279090.8724008</v>
      </c>
      <c r="L49" s="941">
        <f t="shared" si="53"/>
        <v>2788165924.7509313</v>
      </c>
      <c r="M49" s="941">
        <f t="shared" si="53"/>
        <v>2940994934.8748651</v>
      </c>
      <c r="N49" s="941">
        <f t="shared" si="53"/>
        <v>3133489098.1868234</v>
      </c>
      <c r="O49" s="941">
        <f t="shared" si="53"/>
        <v>3043752198.4173245</v>
      </c>
      <c r="P49" s="941">
        <f t="shared" si="53"/>
        <v>2616226283.4299817</v>
      </c>
      <c r="Q49" s="941">
        <f t="shared" si="53"/>
        <v>2323914395.7946377</v>
      </c>
      <c r="R49" s="941">
        <f t="shared" si="53"/>
        <v>2475752873.247715</v>
      </c>
      <c r="S49" s="941">
        <f t="shared" si="53"/>
        <v>2568613966.47861</v>
      </c>
      <c r="T49" s="941">
        <f t="shared" si="53"/>
        <v>2590706486.8260255</v>
      </c>
      <c r="U49" s="941">
        <f t="shared" si="53"/>
        <v>2392086502.4334245</v>
      </c>
      <c r="V49" s="941">
        <f t="shared" si="53"/>
        <v>1943909562.9578621</v>
      </c>
      <c r="W49" s="941">
        <f t="shared" si="53"/>
        <v>1851023834.6114604</v>
      </c>
      <c r="X49" s="941">
        <f t="shared" si="53"/>
        <v>2082228601.2618918</v>
      </c>
      <c r="Y49" s="941">
        <f t="shared" si="53"/>
        <v>2263778272.85075</v>
      </c>
      <c r="Z49" s="941">
        <f t="shared" si="53"/>
        <v>2380817684.0573997</v>
      </c>
      <c r="AA49" s="941">
        <f t="shared" si="53"/>
        <v>2467977651.6681862</v>
      </c>
      <c r="AB49" s="941">
        <f t="shared" si="53"/>
        <v>2247541077.5238752</v>
      </c>
      <c r="AC49" s="941">
        <f t="shared" si="53"/>
        <v>2149175570.5388184</v>
      </c>
      <c r="AD49" s="941">
        <f t="shared" si="53"/>
        <v>2294004640.6213126</v>
      </c>
      <c r="AE49" s="941">
        <f t="shared" si="53"/>
        <v>2568648598.8331499</v>
      </c>
      <c r="AF49" s="941">
        <f t="shared" si="53"/>
        <v>2555502509.2420568</v>
      </c>
      <c r="AG49" s="941">
        <f t="shared" si="53"/>
        <v>2814177863.6811876</v>
      </c>
      <c r="AH49" s="941">
        <f t="shared" si="53"/>
        <v>3030993744.0412869</v>
      </c>
      <c r="AI49" s="941">
        <f t="shared" si="53"/>
        <v>3023739296.3219528</v>
      </c>
      <c r="AJ49" s="941">
        <f t="shared" si="53"/>
        <v>2673208153.3631248</v>
      </c>
      <c r="AK49" s="941">
        <f t="shared" si="53"/>
        <v>2698122228.583066</v>
      </c>
      <c r="AL49" s="941">
        <f t="shared" si="53"/>
        <v>2511967792.3475623</v>
      </c>
      <c r="AM49" s="941">
        <f t="shared" si="53"/>
        <v>2322321101.8959374</v>
      </c>
      <c r="AN49" s="941">
        <f t="shared" si="53"/>
        <v>2377323717.4753995</v>
      </c>
      <c r="AO49" s="941">
        <f t="shared" si="53"/>
        <v>2590965283.9215765</v>
      </c>
      <c r="AP49" s="941">
        <f t="shared" si="53"/>
        <v>2857051662.2025003</v>
      </c>
      <c r="AQ49" s="941">
        <f t="shared" si="53"/>
        <v>3007101814.8839998</v>
      </c>
      <c r="AR49" s="941">
        <f t="shared" si="53"/>
        <v>3345439935.2438354</v>
      </c>
      <c r="AS49" s="941">
        <f t="shared" si="53"/>
        <v>3329077151.9879999</v>
      </c>
      <c r="AT49" s="941">
        <f t="shared" si="53"/>
        <v>3385733570.6035233</v>
      </c>
      <c r="AU49" s="868">
        <f t="shared" si="53"/>
        <v>3175395890.0502634</v>
      </c>
      <c r="AV49" s="868">
        <f t="shared" si="53"/>
        <v>3270888466.2149997</v>
      </c>
      <c r="AW49" s="868">
        <f t="shared" si="53"/>
        <v>3503378933.1210003</v>
      </c>
      <c r="AX49" s="868">
        <f t="shared" si="53"/>
        <v>3997467856.2815628</v>
      </c>
      <c r="AY49" s="868">
        <f t="shared" si="53"/>
        <v>3827197556.5950003</v>
      </c>
      <c r="AZ49" s="868">
        <f t="shared" si="53"/>
        <v>3955764474.8047833</v>
      </c>
      <c r="BA49" s="868">
        <f t="shared" si="53"/>
        <v>4027188121.7728119</v>
      </c>
      <c r="BB49" s="868">
        <f t="shared" si="53"/>
        <v>4366514201.1566248</v>
      </c>
      <c r="BC49" s="868">
        <f t="shared" si="53"/>
        <v>4401538365.7284374</v>
      </c>
      <c r="BD49" s="868">
        <f t="shared" si="53"/>
        <v>3253515034.0389066</v>
      </c>
      <c r="BE49" s="868">
        <f t="shared" si="53"/>
        <v>2884142496.7695088</v>
      </c>
      <c r="BF49" s="868">
        <f t="shared" si="53"/>
        <v>2895251978.0193071</v>
      </c>
      <c r="BG49" s="868">
        <f t="shared" si="53"/>
        <v>3200931847.5954165</v>
      </c>
      <c r="BH49" s="868">
        <f t="shared" si="53"/>
        <v>3330465177.27</v>
      </c>
      <c r="BI49" s="868">
        <f t="shared" si="53"/>
        <v>3540156749.2486877</v>
      </c>
      <c r="BJ49" s="868">
        <f t="shared" si="53"/>
        <v>3359852762.0714064</v>
      </c>
      <c r="BK49" s="868">
        <f t="shared" si="53"/>
        <v>2871681980.634655</v>
      </c>
      <c r="BL49" s="868">
        <f t="shared" si="53"/>
        <v>3078803724.0974998</v>
      </c>
      <c r="BM49" s="868">
        <f t="shared" si="53"/>
        <v>2871881209.8457031</v>
      </c>
      <c r="BN49" s="868">
        <f t="shared" si="53"/>
        <v>3064046380.3826499</v>
      </c>
      <c r="BO49" s="868">
        <f t="shared" si="53"/>
        <v>3091743059.4902725</v>
      </c>
      <c r="BP49" s="868">
        <f t="shared" si="53"/>
        <v>3310469807.897625</v>
      </c>
      <c r="BQ49" s="868">
        <f t="shared" si="53"/>
        <v>3465963396.7326002</v>
      </c>
      <c r="BR49" s="868">
        <f t="shared" si="53"/>
        <v>3375550707.8905001</v>
      </c>
      <c r="BS49" s="868">
        <f t="shared" si="54"/>
        <v>2977773967.9970622</v>
      </c>
      <c r="BT49" s="868">
        <f t="shared" si="54"/>
        <v>1704568501.6545341</v>
      </c>
      <c r="BU49" s="868">
        <f t="shared" si="54"/>
        <v>781251109.03849995</v>
      </c>
      <c r="BV49" s="868">
        <f t="shared" si="54"/>
        <v>1372235978.7604997</v>
      </c>
      <c r="BW49" s="868">
        <f t="shared" si="54"/>
        <v>2356759428.4493442</v>
      </c>
      <c r="BX49" s="868">
        <f t="shared" si="54"/>
        <v>2592096826.9034996</v>
      </c>
      <c r="BY49" s="868">
        <f t="shared" si="54"/>
        <v>2557482639.7951689</v>
      </c>
      <c r="BZ49" s="868">
        <f t="shared" si="54"/>
        <v>2534214451.5779314</v>
      </c>
      <c r="CA49" s="868">
        <f t="shared" si="54"/>
        <v>2505866636.154716</v>
      </c>
      <c r="CB49" s="868">
        <f t="shared" si="54"/>
        <v>2457485181.05475</v>
      </c>
      <c r="CC49" s="868">
        <f t="shared" si="54"/>
        <v>2829117170.8721247</v>
      </c>
      <c r="CD49" s="868">
        <f t="shared" si="54"/>
        <v>3301760915.4732561</v>
      </c>
      <c r="CE49" s="868">
        <f t="shared" si="54"/>
        <v>3636669870.2056584</v>
      </c>
      <c r="CF49" s="868">
        <f t="shared" si="54"/>
        <v>3778958522.006063</v>
      </c>
      <c r="CG49" s="868">
        <f t="shared" si="54"/>
        <v>3700268467.2624378</v>
      </c>
      <c r="CH49" s="868">
        <f t="shared" si="54"/>
        <v>3864891983.7502022</v>
      </c>
      <c r="CI49" s="868">
        <f t="shared" si="54"/>
        <v>4193015122.5048661</v>
      </c>
      <c r="CJ49" s="868">
        <f t="shared" si="54"/>
        <v>4506358737.0811567</v>
      </c>
      <c r="CK49" s="868">
        <f t="shared" si="54"/>
        <v>4202014312.7192988</v>
      </c>
      <c r="CL49" s="885">
        <f t="shared" si="54"/>
        <v>4439291031.5641661</v>
      </c>
      <c r="CM49" s="356">
        <f t="shared" si="0"/>
        <v>2967566335.6153293</v>
      </c>
      <c r="CN49" s="347"/>
      <c r="CO49" s="347"/>
      <c r="CP49" s="347"/>
      <c r="CQ49" s="347"/>
      <c r="CR49" s="347"/>
      <c r="CS49" s="347"/>
      <c r="CT49" s="347"/>
      <c r="CU49" s="347"/>
      <c r="CV49" s="347"/>
      <c r="CW49" s="347"/>
      <c r="CX49" s="347"/>
      <c r="CY49" s="347"/>
      <c r="CZ49" s="347"/>
      <c r="DA49" s="347"/>
      <c r="DB49" s="347"/>
      <c r="DC49" s="347"/>
      <c r="DD49" s="347"/>
      <c r="DE49" s="347"/>
      <c r="DF49" s="347"/>
      <c r="DG49" s="347"/>
      <c r="DH49" s="347"/>
      <c r="DI49" s="347"/>
      <c r="DJ49" s="347"/>
      <c r="DK49" s="347"/>
      <c r="DL49" s="347"/>
      <c r="DM49" s="347"/>
      <c r="DN49" s="347"/>
      <c r="DO49" s="347"/>
      <c r="DP49" s="347"/>
      <c r="DQ49" s="347"/>
      <c r="DR49" s="347"/>
      <c r="DS49" s="347"/>
      <c r="DT49" s="347"/>
      <c r="DU49" s="347"/>
      <c r="DV49" s="347"/>
      <c r="DW49" s="347"/>
      <c r="DX49" s="942"/>
      <c r="DY49" s="347"/>
      <c r="DZ49" s="347"/>
      <c r="EA49" s="347"/>
      <c r="EB49" s="347"/>
      <c r="EC49" s="347"/>
      <c r="ED49" s="347"/>
      <c r="EE49" s="347"/>
      <c r="EF49" s="347"/>
      <c r="EG49" s="347"/>
      <c r="EH49" s="347"/>
      <c r="EI49" s="347"/>
      <c r="EJ49" s="347"/>
      <c r="EK49" s="347"/>
      <c r="EL49" s="347"/>
      <c r="EM49" s="347"/>
      <c r="EN49" s="347"/>
      <c r="EO49" s="347"/>
      <c r="EP49" s="347"/>
      <c r="EQ49" s="347"/>
      <c r="ER49" s="347"/>
      <c r="ES49" s="347"/>
      <c r="ET49" s="347"/>
      <c r="EU49" s="347"/>
      <c r="EV49" s="347"/>
      <c r="EW49" s="347"/>
      <c r="EX49" s="347"/>
      <c r="EY49" s="347"/>
      <c r="EZ49" s="347"/>
      <c r="FA49" s="347"/>
      <c r="FB49" s="347"/>
      <c r="FC49" s="347"/>
      <c r="FD49" s="347"/>
      <c r="FE49" s="347"/>
      <c r="FF49" s="347"/>
      <c r="FG49" s="347"/>
      <c r="FH49" s="347"/>
      <c r="FI49" s="347"/>
      <c r="FJ49" s="347"/>
      <c r="FK49" s="347"/>
      <c r="FL49" s="347"/>
      <c r="FM49" s="347"/>
      <c r="FN49" s="347"/>
      <c r="FO49" s="347"/>
      <c r="FP49" s="347"/>
      <c r="FQ49" s="347"/>
      <c r="FR49" s="347"/>
      <c r="FS49" s="347"/>
      <c r="FT49" s="347"/>
      <c r="FU49" s="347"/>
      <c r="FV49" s="347"/>
    </row>
    <row r="50" spans="1:178">
      <c r="A50" s="1146" t="s">
        <v>413</v>
      </c>
      <c r="B50" s="1151" t="s">
        <v>403</v>
      </c>
      <c r="C50" s="581" t="s">
        <v>352</v>
      </c>
      <c r="D50" s="581"/>
      <c r="E50" s="347"/>
      <c r="F50" s="885" t="s">
        <v>421</v>
      </c>
      <c r="G50" s="941">
        <f t="shared" ref="G50:BR50" si="55">G46*$CO$4+G47*$CP$4+G48*$CQ$4+G49*$CR$4</f>
        <v>5579363468.0984802</v>
      </c>
      <c r="H50" s="941">
        <f t="shared" si="55"/>
        <v>5266836011.6020136</v>
      </c>
      <c r="I50" s="941">
        <f t="shared" si="55"/>
        <v>4929320083.5202894</v>
      </c>
      <c r="J50" s="941">
        <f t="shared" si="55"/>
        <v>4215184737.7772903</v>
      </c>
      <c r="K50" s="941">
        <f t="shared" si="55"/>
        <v>4526506259.8207388</v>
      </c>
      <c r="L50" s="941">
        <f t="shared" si="55"/>
        <v>4579773313.3435383</v>
      </c>
      <c r="M50" s="941">
        <f t="shared" si="55"/>
        <v>4593513899.1724081</v>
      </c>
      <c r="N50" s="941">
        <f t="shared" si="55"/>
        <v>4737499230.7403355</v>
      </c>
      <c r="O50" s="941">
        <f t="shared" si="55"/>
        <v>4612633747.8817558</v>
      </c>
      <c r="P50" s="941">
        <f t="shared" si="55"/>
        <v>4335473649.9223614</v>
      </c>
      <c r="Q50" s="941">
        <f t="shared" si="55"/>
        <v>4200033695.5554452</v>
      </c>
      <c r="R50" s="941">
        <f t="shared" si="55"/>
        <v>4210148052.3324685</v>
      </c>
      <c r="S50" s="941">
        <f t="shared" si="55"/>
        <v>4261923959.2087278</v>
      </c>
      <c r="T50" s="941">
        <f t="shared" si="55"/>
        <v>4279231241.5135775</v>
      </c>
      <c r="U50" s="941">
        <f t="shared" si="55"/>
        <v>4156009615.6059389</v>
      </c>
      <c r="V50" s="941">
        <f t="shared" si="55"/>
        <v>3803536596.0708318</v>
      </c>
      <c r="W50" s="941">
        <f t="shared" si="55"/>
        <v>3648958494.0587234</v>
      </c>
      <c r="X50" s="941">
        <f t="shared" si="55"/>
        <v>3656655291.5054412</v>
      </c>
      <c r="Y50" s="941">
        <f t="shared" si="55"/>
        <v>3717619284.035625</v>
      </c>
      <c r="Z50" s="941">
        <f t="shared" si="55"/>
        <v>3832594450.4607334</v>
      </c>
      <c r="AA50" s="941">
        <f t="shared" si="55"/>
        <v>3883008853.5009518</v>
      </c>
      <c r="AB50" s="941">
        <f t="shared" si="55"/>
        <v>3867401595.571887</v>
      </c>
      <c r="AC50" s="941">
        <f t="shared" si="55"/>
        <v>3746074497.5740352</v>
      </c>
      <c r="AD50" s="941">
        <f t="shared" si="55"/>
        <v>3881253028.8852549</v>
      </c>
      <c r="AE50" s="941">
        <f t="shared" si="55"/>
        <v>4034083904.3591795</v>
      </c>
      <c r="AF50" s="941">
        <f t="shared" si="55"/>
        <v>4108961702.9080467</v>
      </c>
      <c r="AG50" s="941">
        <f t="shared" si="55"/>
        <v>4321162591.1146917</v>
      </c>
      <c r="AH50" s="941">
        <f t="shared" si="55"/>
        <v>4672186912.5576124</v>
      </c>
      <c r="AI50" s="941">
        <f t="shared" si="55"/>
        <v>4647235953.9969883</v>
      </c>
      <c r="AJ50" s="941">
        <f t="shared" si="55"/>
        <v>4233628431.9714403</v>
      </c>
      <c r="AK50" s="941">
        <f t="shared" si="55"/>
        <v>4209354250.7671118</v>
      </c>
      <c r="AL50" s="941">
        <f t="shared" si="55"/>
        <v>4011549872.7750678</v>
      </c>
      <c r="AM50" s="941">
        <f t="shared" si="55"/>
        <v>3919429481.3738241</v>
      </c>
      <c r="AN50" s="941">
        <f t="shared" si="55"/>
        <v>3868074781.8384337</v>
      </c>
      <c r="AO50" s="941">
        <f t="shared" si="55"/>
        <v>4076571781.4667993</v>
      </c>
      <c r="AP50" s="941">
        <f t="shared" si="55"/>
        <v>4315685461.0914993</v>
      </c>
      <c r="AQ50" s="941">
        <f t="shared" si="55"/>
        <v>4605463164.8580647</v>
      </c>
      <c r="AR50" s="941">
        <f t="shared" si="55"/>
        <v>4756865457.373642</v>
      </c>
      <c r="AS50" s="941">
        <f t="shared" si="55"/>
        <v>4784702607.9471903</v>
      </c>
      <c r="AT50" s="941">
        <f t="shared" si="55"/>
        <v>4748287494.4235411</v>
      </c>
      <c r="AU50" s="868">
        <f t="shared" si="55"/>
        <v>4729521663.6625338</v>
      </c>
      <c r="AV50" s="868">
        <f t="shared" si="55"/>
        <v>4562780890.9295702</v>
      </c>
      <c r="AW50" s="868">
        <f t="shared" si="55"/>
        <v>4759253284.624259</v>
      </c>
      <c r="AX50" s="868">
        <f t="shared" si="55"/>
        <v>5162434098.0424719</v>
      </c>
      <c r="AY50" s="868">
        <f t="shared" si="55"/>
        <v>5172685597.3599186</v>
      </c>
      <c r="AZ50" s="868">
        <f t="shared" si="55"/>
        <v>5294408779.2394199</v>
      </c>
      <c r="BA50" s="868">
        <f t="shared" si="55"/>
        <v>5385023207.8226042</v>
      </c>
      <c r="BB50" s="868">
        <f t="shared" si="55"/>
        <v>5722148049.1834803</v>
      </c>
      <c r="BC50" s="868">
        <f t="shared" si="55"/>
        <v>5922224327.4667253</v>
      </c>
      <c r="BD50" s="868">
        <f t="shared" si="55"/>
        <v>5031125419.8981066</v>
      </c>
      <c r="BE50" s="868">
        <f t="shared" si="55"/>
        <v>4946628720.0969753</v>
      </c>
      <c r="BF50" s="868">
        <f t="shared" si="55"/>
        <v>4743236790.7403812</v>
      </c>
      <c r="BG50" s="868">
        <f t="shared" si="55"/>
        <v>4824937535.4449215</v>
      </c>
      <c r="BH50" s="868">
        <f t="shared" si="55"/>
        <v>4892122173.6849194</v>
      </c>
      <c r="BI50" s="868">
        <f t="shared" si="55"/>
        <v>5073386781.8131275</v>
      </c>
      <c r="BJ50" s="868">
        <f t="shared" si="55"/>
        <v>4962772252.3394651</v>
      </c>
      <c r="BK50" s="868">
        <f t="shared" si="55"/>
        <v>4528046636.3823776</v>
      </c>
      <c r="BL50" s="868">
        <f t="shared" si="55"/>
        <v>4489299010.4602146</v>
      </c>
      <c r="BM50" s="868">
        <f t="shared" si="55"/>
        <v>4408773367.4665565</v>
      </c>
      <c r="BN50" s="868">
        <f t="shared" si="55"/>
        <v>4515268471.879817</v>
      </c>
      <c r="BO50" s="868">
        <f t="shared" si="55"/>
        <v>4591647704.2065983</v>
      </c>
      <c r="BP50" s="868">
        <f t="shared" si="55"/>
        <v>4790229636.5082169</v>
      </c>
      <c r="BQ50" s="868">
        <f t="shared" si="55"/>
        <v>4857670363.1274757</v>
      </c>
      <c r="BR50" s="868">
        <f t="shared" si="55"/>
        <v>4934167488.2605114</v>
      </c>
      <c r="BS50" s="868">
        <f t="shared" ref="BS50:CL50" si="56">BS46*$CO$4+BS47*$CP$4+BS48*$CQ$4+BS49*$CR$4</f>
        <v>4586277185.8268204</v>
      </c>
      <c r="BT50" s="868">
        <f t="shared" si="56"/>
        <v>3824730042.5156465</v>
      </c>
      <c r="BU50" s="868">
        <f t="shared" si="56"/>
        <v>2796750166.2238436</v>
      </c>
      <c r="BV50" s="868">
        <f t="shared" si="56"/>
        <v>3331656699.0784039</v>
      </c>
      <c r="BW50" s="868">
        <f t="shared" si="56"/>
        <v>3890944393.8279781</v>
      </c>
      <c r="BX50" s="868">
        <f t="shared" si="56"/>
        <v>3975801978.7078028</v>
      </c>
      <c r="BY50" s="868">
        <f t="shared" si="56"/>
        <v>4021209908.5318851</v>
      </c>
      <c r="BZ50" s="868">
        <f t="shared" si="56"/>
        <v>4139312155.1776147</v>
      </c>
      <c r="CA50" s="868">
        <f t="shared" si="56"/>
        <v>3949690044.1218648</v>
      </c>
      <c r="CB50" s="868">
        <f t="shared" si="56"/>
        <v>4204333298.0738192</v>
      </c>
      <c r="CC50" s="868">
        <f t="shared" si="56"/>
        <v>4412452112.5249949</v>
      </c>
      <c r="CD50" s="868">
        <f t="shared" si="56"/>
        <v>4722022177.9764442</v>
      </c>
      <c r="CE50" s="868">
        <f t="shared" si="56"/>
        <v>5059048905.6492748</v>
      </c>
      <c r="CF50" s="868">
        <f t="shared" si="56"/>
        <v>5177603109.1109295</v>
      </c>
      <c r="CG50" s="868">
        <f t="shared" si="56"/>
        <v>5034387595.2482033</v>
      </c>
      <c r="CH50" s="868">
        <f t="shared" si="56"/>
        <v>5053777088.1632776</v>
      </c>
      <c r="CI50" s="868">
        <f t="shared" si="56"/>
        <v>5348765929.0040646</v>
      </c>
      <c r="CJ50" s="868">
        <f t="shared" si="56"/>
        <v>5821379960.0221691</v>
      </c>
      <c r="CK50" s="868">
        <f t="shared" si="56"/>
        <v>5771742626.303916</v>
      </c>
      <c r="CL50" s="885">
        <f t="shared" si="56"/>
        <v>5980092819.9324665</v>
      </c>
      <c r="CM50" s="356">
        <f t="shared" si="0"/>
        <v>4538518658.9910021</v>
      </c>
      <c r="CN50" s="347"/>
      <c r="CO50" s="347"/>
      <c r="CP50" s="347"/>
      <c r="CQ50" s="347"/>
      <c r="CR50" s="347"/>
      <c r="CS50" s="347"/>
      <c r="CT50" s="347"/>
      <c r="CU50" s="347"/>
      <c r="CV50" s="347"/>
      <c r="CW50" s="347"/>
      <c r="CX50" s="347"/>
      <c r="CY50" s="347"/>
      <c r="CZ50" s="347"/>
      <c r="DA50" s="347"/>
      <c r="DB50" s="347"/>
      <c r="DC50" s="347"/>
      <c r="DD50" s="347"/>
      <c r="DE50" s="347"/>
      <c r="DF50" s="347"/>
      <c r="DG50" s="347"/>
      <c r="DH50" s="347"/>
      <c r="DI50" s="347"/>
      <c r="DJ50" s="347"/>
      <c r="DK50" s="347"/>
      <c r="DL50" s="347"/>
      <c r="DM50" s="347"/>
      <c r="DN50" s="347"/>
      <c r="DO50" s="347"/>
      <c r="DP50" s="347"/>
      <c r="DQ50" s="347"/>
      <c r="DR50" s="347"/>
      <c r="DS50" s="347"/>
      <c r="DT50" s="347"/>
      <c r="DU50" s="347"/>
      <c r="DV50" s="347"/>
      <c r="DW50" s="347"/>
      <c r="DX50" s="347"/>
      <c r="DY50" s="347"/>
      <c r="DZ50" s="347"/>
      <c r="EA50" s="347"/>
      <c r="EB50" s="347"/>
      <c r="EC50" s="347"/>
      <c r="ED50" s="347"/>
      <c r="EE50" s="347"/>
      <c r="EF50" s="347"/>
      <c r="EG50" s="347"/>
      <c r="EH50" s="347"/>
      <c r="EI50" s="347"/>
      <c r="EJ50" s="347"/>
      <c r="EK50" s="347"/>
      <c r="EL50" s="347"/>
      <c r="EM50" s="347"/>
      <c r="EN50" s="347"/>
      <c r="EO50" s="347"/>
      <c r="EP50" s="347"/>
      <c r="EQ50" s="347"/>
      <c r="ER50" s="347"/>
      <c r="ES50" s="347"/>
      <c r="ET50" s="347"/>
      <c r="EU50" s="347"/>
      <c r="EV50" s="347"/>
      <c r="EW50" s="347"/>
      <c r="EX50" s="347"/>
      <c r="EY50" s="347"/>
      <c r="EZ50" s="347"/>
      <c r="FA50" s="347"/>
      <c r="FB50" s="347"/>
      <c r="FC50" s="347"/>
      <c r="FD50" s="347"/>
      <c r="FE50" s="347"/>
      <c r="FF50" s="347"/>
      <c r="FG50" s="347"/>
      <c r="FH50" s="347"/>
      <c r="FI50" s="347"/>
      <c r="FJ50" s="347"/>
      <c r="FK50" s="347"/>
      <c r="FL50" s="347"/>
      <c r="FM50" s="347"/>
      <c r="FN50" s="347"/>
      <c r="FO50" s="347"/>
      <c r="FP50" s="347"/>
      <c r="FQ50" s="347"/>
      <c r="FR50" s="347"/>
      <c r="FS50" s="347"/>
      <c r="FT50" s="347"/>
      <c r="FU50" s="347"/>
      <c r="FV50" s="347"/>
    </row>
    <row r="51" spans="1:178">
      <c r="A51" s="1146" t="s">
        <v>414</v>
      </c>
      <c r="B51" s="1151" t="s">
        <v>403</v>
      </c>
      <c r="C51" s="581" t="s">
        <v>352</v>
      </c>
      <c r="D51" s="581"/>
      <c r="E51" s="347"/>
      <c r="F51" s="885" t="s">
        <v>422</v>
      </c>
      <c r="G51" s="941">
        <f t="shared" ref="G51:BR51" si="57">$CO$5*G46+G47*$CP$5+G48*$CQ$5+G49*$CR$5</f>
        <v>2240213598.8195629</v>
      </c>
      <c r="H51" s="941">
        <f t="shared" si="57"/>
        <v>1970604078.4384861</v>
      </c>
      <c r="I51" s="941">
        <f t="shared" si="57"/>
        <v>1641696382.1226287</v>
      </c>
      <c r="J51" s="941">
        <f t="shared" si="57"/>
        <v>1295515447.1586647</v>
      </c>
      <c r="K51" s="941">
        <f t="shared" si="57"/>
        <v>1558881761.601949</v>
      </c>
      <c r="L51" s="941">
        <f t="shared" si="57"/>
        <v>1575361517.1421461</v>
      </c>
      <c r="M51" s="941">
        <f t="shared" si="57"/>
        <v>1625291751.9623461</v>
      </c>
      <c r="N51" s="941">
        <f t="shared" si="57"/>
        <v>1716387803.4835413</v>
      </c>
      <c r="O51" s="941">
        <f t="shared" si="57"/>
        <v>1639611153.8446584</v>
      </c>
      <c r="P51" s="941">
        <f t="shared" si="57"/>
        <v>1449054336.1292887</v>
      </c>
      <c r="Q51" s="941">
        <f t="shared" si="57"/>
        <v>1311510509.9106281</v>
      </c>
      <c r="R51" s="941">
        <f t="shared" si="57"/>
        <v>1337961660.9780169</v>
      </c>
      <c r="S51" s="941">
        <f t="shared" si="57"/>
        <v>1399926323.9585843</v>
      </c>
      <c r="T51" s="941">
        <f t="shared" si="57"/>
        <v>1453427168.1567049</v>
      </c>
      <c r="U51" s="941">
        <f t="shared" si="57"/>
        <v>1415635890.6391978</v>
      </c>
      <c r="V51" s="941">
        <f t="shared" si="57"/>
        <v>1146895878.978092</v>
      </c>
      <c r="W51" s="941">
        <f t="shared" si="57"/>
        <v>1055389450.2016366</v>
      </c>
      <c r="X51" s="941">
        <f t="shared" si="57"/>
        <v>1149604095.4201374</v>
      </c>
      <c r="Y51" s="941">
        <f t="shared" si="57"/>
        <v>1249150091.1604052</v>
      </c>
      <c r="Z51" s="941">
        <f t="shared" si="57"/>
        <v>1312986704.3067193</v>
      </c>
      <c r="AA51" s="941">
        <f t="shared" si="57"/>
        <v>1348181222.5654142</v>
      </c>
      <c r="AB51" s="941">
        <f t="shared" si="57"/>
        <v>1220961286.1156178</v>
      </c>
      <c r="AC51" s="941">
        <f t="shared" si="57"/>
        <v>1167243651.2740874</v>
      </c>
      <c r="AD51" s="941">
        <f t="shared" si="57"/>
        <v>1242807305.1161532</v>
      </c>
      <c r="AE51" s="941">
        <f t="shared" si="57"/>
        <v>1396102359.0617821</v>
      </c>
      <c r="AF51" s="941">
        <f t="shared" si="57"/>
        <v>1443763938.1308975</v>
      </c>
      <c r="AG51" s="941">
        <f t="shared" si="57"/>
        <v>1541677649.823061</v>
      </c>
      <c r="AH51" s="941">
        <f t="shared" si="57"/>
        <v>1688862086.277621</v>
      </c>
      <c r="AI51" s="941">
        <f t="shared" si="57"/>
        <v>1749415679.9973543</v>
      </c>
      <c r="AJ51" s="941">
        <f t="shared" si="57"/>
        <v>1577477362.818527</v>
      </c>
      <c r="AK51" s="941">
        <f t="shared" si="57"/>
        <v>1521293981.6537142</v>
      </c>
      <c r="AL51" s="941">
        <f t="shared" si="57"/>
        <v>1389489307.7212374</v>
      </c>
      <c r="AM51" s="941">
        <f t="shared" si="57"/>
        <v>1309972040.0079265</v>
      </c>
      <c r="AN51" s="941">
        <f t="shared" si="57"/>
        <v>1305379691.5646212</v>
      </c>
      <c r="AO51" s="941">
        <f t="shared" si="57"/>
        <v>1458983744.2112398</v>
      </c>
      <c r="AP51" s="941">
        <f t="shared" si="57"/>
        <v>1615055235.5374532</v>
      </c>
      <c r="AQ51" s="941">
        <f t="shared" si="57"/>
        <v>1753313823.4561191</v>
      </c>
      <c r="AR51" s="941">
        <f t="shared" si="57"/>
        <v>1894029050.8965011</v>
      </c>
      <c r="AS51" s="941">
        <f t="shared" si="57"/>
        <v>1886543808.6307492</v>
      </c>
      <c r="AT51" s="941">
        <f t="shared" si="57"/>
        <v>1906319920.0159845</v>
      </c>
      <c r="AU51" s="868">
        <f t="shared" si="57"/>
        <v>1774461892.4547231</v>
      </c>
      <c r="AV51" s="868">
        <f t="shared" si="57"/>
        <v>1781563202.8255856</v>
      </c>
      <c r="AW51" s="868">
        <f t="shared" si="57"/>
        <v>1883678489.0052834</v>
      </c>
      <c r="AX51" s="868">
        <f t="shared" si="57"/>
        <v>2126282321.97961</v>
      </c>
      <c r="AY51" s="868">
        <f t="shared" si="57"/>
        <v>2106164984.1621027</v>
      </c>
      <c r="AZ51" s="868">
        <f t="shared" si="57"/>
        <v>2166688444.1676841</v>
      </c>
      <c r="BA51" s="868">
        <f t="shared" si="57"/>
        <v>2226435966.4075375</v>
      </c>
      <c r="BB51" s="868">
        <f t="shared" si="57"/>
        <v>2411509750.1849709</v>
      </c>
      <c r="BC51" s="868">
        <f t="shared" si="57"/>
        <v>2474183242.7891865</v>
      </c>
      <c r="BD51" s="868">
        <f t="shared" si="57"/>
        <v>1866942773.4335532</v>
      </c>
      <c r="BE51" s="868">
        <f t="shared" si="57"/>
        <v>1623798010.1052799</v>
      </c>
      <c r="BF51" s="868">
        <f t="shared" si="57"/>
        <v>1619905438.273211</v>
      </c>
      <c r="BG51" s="868">
        <f t="shared" si="57"/>
        <v>1771973141.7476237</v>
      </c>
      <c r="BH51" s="868">
        <f t="shared" si="57"/>
        <v>1858763006.5720139</v>
      </c>
      <c r="BI51" s="868">
        <f t="shared" si="57"/>
        <v>1965064904.3055115</v>
      </c>
      <c r="BJ51" s="868">
        <f t="shared" si="57"/>
        <v>1894814470.0918374</v>
      </c>
      <c r="BK51" s="868">
        <f t="shared" si="57"/>
        <v>1598997381.1440639</v>
      </c>
      <c r="BL51" s="868">
        <f t="shared" si="57"/>
        <v>1633760820.8748655</v>
      </c>
      <c r="BM51" s="868">
        <f t="shared" si="57"/>
        <v>1556527422.1588588</v>
      </c>
      <c r="BN51" s="868">
        <f t="shared" si="57"/>
        <v>1626848852.4281032</v>
      </c>
      <c r="BO51" s="868">
        <f t="shared" si="57"/>
        <v>1700206526.7163949</v>
      </c>
      <c r="BP51" s="868">
        <f t="shared" si="57"/>
        <v>1805400241.2268772</v>
      </c>
      <c r="BQ51" s="868">
        <f t="shared" si="57"/>
        <v>1877063175.3653667</v>
      </c>
      <c r="BR51" s="868">
        <f t="shared" si="57"/>
        <v>1951869841.2728965</v>
      </c>
      <c r="BS51" s="868">
        <f t="shared" ref="BS51:CL51" si="58">$CO$5*BS46+BS47*$CP$5+BS48*$CQ$5+BS49*$CR$5</f>
        <v>1740399253.3131249</v>
      </c>
      <c r="BT51" s="868">
        <f t="shared" si="58"/>
        <v>1158601390.7032928</v>
      </c>
      <c r="BU51" s="868">
        <f t="shared" si="58"/>
        <v>572483510.24769628</v>
      </c>
      <c r="BV51" s="868">
        <f t="shared" si="58"/>
        <v>919251977.50791335</v>
      </c>
      <c r="BW51" s="868">
        <f t="shared" si="58"/>
        <v>1335408888.2332001</v>
      </c>
      <c r="BX51" s="868">
        <f t="shared" si="58"/>
        <v>1439300635.3227305</v>
      </c>
      <c r="BY51" s="868">
        <f t="shared" si="58"/>
        <v>1427946420.7458858</v>
      </c>
      <c r="BZ51" s="868">
        <f t="shared" si="58"/>
        <v>1419330696.875668</v>
      </c>
      <c r="CA51" s="868">
        <f t="shared" si="58"/>
        <v>1420493445.8958168</v>
      </c>
      <c r="CB51" s="868">
        <f t="shared" si="58"/>
        <v>1456612096.4923191</v>
      </c>
      <c r="CC51" s="868">
        <f t="shared" si="58"/>
        <v>1627763053.9469752</v>
      </c>
      <c r="CD51" s="868">
        <f t="shared" si="58"/>
        <v>1901928939.7062495</v>
      </c>
      <c r="CE51" s="868">
        <f t="shared" si="58"/>
        <v>2092494085.413192</v>
      </c>
      <c r="CF51" s="868">
        <f t="shared" si="58"/>
        <v>2165520149.1381912</v>
      </c>
      <c r="CG51" s="868">
        <f t="shared" si="58"/>
        <v>2085337562.9779186</v>
      </c>
      <c r="CH51" s="868">
        <f t="shared" si="58"/>
        <v>2089880270.1182818</v>
      </c>
      <c r="CI51" s="868">
        <f t="shared" si="58"/>
        <v>2270658342.7285886</v>
      </c>
      <c r="CJ51" s="868">
        <f t="shared" si="58"/>
        <v>2493293305.4422827</v>
      </c>
      <c r="CK51" s="868">
        <f t="shared" si="58"/>
        <v>2396758839.776165</v>
      </c>
      <c r="CL51" s="885">
        <f t="shared" si="58"/>
        <v>2501309303.2725639</v>
      </c>
      <c r="CM51" s="356">
        <f t="shared" si="0"/>
        <v>1664043514.4861979</v>
      </c>
      <c r="CN51" s="347"/>
      <c r="CO51" s="347"/>
      <c r="CP51" s="347"/>
      <c r="CQ51" s="347"/>
      <c r="CR51" s="347"/>
      <c r="CS51" s="347"/>
      <c r="CT51" s="347"/>
      <c r="CU51" s="347"/>
      <c r="CV51" s="347"/>
      <c r="CW51" s="347"/>
      <c r="CX51" s="347"/>
      <c r="CY51" s="347"/>
      <c r="CZ51" s="347"/>
      <c r="DA51" s="347"/>
      <c r="DB51" s="347"/>
      <c r="DC51" s="347"/>
      <c r="DD51" s="347"/>
      <c r="DE51" s="347"/>
      <c r="DF51" s="347"/>
      <c r="DG51" s="347"/>
      <c r="DH51" s="347"/>
      <c r="DI51" s="347"/>
      <c r="DJ51" s="347"/>
      <c r="DK51" s="347"/>
      <c r="DL51" s="347"/>
      <c r="DM51" s="347"/>
      <c r="DN51" s="347"/>
      <c r="DO51" s="347"/>
      <c r="DP51" s="347"/>
      <c r="DQ51" s="347"/>
      <c r="DR51" s="347"/>
      <c r="DS51" s="347"/>
      <c r="DT51" s="347"/>
      <c r="DU51" s="347"/>
      <c r="DV51" s="347"/>
      <c r="DW51" s="347"/>
      <c r="DX51" s="347"/>
      <c r="DY51" s="347"/>
      <c r="DZ51" s="347"/>
      <c r="EA51" s="347"/>
      <c r="EB51" s="347"/>
      <c r="EC51" s="347"/>
      <c r="ED51" s="347"/>
      <c r="EE51" s="347"/>
      <c r="EF51" s="347"/>
      <c r="EG51" s="347"/>
      <c r="EH51" s="347"/>
      <c r="EI51" s="347"/>
      <c r="EJ51" s="347"/>
      <c r="EK51" s="347"/>
      <c r="EL51" s="347"/>
      <c r="EM51" s="347"/>
      <c r="EN51" s="347"/>
      <c r="EO51" s="347"/>
      <c r="EP51" s="347"/>
      <c r="EQ51" s="347"/>
      <c r="ER51" s="347"/>
      <c r="ES51" s="347"/>
      <c r="ET51" s="347"/>
      <c r="EU51" s="347"/>
      <c r="EV51" s="347"/>
      <c r="EW51" s="347"/>
      <c r="EX51" s="347"/>
      <c r="EY51" s="347"/>
      <c r="EZ51" s="347"/>
      <c r="FA51" s="347"/>
      <c r="FB51" s="347"/>
      <c r="FC51" s="347"/>
      <c r="FD51" s="347"/>
      <c r="FE51" s="347"/>
      <c r="FF51" s="347"/>
      <c r="FG51" s="347"/>
      <c r="FH51" s="347"/>
      <c r="FI51" s="347"/>
      <c r="FJ51" s="347"/>
      <c r="FK51" s="347"/>
      <c r="FL51" s="347"/>
      <c r="FM51" s="347"/>
      <c r="FN51" s="347"/>
      <c r="FO51" s="347"/>
      <c r="FP51" s="347"/>
      <c r="FQ51" s="347"/>
      <c r="FR51" s="347"/>
      <c r="FS51" s="347"/>
      <c r="FT51" s="347"/>
      <c r="FU51" s="347"/>
      <c r="FV51" s="347"/>
    </row>
    <row r="52" spans="1:178" s="75" customFormat="1">
      <c r="A52" s="1146" t="s">
        <v>415</v>
      </c>
      <c r="B52" s="1151" t="s">
        <v>403</v>
      </c>
      <c r="C52" s="1146"/>
      <c r="D52" s="1146"/>
      <c r="E52" s="1153"/>
      <c r="F52" s="885" t="s">
        <v>423</v>
      </c>
      <c r="G52" s="943">
        <f>G50/(G2*G12+G13*G3+G4*G14+G15*G5)</f>
        <v>0.71351217851702742</v>
      </c>
      <c r="H52" s="943">
        <f t="shared" ref="H52:BS52" si="59">H50/(H2*H12+H13*H3+H4*H14+H15*H5)</f>
        <v>0.72772084412135574</v>
      </c>
      <c r="I52" s="943">
        <f t="shared" si="59"/>
        <v>0.75016096966026968</v>
      </c>
      <c r="J52" s="943">
        <f t="shared" si="59"/>
        <v>0.76490910343841889</v>
      </c>
      <c r="K52" s="943">
        <f t="shared" si="59"/>
        <v>0.74383198637225068</v>
      </c>
      <c r="L52" s="943">
        <f t="shared" si="59"/>
        <v>0.74405735040286036</v>
      </c>
      <c r="M52" s="943">
        <f t="shared" si="59"/>
        <v>0.73864889126004818</v>
      </c>
      <c r="N52" s="943">
        <f t="shared" si="59"/>
        <v>0.73405363397564516</v>
      </c>
      <c r="O52" s="943">
        <f t="shared" si="59"/>
        <v>0.7377564091592258</v>
      </c>
      <c r="P52" s="943">
        <f t="shared" si="59"/>
        <v>0.74949480067804608</v>
      </c>
      <c r="Q52" s="943">
        <f t="shared" si="59"/>
        <v>0.76204300264707336</v>
      </c>
      <c r="R52" s="943">
        <f t="shared" si="59"/>
        <v>0.75884369089383552</v>
      </c>
      <c r="S52" s="943">
        <f t="shared" si="59"/>
        <v>0.75274402289997544</v>
      </c>
      <c r="T52" s="943">
        <f t="shared" si="59"/>
        <v>0.74646541546851042</v>
      </c>
      <c r="U52" s="943">
        <f t="shared" si="59"/>
        <v>0.74592139987146677</v>
      </c>
      <c r="V52" s="943">
        <f t="shared" si="59"/>
        <v>0.76832410405380647</v>
      </c>
      <c r="W52" s="943">
        <f t="shared" si="59"/>
        <v>0.77565659200670145</v>
      </c>
      <c r="X52" s="943">
        <f t="shared" si="59"/>
        <v>0.76081105848190489</v>
      </c>
      <c r="Y52" s="943">
        <f t="shared" si="59"/>
        <v>0.7484984711795476</v>
      </c>
      <c r="Z52" s="943">
        <f t="shared" si="59"/>
        <v>0.74483218419551722</v>
      </c>
      <c r="AA52" s="943">
        <f t="shared" si="59"/>
        <v>0.74228020718773235</v>
      </c>
      <c r="AB52" s="943">
        <f t="shared" si="59"/>
        <v>0.76004830738198093</v>
      </c>
      <c r="AC52" s="943">
        <f t="shared" si="59"/>
        <v>0.76243271534375678</v>
      </c>
      <c r="AD52" s="943">
        <f t="shared" si="59"/>
        <v>0.75745654342332114</v>
      </c>
      <c r="AE52" s="943">
        <f t="shared" si="59"/>
        <v>0.74289972915546887</v>
      </c>
      <c r="AF52" s="943">
        <f t="shared" si="59"/>
        <v>0.73999004606668062</v>
      </c>
      <c r="AG52" s="943">
        <f t="shared" si="59"/>
        <v>0.73704252777379586</v>
      </c>
      <c r="AH52" s="943">
        <f t="shared" si="59"/>
        <v>0.73449943765770909</v>
      </c>
      <c r="AI52" s="943">
        <f t="shared" si="59"/>
        <v>0.72651071527793287</v>
      </c>
      <c r="AJ52" s="943">
        <f t="shared" si="59"/>
        <v>0.72854093204896764</v>
      </c>
      <c r="AK52" s="943">
        <f t="shared" si="59"/>
        <v>0.73453370021089803</v>
      </c>
      <c r="AL52" s="943">
        <f t="shared" si="59"/>
        <v>0.7427366732056262</v>
      </c>
      <c r="AM52" s="943">
        <f t="shared" si="59"/>
        <v>0.74949866927376507</v>
      </c>
      <c r="AN52" s="943">
        <f t="shared" si="59"/>
        <v>0.74767735982299011</v>
      </c>
      <c r="AO52" s="943">
        <f t="shared" si="59"/>
        <v>0.73643408733895199</v>
      </c>
      <c r="AP52" s="943">
        <f t="shared" si="59"/>
        <v>0.72768068641823203</v>
      </c>
      <c r="AQ52" s="943">
        <f t="shared" si="59"/>
        <v>0.72426870345063765</v>
      </c>
      <c r="AR52" s="943">
        <f t="shared" si="59"/>
        <v>0.71522190758831827</v>
      </c>
      <c r="AS52" s="943">
        <f t="shared" si="59"/>
        <v>0.71721269297702483</v>
      </c>
      <c r="AT52" s="943">
        <f t="shared" si="59"/>
        <v>0.71353382682206778</v>
      </c>
      <c r="AU52" s="944">
        <f t="shared" si="59"/>
        <v>0.72717306599187648</v>
      </c>
      <c r="AV52" s="944">
        <f t="shared" si="59"/>
        <v>0.71918874882918027</v>
      </c>
      <c r="AW52" s="944">
        <f t="shared" si="59"/>
        <v>0.71643868201643657</v>
      </c>
      <c r="AX52" s="944">
        <f t="shared" si="59"/>
        <v>0.70827753482921652</v>
      </c>
      <c r="AY52" s="944">
        <f t="shared" si="59"/>
        <v>0.71064593776539664</v>
      </c>
      <c r="AZ52" s="944">
        <f t="shared" si="59"/>
        <v>0.70960190179933513</v>
      </c>
      <c r="BA52" s="944">
        <f t="shared" si="59"/>
        <v>0.70748894325735778</v>
      </c>
      <c r="BB52" s="944">
        <f t="shared" si="59"/>
        <v>0.70351472736261211</v>
      </c>
      <c r="BC52" s="944">
        <f t="shared" si="59"/>
        <v>0.70532835357422075</v>
      </c>
      <c r="BD52" s="944">
        <f t="shared" si="59"/>
        <v>0.72935280993042073</v>
      </c>
      <c r="BE52" s="944">
        <f t="shared" si="59"/>
        <v>0.75286262570417639</v>
      </c>
      <c r="BF52" s="944">
        <f t="shared" si="59"/>
        <v>0.74542366334559718</v>
      </c>
      <c r="BG52" s="944">
        <f t="shared" si="59"/>
        <v>0.73139349182430891</v>
      </c>
      <c r="BH52" s="944">
        <f t="shared" si="59"/>
        <v>0.72466380971668798</v>
      </c>
      <c r="BI52" s="944">
        <f t="shared" si="59"/>
        <v>0.72081005994812075</v>
      </c>
      <c r="BJ52" s="944">
        <f t="shared" si="59"/>
        <v>0.72369077537235338</v>
      </c>
      <c r="BK52" s="944">
        <f t="shared" si="59"/>
        <v>0.73902629447901413</v>
      </c>
      <c r="BL52" s="944">
        <f t="shared" si="59"/>
        <v>0.73317902064030016</v>
      </c>
      <c r="BM52" s="944">
        <f t="shared" si="59"/>
        <v>0.73906975070462466</v>
      </c>
      <c r="BN52" s="944">
        <f t="shared" si="59"/>
        <v>0.73513224080078721</v>
      </c>
      <c r="BO52" s="944">
        <f t="shared" si="59"/>
        <v>0.72977655484129356</v>
      </c>
      <c r="BP52" s="944">
        <f t="shared" si="59"/>
        <v>0.7262732635557102</v>
      </c>
      <c r="BQ52" s="944">
        <f t="shared" si="59"/>
        <v>0.72128620016859168</v>
      </c>
      <c r="BR52" s="944">
        <f t="shared" si="59"/>
        <v>0.71654672377369255</v>
      </c>
      <c r="BS52" s="944">
        <f t="shared" si="59"/>
        <v>0.72491097497160495</v>
      </c>
      <c r="BT52" s="944">
        <f t="shared" ref="BT52:CL52" si="60">BT50/(BT2*BT12+BT13*BT3+BT4*BT14+BT15*BT5)</f>
        <v>0.76750464900246373</v>
      </c>
      <c r="BU52" s="944">
        <f t="shared" si="60"/>
        <v>0.83008494951076384</v>
      </c>
      <c r="BV52" s="944">
        <f t="shared" si="60"/>
        <v>0.78375165230646249</v>
      </c>
      <c r="BW52" s="944">
        <f t="shared" si="60"/>
        <v>0.74448553012732055</v>
      </c>
      <c r="BX52" s="944">
        <f t="shared" si="60"/>
        <v>0.7342062121605043</v>
      </c>
      <c r="BY52" s="944">
        <f t="shared" si="60"/>
        <v>0.73795091671830504</v>
      </c>
      <c r="BZ52" s="944">
        <f t="shared" si="60"/>
        <v>0.74466236909763173</v>
      </c>
      <c r="CA52" s="944">
        <f t="shared" si="60"/>
        <v>0.73548511917026893</v>
      </c>
      <c r="CB52" s="944">
        <f t="shared" si="60"/>
        <v>0.74269101802492188</v>
      </c>
      <c r="CC52" s="944">
        <f t="shared" si="60"/>
        <v>0.73051240575296672</v>
      </c>
      <c r="CD52" s="944">
        <f t="shared" si="60"/>
        <v>0.71287092765086479</v>
      </c>
      <c r="CE52" s="944">
        <f t="shared" si="60"/>
        <v>0.70740662706939539</v>
      </c>
      <c r="CF52" s="944">
        <f t="shared" si="60"/>
        <v>0.70509549234305879</v>
      </c>
      <c r="CG52" s="944">
        <f t="shared" si="60"/>
        <v>0.70710420463793855</v>
      </c>
      <c r="CH52" s="944">
        <f t="shared" si="60"/>
        <v>0.70744953665848664</v>
      </c>
      <c r="CI52" s="944">
        <f t="shared" si="60"/>
        <v>0.70199082479859842</v>
      </c>
      <c r="CJ52" s="944">
        <f t="shared" si="60"/>
        <v>0.70013333947849254</v>
      </c>
      <c r="CK52" s="944">
        <f t="shared" si="60"/>
        <v>0.70658524703352643</v>
      </c>
      <c r="CL52" s="945">
        <f t="shared" si="60"/>
        <v>0.70508304323538595</v>
      </c>
      <c r="CM52" s="946">
        <f t="shared" si="0"/>
        <v>0.73470114044868584</v>
      </c>
      <c r="CN52" s="1153"/>
      <c r="CO52" s="1153"/>
      <c r="CP52" s="1153"/>
      <c r="CQ52" s="1153"/>
      <c r="CR52" s="1153"/>
      <c r="CS52" s="1153"/>
      <c r="CT52" s="1153"/>
      <c r="CU52" s="1153"/>
      <c r="CV52" s="1153"/>
      <c r="CW52" s="1153"/>
      <c r="CX52" s="1153"/>
      <c r="CY52" s="1153"/>
      <c r="CZ52" s="1153"/>
      <c r="DA52" s="1153"/>
      <c r="DB52" s="1153"/>
      <c r="DC52" s="1153"/>
      <c r="DD52" s="1153"/>
      <c r="DE52" s="1153"/>
      <c r="DF52" s="1153"/>
      <c r="DG52" s="1153"/>
      <c r="DH52" s="1153"/>
      <c r="DI52" s="1153"/>
      <c r="DJ52" s="1153"/>
      <c r="DK52" s="1153"/>
      <c r="DL52" s="1153"/>
      <c r="DM52" s="1153"/>
      <c r="DN52" s="1153"/>
      <c r="DO52" s="1153"/>
      <c r="DP52" s="1153"/>
      <c r="DQ52" s="1153"/>
      <c r="DR52" s="1153"/>
      <c r="DS52" s="1153"/>
      <c r="DT52" s="1153"/>
      <c r="DU52" s="1153"/>
      <c r="DV52" s="1153"/>
      <c r="DW52" s="1153"/>
      <c r="DX52" s="1153"/>
      <c r="DY52" s="1153"/>
      <c r="DZ52" s="1153"/>
      <c r="EA52" s="1153"/>
      <c r="EB52" s="1153"/>
      <c r="EC52" s="1153"/>
      <c r="ED52" s="1153"/>
      <c r="EE52" s="1153"/>
      <c r="EF52" s="1153"/>
      <c r="EG52" s="1153"/>
      <c r="EH52" s="1153"/>
      <c r="EI52" s="1153"/>
      <c r="EJ52" s="1153"/>
      <c r="EK52" s="1153"/>
      <c r="EL52" s="1153"/>
      <c r="EM52" s="1153"/>
      <c r="EN52" s="1153"/>
      <c r="EO52" s="1153"/>
      <c r="EP52" s="1153"/>
      <c r="EQ52" s="1153"/>
      <c r="ER52" s="1153"/>
      <c r="ES52" s="1153"/>
      <c r="ET52" s="1153"/>
      <c r="EU52" s="1153"/>
      <c r="EV52" s="1153"/>
      <c r="EW52" s="1153"/>
      <c r="EX52" s="1153"/>
      <c r="EY52" s="1153"/>
      <c r="EZ52" s="1153"/>
      <c r="FA52" s="1153"/>
      <c r="FB52" s="1153"/>
      <c r="FC52" s="1153"/>
      <c r="FD52" s="1153"/>
      <c r="FE52" s="1153"/>
      <c r="FF52" s="1153"/>
      <c r="FG52" s="1153"/>
      <c r="FH52" s="1153"/>
      <c r="FI52" s="1153"/>
      <c r="FJ52" s="1153"/>
      <c r="FK52" s="1153"/>
      <c r="FL52" s="1153"/>
      <c r="FM52" s="1153"/>
      <c r="FN52" s="1153"/>
      <c r="FO52" s="1153"/>
      <c r="FP52" s="1153"/>
      <c r="FQ52" s="1153"/>
      <c r="FR52" s="1153"/>
      <c r="FS52" s="1153"/>
      <c r="FT52" s="1153"/>
      <c r="FU52" s="1153"/>
      <c r="FV52" s="1153"/>
    </row>
    <row r="53" spans="1:178">
      <c r="A53" s="1146" t="s">
        <v>415</v>
      </c>
      <c r="B53" s="1151" t="s">
        <v>403</v>
      </c>
      <c r="C53" s="581"/>
      <c r="D53" s="581"/>
      <c r="E53" s="347"/>
      <c r="F53" s="885" t="s">
        <v>424</v>
      </c>
      <c r="G53" s="943">
        <f t="shared" ref="G53:BR53" si="61">G51/(G2*G12+G13*G3+G4*G14+G15*G5)</f>
        <v>0.28648782148297264</v>
      </c>
      <c r="H53" s="943">
        <f t="shared" si="61"/>
        <v>0.27227915587864421</v>
      </c>
      <c r="I53" s="943">
        <f t="shared" si="61"/>
        <v>0.24983903033973037</v>
      </c>
      <c r="J53" s="943">
        <f t="shared" si="61"/>
        <v>0.23509089656158114</v>
      </c>
      <c r="K53" s="943">
        <f t="shared" si="61"/>
        <v>0.25616801362774921</v>
      </c>
      <c r="L53" s="943">
        <f t="shared" si="61"/>
        <v>0.25594264959713947</v>
      </c>
      <c r="M53" s="943">
        <f t="shared" si="61"/>
        <v>0.26135110873995182</v>
      </c>
      <c r="N53" s="943">
        <f t="shared" si="61"/>
        <v>0.2659463660243549</v>
      </c>
      <c r="O53" s="943">
        <f t="shared" si="61"/>
        <v>0.26224359084077425</v>
      </c>
      <c r="P53" s="943">
        <f t="shared" si="61"/>
        <v>0.25050519932195375</v>
      </c>
      <c r="Q53" s="943">
        <f t="shared" si="61"/>
        <v>0.23795699735292652</v>
      </c>
      <c r="R53" s="943">
        <f t="shared" si="61"/>
        <v>0.24115630910616442</v>
      </c>
      <c r="S53" s="943">
        <f t="shared" si="61"/>
        <v>0.2472559771000245</v>
      </c>
      <c r="T53" s="943">
        <f t="shared" si="61"/>
        <v>0.25353458453148958</v>
      </c>
      <c r="U53" s="943">
        <f t="shared" si="61"/>
        <v>0.25407860012853334</v>
      </c>
      <c r="V53" s="943">
        <f t="shared" si="61"/>
        <v>0.23167589594619359</v>
      </c>
      <c r="W53" s="943">
        <f t="shared" si="61"/>
        <v>0.22434340799329835</v>
      </c>
      <c r="X53" s="943">
        <f t="shared" si="61"/>
        <v>0.239188941518095</v>
      </c>
      <c r="Y53" s="943">
        <f t="shared" si="61"/>
        <v>0.25150152882045251</v>
      </c>
      <c r="Z53" s="943">
        <f t="shared" si="61"/>
        <v>0.25516781580448283</v>
      </c>
      <c r="AA53" s="943">
        <f t="shared" si="61"/>
        <v>0.25771979281226759</v>
      </c>
      <c r="AB53" s="943">
        <f t="shared" si="61"/>
        <v>0.23995169261801905</v>
      </c>
      <c r="AC53" s="943">
        <f t="shared" si="61"/>
        <v>0.23756728465624308</v>
      </c>
      <c r="AD53" s="943">
        <f t="shared" si="61"/>
        <v>0.24254345657667892</v>
      </c>
      <c r="AE53" s="943">
        <f t="shared" si="61"/>
        <v>0.25710027084453124</v>
      </c>
      <c r="AF53" s="943">
        <f t="shared" si="61"/>
        <v>0.26000995393331944</v>
      </c>
      <c r="AG53" s="943">
        <f t="shared" si="61"/>
        <v>0.26295747222620414</v>
      </c>
      <c r="AH53" s="943">
        <f t="shared" si="61"/>
        <v>0.26550056234229091</v>
      </c>
      <c r="AI53" s="943">
        <f t="shared" si="61"/>
        <v>0.27348928472206707</v>
      </c>
      <c r="AJ53" s="943">
        <f t="shared" si="61"/>
        <v>0.2714590679510322</v>
      </c>
      <c r="AK53" s="943">
        <f t="shared" si="61"/>
        <v>0.26546629978910197</v>
      </c>
      <c r="AL53" s="943">
        <f t="shared" si="61"/>
        <v>0.25726332679437369</v>
      </c>
      <c r="AM53" s="943">
        <f t="shared" si="61"/>
        <v>0.25050133072623504</v>
      </c>
      <c r="AN53" s="943">
        <f t="shared" si="61"/>
        <v>0.25232264017700989</v>
      </c>
      <c r="AO53" s="943">
        <f t="shared" si="61"/>
        <v>0.26356591266104806</v>
      </c>
      <c r="AP53" s="943">
        <f t="shared" si="61"/>
        <v>0.27231931358176809</v>
      </c>
      <c r="AQ53" s="943">
        <f t="shared" si="61"/>
        <v>0.27573129654936229</v>
      </c>
      <c r="AR53" s="943">
        <f t="shared" si="61"/>
        <v>0.28477809241168167</v>
      </c>
      <c r="AS53" s="943">
        <f t="shared" si="61"/>
        <v>0.28278730702297528</v>
      </c>
      <c r="AT53" s="943">
        <f t="shared" si="61"/>
        <v>0.28646617317793216</v>
      </c>
      <c r="AU53" s="944">
        <f t="shared" si="61"/>
        <v>0.27282693400812347</v>
      </c>
      <c r="AV53" s="944">
        <f t="shared" si="61"/>
        <v>0.28081125117081973</v>
      </c>
      <c r="AW53" s="944">
        <f t="shared" si="61"/>
        <v>0.28356131798356338</v>
      </c>
      <c r="AX53" s="944">
        <f t="shared" si="61"/>
        <v>0.2917224651707836</v>
      </c>
      <c r="AY53" s="944">
        <f t="shared" si="61"/>
        <v>0.28935406223460353</v>
      </c>
      <c r="AZ53" s="944">
        <f t="shared" si="61"/>
        <v>0.29039809820066481</v>
      </c>
      <c r="BA53" s="944">
        <f t="shared" si="61"/>
        <v>0.29251105674264222</v>
      </c>
      <c r="BB53" s="944">
        <f t="shared" si="61"/>
        <v>0.29648527263738778</v>
      </c>
      <c r="BC53" s="944">
        <f t="shared" si="61"/>
        <v>0.29467164642577925</v>
      </c>
      <c r="BD53" s="944">
        <f t="shared" si="61"/>
        <v>0.27064719006957932</v>
      </c>
      <c r="BE53" s="944">
        <f t="shared" si="61"/>
        <v>0.24713737429582375</v>
      </c>
      <c r="BF53" s="944">
        <f t="shared" si="61"/>
        <v>0.25457633665440271</v>
      </c>
      <c r="BG53" s="944">
        <f t="shared" si="61"/>
        <v>0.26860650817569115</v>
      </c>
      <c r="BH53" s="944">
        <f t="shared" si="61"/>
        <v>0.27533619028331197</v>
      </c>
      <c r="BI53" s="944">
        <f t="shared" si="61"/>
        <v>0.2791899400518793</v>
      </c>
      <c r="BJ53" s="944">
        <f t="shared" si="61"/>
        <v>0.27630922462764657</v>
      </c>
      <c r="BK53" s="944">
        <f t="shared" si="61"/>
        <v>0.26097370552098592</v>
      </c>
      <c r="BL53" s="944">
        <f t="shared" si="61"/>
        <v>0.26682097935970001</v>
      </c>
      <c r="BM53" s="944">
        <f t="shared" si="61"/>
        <v>0.26093024929537528</v>
      </c>
      <c r="BN53" s="944">
        <f t="shared" si="61"/>
        <v>0.26486775919921274</v>
      </c>
      <c r="BO53" s="944">
        <f t="shared" si="61"/>
        <v>0.2702234451587065</v>
      </c>
      <c r="BP53" s="944">
        <f t="shared" si="61"/>
        <v>0.27372673644428974</v>
      </c>
      <c r="BQ53" s="944">
        <f t="shared" si="61"/>
        <v>0.27871379983140843</v>
      </c>
      <c r="BR53" s="944">
        <f t="shared" si="61"/>
        <v>0.28345327622630723</v>
      </c>
      <c r="BS53" s="944">
        <f t="shared" ref="BS53:CL53" si="62">BS51/(BS2*BS12+BS13*BS3+BS4*BS14+BS15*BS5)</f>
        <v>0.27508902502839488</v>
      </c>
      <c r="BT53" s="944">
        <f t="shared" si="62"/>
        <v>0.23249535099753632</v>
      </c>
      <c r="BU53" s="944">
        <f t="shared" si="62"/>
        <v>0.16991505048923611</v>
      </c>
      <c r="BV53" s="944">
        <f t="shared" si="62"/>
        <v>0.21624834769353751</v>
      </c>
      <c r="BW53" s="944">
        <f t="shared" si="62"/>
        <v>0.2555144698726794</v>
      </c>
      <c r="BX53" s="944">
        <f t="shared" si="62"/>
        <v>0.26579378783949581</v>
      </c>
      <c r="BY53" s="944">
        <f t="shared" si="62"/>
        <v>0.26204908328169496</v>
      </c>
      <c r="BZ53" s="944">
        <f t="shared" si="62"/>
        <v>0.25533763090236811</v>
      </c>
      <c r="CA53" s="944">
        <f t="shared" si="62"/>
        <v>0.26451488082973118</v>
      </c>
      <c r="CB53" s="944">
        <f t="shared" si="62"/>
        <v>0.2573089819750779</v>
      </c>
      <c r="CC53" s="944">
        <f t="shared" si="62"/>
        <v>0.26948759424703339</v>
      </c>
      <c r="CD53" s="944">
        <f t="shared" si="62"/>
        <v>0.28712907234913526</v>
      </c>
      <c r="CE53" s="944">
        <f t="shared" si="62"/>
        <v>0.29259337293060461</v>
      </c>
      <c r="CF53" s="944">
        <f t="shared" si="62"/>
        <v>0.29490450765694126</v>
      </c>
      <c r="CG53" s="944">
        <f t="shared" si="62"/>
        <v>0.29289579536206145</v>
      </c>
      <c r="CH53" s="944">
        <f t="shared" si="62"/>
        <v>0.29255046334151341</v>
      </c>
      <c r="CI53" s="944">
        <f t="shared" si="62"/>
        <v>0.29800917520140169</v>
      </c>
      <c r="CJ53" s="944">
        <f t="shared" si="62"/>
        <v>0.29986666052150746</v>
      </c>
      <c r="CK53" s="944">
        <f t="shared" si="62"/>
        <v>0.29341475296647374</v>
      </c>
      <c r="CL53" s="945">
        <f t="shared" si="62"/>
        <v>0.29491695676461405</v>
      </c>
      <c r="CM53" s="947">
        <f t="shared" si="0"/>
        <v>0.26529885955131394</v>
      </c>
      <c r="CN53" s="347"/>
      <c r="CO53" s="347"/>
      <c r="CP53" s="347"/>
      <c r="CQ53" s="347"/>
      <c r="CR53" s="347"/>
      <c r="CS53" s="347"/>
      <c r="CT53" s="347"/>
      <c r="CU53" s="347"/>
      <c r="CV53" s="347"/>
      <c r="CW53" s="347"/>
      <c r="CX53" s="347"/>
      <c r="CY53" s="347"/>
      <c r="CZ53" s="347"/>
      <c r="DA53" s="347"/>
      <c r="DB53" s="347"/>
      <c r="DC53" s="347"/>
      <c r="DD53" s="347"/>
      <c r="DE53" s="347"/>
      <c r="DF53" s="347"/>
      <c r="DG53" s="347"/>
      <c r="DH53" s="347"/>
      <c r="DI53" s="347"/>
      <c r="DJ53" s="347"/>
      <c r="DK53" s="347"/>
      <c r="DL53" s="347"/>
      <c r="DM53" s="347"/>
      <c r="DN53" s="347"/>
      <c r="DO53" s="347"/>
      <c r="DP53" s="347"/>
      <c r="DQ53" s="347"/>
      <c r="DR53" s="347"/>
      <c r="DS53" s="347"/>
      <c r="DT53" s="347"/>
      <c r="DU53" s="347"/>
      <c r="DV53" s="347"/>
      <c r="DW53" s="347"/>
      <c r="DX53" s="347"/>
      <c r="DY53" s="347"/>
      <c r="DZ53" s="347"/>
      <c r="EA53" s="347"/>
      <c r="EB53" s="347"/>
      <c r="EC53" s="347"/>
      <c r="ED53" s="347"/>
      <c r="EE53" s="347"/>
      <c r="EF53" s="347"/>
      <c r="EG53" s="347"/>
      <c r="EH53" s="347"/>
      <c r="EI53" s="347"/>
      <c r="EJ53" s="347"/>
      <c r="EK53" s="347"/>
      <c r="EL53" s="347"/>
      <c r="EM53" s="347"/>
      <c r="EN53" s="347"/>
      <c r="EO53" s="347"/>
      <c r="EP53" s="347"/>
      <c r="EQ53" s="347"/>
      <c r="ER53" s="347"/>
      <c r="ES53" s="347"/>
      <c r="ET53" s="347"/>
      <c r="EU53" s="347"/>
      <c r="EV53" s="347"/>
      <c r="EW53" s="347"/>
      <c r="EX53" s="347"/>
      <c r="EY53" s="347"/>
      <c r="EZ53" s="347"/>
      <c r="FA53" s="347"/>
      <c r="FB53" s="347"/>
      <c r="FC53" s="347"/>
      <c r="FD53" s="347"/>
      <c r="FE53" s="347"/>
      <c r="FF53" s="347"/>
      <c r="FG53" s="347"/>
      <c r="FH53" s="347"/>
      <c r="FI53" s="347"/>
      <c r="FJ53" s="347"/>
      <c r="FK53" s="347"/>
      <c r="FL53" s="347"/>
      <c r="FM53" s="347"/>
      <c r="FN53" s="347"/>
      <c r="FO53" s="347"/>
      <c r="FP53" s="347"/>
      <c r="FQ53" s="347"/>
      <c r="FR53" s="347"/>
      <c r="FS53" s="347"/>
      <c r="FT53" s="347"/>
      <c r="FU53" s="347"/>
      <c r="FV53" s="347"/>
    </row>
    <row r="54" spans="1:178">
      <c r="A54" s="1146" t="s">
        <v>416</v>
      </c>
      <c r="B54" s="1151" t="s">
        <v>403</v>
      </c>
      <c r="C54" s="581" t="s">
        <v>352</v>
      </c>
      <c r="D54" s="581"/>
      <c r="E54" s="347"/>
      <c r="F54" s="885" t="s">
        <v>405</v>
      </c>
      <c r="G54" s="941">
        <f t="shared" ref="G54:BR54" si="63">G7*G18+G8*G19+G9*G20+G10*G21+G11*G22</f>
        <v>1591303203.7970729</v>
      </c>
      <c r="H54" s="941">
        <f t="shared" si="63"/>
        <v>1563335876.0920532</v>
      </c>
      <c r="I54" s="941">
        <f t="shared" si="63"/>
        <v>1571975608.3870342</v>
      </c>
      <c r="J54" s="941">
        <f t="shared" si="63"/>
        <v>1582358534.0153477</v>
      </c>
      <c r="K54" s="941">
        <f t="shared" si="63"/>
        <v>1560441265.3103287</v>
      </c>
      <c r="L54" s="941">
        <f t="shared" si="63"/>
        <v>1599586880.9386425</v>
      </c>
      <c r="M54" s="941">
        <f t="shared" si="63"/>
        <v>1570850191.9002905</v>
      </c>
      <c r="N54" s="941">
        <f t="shared" si="63"/>
        <v>1606205311.195271</v>
      </c>
      <c r="O54" s="941">
        <f t="shared" si="63"/>
        <v>1537063276.8235843</v>
      </c>
      <c r="P54" s="941">
        <f t="shared" si="63"/>
        <v>1572929572.7852321</v>
      </c>
      <c r="Q54" s="941">
        <f t="shared" si="63"/>
        <v>1534140068.7468791</v>
      </c>
      <c r="R54" s="941">
        <f t="shared" si="63"/>
        <v>1463300766.0418601</v>
      </c>
      <c r="S54" s="941">
        <f t="shared" si="63"/>
        <v>1478656341.4674935</v>
      </c>
      <c r="T54" s="941">
        <f t="shared" si="63"/>
        <v>1472798694.3204136</v>
      </c>
      <c r="U54" s="941">
        <f t="shared" si="63"/>
        <v>1391874164.9848003</v>
      </c>
      <c r="V54" s="941">
        <f t="shared" si="63"/>
        <v>1451389308.9982936</v>
      </c>
      <c r="W54" s="941">
        <f t="shared" si="63"/>
        <v>1339042376.6762538</v>
      </c>
      <c r="X54" s="941">
        <f t="shared" si="63"/>
        <v>1347433746.8625069</v>
      </c>
      <c r="Y54" s="941">
        <f t="shared" si="63"/>
        <v>1406723476.0487604</v>
      </c>
      <c r="Z54" s="941">
        <f t="shared" si="63"/>
        <v>1393783580.6944001</v>
      </c>
      <c r="AA54" s="941">
        <f t="shared" si="63"/>
        <v>1412617123.1350136</v>
      </c>
      <c r="AB54" s="941">
        <f t="shared" si="63"/>
        <v>1442969729.3212669</v>
      </c>
      <c r="AC54" s="941">
        <f t="shared" si="63"/>
        <v>1453305342.6575203</v>
      </c>
      <c r="AD54" s="941">
        <f t="shared" si="63"/>
        <v>1414608851.277307</v>
      </c>
      <c r="AE54" s="941">
        <f t="shared" si="63"/>
        <v>1420240466.4621737</v>
      </c>
      <c r="AF54" s="941">
        <f t="shared" si="63"/>
        <v>1414231756.9466934</v>
      </c>
      <c r="AG54" s="941">
        <f t="shared" si="63"/>
        <v>1457726068.832947</v>
      </c>
      <c r="AH54" s="941">
        <f t="shared" si="63"/>
        <v>1505582603.0708802</v>
      </c>
      <c r="AI54" s="941">
        <f t="shared" si="63"/>
        <v>1588354965.9610672</v>
      </c>
      <c r="AJ54" s="941">
        <f t="shared" si="63"/>
        <v>1554604670.6043873</v>
      </c>
      <c r="AK54" s="941">
        <f t="shared" si="63"/>
        <v>1638074756.8083737</v>
      </c>
      <c r="AL54" s="941">
        <f t="shared" si="63"/>
        <v>1602403163.0977871</v>
      </c>
      <c r="AM54" s="941">
        <f t="shared" si="63"/>
        <v>1572979489.8531604</v>
      </c>
      <c r="AN54" s="941">
        <f t="shared" si="63"/>
        <v>1597261954.2060804</v>
      </c>
      <c r="AO54" s="941">
        <f t="shared" si="63"/>
        <v>1543623855.3672669</v>
      </c>
      <c r="AP54" s="941">
        <f t="shared" si="63"/>
        <v>1542240732.5246935</v>
      </c>
      <c r="AQ54" s="941">
        <f t="shared" si="63"/>
        <v>1570808518.678587</v>
      </c>
      <c r="AR54" s="941">
        <f t="shared" si="63"/>
        <v>1503474752.1315072</v>
      </c>
      <c r="AS54" s="941">
        <f t="shared" si="63"/>
        <v>1581611678.0510938</v>
      </c>
      <c r="AT54" s="941">
        <f t="shared" si="63"/>
        <v>1613854652.6082671</v>
      </c>
      <c r="AU54" s="868">
        <f t="shared" si="63"/>
        <v>1724775354.4700537</v>
      </c>
      <c r="AV54" s="868">
        <f t="shared" si="63"/>
        <v>1776496912.3467202</v>
      </c>
      <c r="AW54" s="868">
        <f t="shared" si="63"/>
        <v>1806778454.488827</v>
      </c>
      <c r="AX54" s="868">
        <f t="shared" si="63"/>
        <v>1826215141.1960003</v>
      </c>
      <c r="AY54" s="868">
        <f t="shared" si="63"/>
        <v>2118804815.022347</v>
      </c>
      <c r="AZ54" s="868">
        <f t="shared" si="63"/>
        <v>2104227006.2637603</v>
      </c>
      <c r="BA54" s="868">
        <f t="shared" si="63"/>
        <v>2102909711.6944804</v>
      </c>
      <c r="BB54" s="868">
        <f t="shared" si="63"/>
        <v>2212493014.0045338</v>
      </c>
      <c r="BC54" s="868">
        <f t="shared" si="63"/>
        <v>2162913841.3210139</v>
      </c>
      <c r="BD54" s="868">
        <f t="shared" si="63"/>
        <v>1954022767.3853073</v>
      </c>
      <c r="BE54" s="868">
        <f t="shared" si="63"/>
        <v>1659030606.5900002</v>
      </c>
      <c r="BF54" s="868">
        <f t="shared" si="63"/>
        <v>1551186994.505307</v>
      </c>
      <c r="BG54" s="868">
        <f t="shared" si="63"/>
        <v>1548024935.1820803</v>
      </c>
      <c r="BH54" s="868">
        <f t="shared" si="63"/>
        <v>1585893053.2450137</v>
      </c>
      <c r="BI54" s="868">
        <f t="shared" si="63"/>
        <v>1569138922.3768003</v>
      </c>
      <c r="BJ54" s="868">
        <f t="shared" si="63"/>
        <v>1540707788.6528802</v>
      </c>
      <c r="BK54" s="868">
        <f t="shared" si="63"/>
        <v>1584815416.1680002</v>
      </c>
      <c r="BL54" s="868">
        <f t="shared" si="63"/>
        <v>1569382838.9333336</v>
      </c>
      <c r="BM54" s="868">
        <f t="shared" si="63"/>
        <v>1645974153.8000002</v>
      </c>
      <c r="BN54" s="868">
        <f t="shared" si="63"/>
        <v>1688069019.130667</v>
      </c>
      <c r="BO54" s="868">
        <f t="shared" si="63"/>
        <v>1775081779.6720004</v>
      </c>
      <c r="BP54" s="868">
        <f t="shared" si="63"/>
        <v>1682461036.3386669</v>
      </c>
      <c r="BQ54" s="868">
        <f t="shared" si="63"/>
        <v>1515453481.074667</v>
      </c>
      <c r="BR54" s="868">
        <f t="shared" si="63"/>
        <v>1612904545.554667</v>
      </c>
      <c r="BS54" s="868">
        <f t="shared" ref="BS54:CL54" si="64">BS7*BS18+BS8*BS19+BS9*BS20+BS10*BS21+BS11*BS22</f>
        <v>1626311447.7760003</v>
      </c>
      <c r="BT54" s="868">
        <f t="shared" si="64"/>
        <v>1465245624.2533333</v>
      </c>
      <c r="BU54" s="868">
        <f t="shared" si="64"/>
        <v>1140618306.4000001</v>
      </c>
      <c r="BV54" s="868">
        <f t="shared" si="64"/>
        <v>723440265.95733345</v>
      </c>
      <c r="BW54" s="868">
        <f t="shared" si="64"/>
        <v>786549706.80000007</v>
      </c>
      <c r="BX54" s="868">
        <f t="shared" si="64"/>
        <v>963881437.28533351</v>
      </c>
      <c r="BY54" s="868">
        <f t="shared" si="64"/>
        <v>1044692372.6986668</v>
      </c>
      <c r="BZ54" s="868">
        <f t="shared" si="64"/>
        <v>1162321243.2640002</v>
      </c>
      <c r="CA54" s="868">
        <f t="shared" si="64"/>
        <v>1230826133.4400001</v>
      </c>
      <c r="CB54" s="868">
        <f t="shared" si="64"/>
        <v>1369987969.6480002</v>
      </c>
      <c r="CC54" s="868">
        <f t="shared" si="64"/>
        <v>1643314630.0480006</v>
      </c>
      <c r="CD54" s="868">
        <f t="shared" si="64"/>
        <v>1667857767.9520004</v>
      </c>
      <c r="CE54" s="868">
        <f t="shared" si="64"/>
        <v>1502742729.666667</v>
      </c>
      <c r="CF54" s="868">
        <f t="shared" si="64"/>
        <v>1611902916.090667</v>
      </c>
      <c r="CG54" s="868">
        <f t="shared" si="64"/>
        <v>1878708853.8453336</v>
      </c>
      <c r="CH54" s="868">
        <f t="shared" si="64"/>
        <v>1855216770.074667</v>
      </c>
      <c r="CI54" s="868">
        <f t="shared" si="64"/>
        <v>1936891329.0106668</v>
      </c>
      <c r="CJ54" s="868">
        <f t="shared" si="64"/>
        <v>2075719015.7437336</v>
      </c>
      <c r="CK54" s="868">
        <f t="shared" si="64"/>
        <v>2340927679.1168003</v>
      </c>
      <c r="CL54" s="885">
        <f t="shared" si="64"/>
        <v>2334174884.810667</v>
      </c>
      <c r="CM54" s="856">
        <f t="shared" si="0"/>
        <v>1585057857.7497809</v>
      </c>
      <c r="CN54" s="347"/>
      <c r="CO54" s="347"/>
      <c r="CP54" s="347"/>
      <c r="CQ54" s="347"/>
      <c r="CR54" s="347"/>
      <c r="CS54" s="347"/>
      <c r="CT54" s="347"/>
      <c r="CU54" s="347"/>
      <c r="CV54" s="347"/>
      <c r="CW54" s="347"/>
      <c r="CX54" s="347"/>
      <c r="CY54" s="347"/>
      <c r="CZ54" s="347"/>
      <c r="DA54" s="347"/>
      <c r="DB54" s="347"/>
      <c r="DC54" s="347"/>
      <c r="DD54" s="347"/>
      <c r="DE54" s="347"/>
      <c r="DF54" s="347"/>
      <c r="DG54" s="347"/>
      <c r="DH54" s="347"/>
      <c r="DI54" s="347"/>
      <c r="DJ54" s="347"/>
      <c r="DK54" s="347"/>
      <c r="DL54" s="347"/>
      <c r="DM54" s="347"/>
      <c r="DN54" s="347"/>
      <c r="DO54" s="347"/>
      <c r="DP54" s="347"/>
      <c r="DQ54" s="347"/>
      <c r="DR54" s="347"/>
      <c r="DS54" s="347"/>
      <c r="DT54" s="347"/>
      <c r="DU54" s="347"/>
      <c r="DV54" s="347"/>
      <c r="DW54" s="347"/>
      <c r="DX54" s="347"/>
      <c r="DY54" s="347"/>
      <c r="DZ54" s="347"/>
      <c r="EA54" s="347"/>
      <c r="EB54" s="347"/>
      <c r="EC54" s="347"/>
      <c r="ED54" s="347"/>
      <c r="EE54" s="347"/>
      <c r="EF54" s="347"/>
      <c r="EG54" s="347"/>
      <c r="EH54" s="347"/>
      <c r="EI54" s="347"/>
      <c r="EJ54" s="347"/>
      <c r="EK54" s="347"/>
      <c r="EL54" s="347"/>
      <c r="EM54" s="347"/>
      <c r="EN54" s="347"/>
      <c r="EO54" s="347"/>
      <c r="EP54" s="347"/>
      <c r="EQ54" s="347"/>
      <c r="ER54" s="347"/>
      <c r="ES54" s="347"/>
      <c r="ET54" s="347"/>
      <c r="EU54" s="347"/>
      <c r="EV54" s="347"/>
      <c r="EW54" s="347"/>
      <c r="EX54" s="347"/>
      <c r="EY54" s="347"/>
      <c r="EZ54" s="347"/>
      <c r="FA54" s="347"/>
      <c r="FB54" s="347"/>
      <c r="FC54" s="347"/>
      <c r="FD54" s="347"/>
      <c r="FE54" s="347"/>
      <c r="FF54" s="347"/>
      <c r="FG54" s="347"/>
      <c r="FH54" s="347"/>
      <c r="FI54" s="347"/>
      <c r="FJ54" s="347"/>
      <c r="FK54" s="347"/>
      <c r="FL54" s="347"/>
      <c r="FM54" s="347"/>
      <c r="FN54" s="347"/>
      <c r="FO54" s="347"/>
      <c r="FP54" s="347"/>
      <c r="FQ54" s="347"/>
      <c r="FR54" s="347"/>
      <c r="FS54" s="347"/>
      <c r="FT54" s="347"/>
      <c r="FU54" s="347"/>
      <c r="FV54" s="347"/>
    </row>
    <row r="55" spans="1:178">
      <c r="A55" s="1147" t="s">
        <v>417</v>
      </c>
      <c r="B55" s="1150" t="s">
        <v>403</v>
      </c>
      <c r="C55" s="860" t="s">
        <v>352</v>
      </c>
      <c r="D55" s="860"/>
      <c r="E55" s="861"/>
      <c r="F55" s="948" t="s">
        <v>210</v>
      </c>
      <c r="G55" s="949">
        <f t="shared" ref="G55:BR55" si="65">G23*G2+G3*G24+G25*G4+G5*G26+G27*CP41</f>
        <v>1165599830.6107752</v>
      </c>
      <c r="H55" s="949">
        <f t="shared" si="65"/>
        <v>1029509536.8524759</v>
      </c>
      <c r="I55" s="949">
        <f t="shared" si="65"/>
        <v>885658422.08713341</v>
      </c>
      <c r="J55" s="949">
        <f t="shared" si="65"/>
        <v>709846460.30968332</v>
      </c>
      <c r="K55" s="949">
        <f t="shared" si="65"/>
        <v>824274169.25789094</v>
      </c>
      <c r="L55" s="949">
        <f t="shared" si="65"/>
        <v>836757830.23174858</v>
      </c>
      <c r="M55" s="949">
        <f t="shared" si="65"/>
        <v>853239994.87191033</v>
      </c>
      <c r="N55" s="949">
        <f t="shared" si="65"/>
        <v>895116480.16269314</v>
      </c>
      <c r="O55" s="949">
        <f t="shared" si="65"/>
        <v>852979975.15047383</v>
      </c>
      <c r="P55" s="949">
        <f t="shared" si="65"/>
        <v>768725408.23953402</v>
      </c>
      <c r="Q55" s="949">
        <f t="shared" si="65"/>
        <v>708255005.20262206</v>
      </c>
      <c r="R55" s="949">
        <f t="shared" si="65"/>
        <v>710887170.30002964</v>
      </c>
      <c r="S55" s="949">
        <f t="shared" si="65"/>
        <v>741691614.556687</v>
      </c>
      <c r="T55" s="949">
        <f t="shared" si="65"/>
        <v>772521798.17166114</v>
      </c>
      <c r="U55" s="949">
        <f t="shared" si="65"/>
        <v>764450796.92696691</v>
      </c>
      <c r="V55" s="949">
        <f t="shared" si="65"/>
        <v>632385427.68329012</v>
      </c>
      <c r="W55" s="949">
        <f t="shared" si="65"/>
        <v>581209626.13032496</v>
      </c>
      <c r="X55" s="949">
        <f t="shared" si="65"/>
        <v>617576570.2451756</v>
      </c>
      <c r="Y55" s="949">
        <f t="shared" si="65"/>
        <v>663205191.50707591</v>
      </c>
      <c r="Z55" s="949">
        <f t="shared" si="65"/>
        <v>694482437.93377209</v>
      </c>
      <c r="AA55" s="949">
        <f t="shared" si="65"/>
        <v>709525729.82931161</v>
      </c>
      <c r="AB55" s="949">
        <f t="shared" si="65"/>
        <v>652310659.17401254</v>
      </c>
      <c r="AC55" s="949">
        <f t="shared" si="65"/>
        <v>625444940.55080843</v>
      </c>
      <c r="AD55" s="949">
        <f t="shared" si="65"/>
        <v>661898322.4971534</v>
      </c>
      <c r="AE55" s="949">
        <f t="shared" si="65"/>
        <v>734199481.09700894</v>
      </c>
      <c r="AF55" s="949">
        <f t="shared" si="65"/>
        <v>766410247.05164242</v>
      </c>
      <c r="AG55" s="949">
        <f t="shared" si="65"/>
        <v>808387415.77290761</v>
      </c>
      <c r="AH55" s="949">
        <f t="shared" si="65"/>
        <v>887811878.90457547</v>
      </c>
      <c r="AI55" s="949">
        <f t="shared" si="65"/>
        <v>924411428.5904243</v>
      </c>
      <c r="AJ55" s="949">
        <f t="shared" si="65"/>
        <v>840373271.57185245</v>
      </c>
      <c r="AK55" s="949">
        <f t="shared" si="65"/>
        <v>803814800.22187614</v>
      </c>
      <c r="AL55" s="949">
        <f t="shared" si="65"/>
        <v>735685705.87555337</v>
      </c>
      <c r="AM55" s="949">
        <f t="shared" si="65"/>
        <v>702280554.58884394</v>
      </c>
      <c r="AN55" s="949">
        <f t="shared" si="65"/>
        <v>693076855.04244018</v>
      </c>
      <c r="AO55" s="949">
        <f t="shared" si="65"/>
        <v>772629421.16111898</v>
      </c>
      <c r="AP55" s="949">
        <f t="shared" si="65"/>
        <v>849971082.19426191</v>
      </c>
      <c r="AQ55" s="949">
        <f t="shared" si="65"/>
        <v>928503176.01615417</v>
      </c>
      <c r="AR55" s="949">
        <f t="shared" si="65"/>
        <v>987372180.07807982</v>
      </c>
      <c r="AS55" s="949">
        <f t="shared" si="65"/>
        <v>985364772.97474837</v>
      </c>
      <c r="AT55" s="949">
        <f t="shared" si="65"/>
        <v>990500939.9218502</v>
      </c>
      <c r="AU55" s="870">
        <f t="shared" si="65"/>
        <v>929476906.23944724</v>
      </c>
      <c r="AV55" s="870">
        <f t="shared" si="65"/>
        <v>920020924.95687032</v>
      </c>
      <c r="AW55" s="870">
        <f t="shared" si="65"/>
        <v>966915734.2694515</v>
      </c>
      <c r="AX55" s="870">
        <f t="shared" si="65"/>
        <v>1081658081.9956291</v>
      </c>
      <c r="AY55" s="870">
        <f t="shared" si="65"/>
        <v>1087017645.5995321</v>
      </c>
      <c r="AZ55" s="870">
        <f t="shared" si="65"/>
        <v>1116186001.8008506</v>
      </c>
      <c r="BA55" s="870">
        <f t="shared" si="65"/>
        <v>1146652638.0240564</v>
      </c>
      <c r="BB55" s="870">
        <f t="shared" si="65"/>
        <v>1236549127.8651938</v>
      </c>
      <c r="BC55" s="870">
        <f t="shared" si="65"/>
        <v>1274883561.1994874</v>
      </c>
      <c r="BD55" s="870">
        <f t="shared" si="65"/>
        <v>988173027.61532176</v>
      </c>
      <c r="BE55" s="870">
        <f t="shared" si="65"/>
        <v>871488103.53061867</v>
      </c>
      <c r="BF55" s="870">
        <f t="shared" si="65"/>
        <v>862029079.27042663</v>
      </c>
      <c r="BG55" s="870">
        <f t="shared" si="65"/>
        <v>928304549.67014861</v>
      </c>
      <c r="BH55" s="870">
        <f t="shared" si="65"/>
        <v>970847507.57352448</v>
      </c>
      <c r="BI55" s="870">
        <f t="shared" si="65"/>
        <v>1024553554.0635599</v>
      </c>
      <c r="BJ55" s="870">
        <f t="shared" si="65"/>
        <v>995970410.32797992</v>
      </c>
      <c r="BK55" s="870">
        <f t="shared" si="65"/>
        <v>849123620.77483535</v>
      </c>
      <c r="BL55" s="870">
        <f t="shared" si="65"/>
        <v>853133242.01529813</v>
      </c>
      <c r="BM55" s="870">
        <f t="shared" si="65"/>
        <v>818558605.69198287</v>
      </c>
      <c r="BN55" s="870">
        <f t="shared" si="65"/>
        <v>847185656.61742938</v>
      </c>
      <c r="BO55" s="870">
        <f t="shared" si="65"/>
        <v>891000284.97990191</v>
      </c>
      <c r="BP55" s="870">
        <f t="shared" si="65"/>
        <v>941319111.75754488</v>
      </c>
      <c r="BQ55" s="870">
        <f t="shared" si="65"/>
        <v>971793331.47727704</v>
      </c>
      <c r="BR55" s="870">
        <f t="shared" si="65"/>
        <v>1027070112.3841188</v>
      </c>
      <c r="BS55" s="870">
        <f t="shared" ref="BS55:CL55" si="66">BS23*BS2+BS3*BS24+BS25*BS4+BS5*BS26+BS27*FB41</f>
        <v>923869744.22114718</v>
      </c>
      <c r="BT55" s="870">
        <f t="shared" si="66"/>
        <v>665252904.70948803</v>
      </c>
      <c r="BU55" s="870">
        <f t="shared" si="66"/>
        <v>368406395.39900076</v>
      </c>
      <c r="BV55" s="870">
        <f t="shared" si="66"/>
        <v>538872624.88106692</v>
      </c>
      <c r="BW55" s="870">
        <f t="shared" si="66"/>
        <v>716301378.97952318</v>
      </c>
      <c r="BX55" s="870">
        <f t="shared" si="66"/>
        <v>759767691.27775824</v>
      </c>
      <c r="BY55" s="870">
        <f t="shared" si="66"/>
        <v>757483270.39244938</v>
      </c>
      <c r="BZ55" s="870">
        <f t="shared" si="66"/>
        <v>757990384.87812853</v>
      </c>
      <c r="CA55" s="870">
        <f t="shared" si="66"/>
        <v>757616124.50786948</v>
      </c>
      <c r="CB55" s="870">
        <f t="shared" si="66"/>
        <v>792046086.35622621</v>
      </c>
      <c r="CC55" s="870">
        <f t="shared" si="66"/>
        <v>866456599.19573867</v>
      </c>
      <c r="CD55" s="870">
        <f t="shared" si="66"/>
        <v>999929435.5466944</v>
      </c>
      <c r="CE55" s="870">
        <f t="shared" si="66"/>
        <v>1096542575.9022841</v>
      </c>
      <c r="CF55" s="870">
        <f t="shared" si="66"/>
        <v>1131173136.9815817</v>
      </c>
      <c r="CG55" s="870">
        <f t="shared" si="66"/>
        <v>1085394698.418916</v>
      </c>
      <c r="CH55" s="870">
        <f t="shared" si="66"/>
        <v>1070705536.7716056</v>
      </c>
      <c r="CI55" s="870">
        <f t="shared" si="66"/>
        <v>1160102865.5103626</v>
      </c>
      <c r="CJ55" s="870">
        <f t="shared" si="66"/>
        <v>1280046177.8513508</v>
      </c>
      <c r="CK55" s="870">
        <f t="shared" si="66"/>
        <v>1248531899.5030065</v>
      </c>
      <c r="CL55" s="948">
        <f t="shared" si="66"/>
        <v>1296003873.3289766</v>
      </c>
      <c r="CM55" s="856">
        <f t="shared" si="0"/>
        <v>876675605.16500258</v>
      </c>
      <c r="CN55" s="347"/>
      <c r="CO55" s="347"/>
      <c r="CP55" s="347"/>
      <c r="CQ55" s="347"/>
      <c r="CR55" s="347"/>
      <c r="CS55" s="347"/>
      <c r="CT55" s="347"/>
      <c r="CU55" s="347"/>
      <c r="CV55" s="347"/>
      <c r="CW55" s="347"/>
      <c r="CX55" s="347"/>
      <c r="CY55" s="347"/>
      <c r="CZ55" s="347"/>
      <c r="DA55" s="347"/>
      <c r="DB55" s="347"/>
      <c r="DC55" s="347"/>
      <c r="DD55" s="347"/>
      <c r="DE55" s="347"/>
      <c r="DF55" s="347"/>
      <c r="DG55" s="347"/>
      <c r="DH55" s="347"/>
      <c r="DI55" s="347"/>
      <c r="DJ55" s="347"/>
      <c r="DK55" s="347"/>
      <c r="DL55" s="347"/>
      <c r="DM55" s="347"/>
      <c r="DN55" s="347"/>
      <c r="DO55" s="347"/>
      <c r="DP55" s="347"/>
      <c r="DQ55" s="347"/>
      <c r="DR55" s="347"/>
      <c r="DS55" s="347"/>
      <c r="DT55" s="347"/>
      <c r="DU55" s="347"/>
      <c r="DV55" s="347"/>
      <c r="DW55" s="347"/>
      <c r="DX55" s="347"/>
      <c r="DY55" s="347"/>
      <c r="DZ55" s="347"/>
      <c r="EA55" s="347"/>
      <c r="EB55" s="347"/>
      <c r="EC55" s="347"/>
      <c r="ED55" s="347"/>
      <c r="EE55" s="347"/>
      <c r="EF55" s="347"/>
      <c r="EG55" s="347"/>
      <c r="EH55" s="347"/>
      <c r="EI55" s="347"/>
      <c r="EJ55" s="347"/>
      <c r="EK55" s="347"/>
      <c r="EL55" s="347"/>
      <c r="EM55" s="347"/>
      <c r="EN55" s="347"/>
      <c r="EO55" s="347"/>
      <c r="EP55" s="347"/>
      <c r="EQ55" s="347"/>
      <c r="ER55" s="347"/>
      <c r="ES55" s="347"/>
      <c r="ET55" s="347"/>
      <c r="EU55" s="347"/>
      <c r="EV55" s="347"/>
      <c r="EW55" s="347"/>
      <c r="EX55" s="347"/>
      <c r="EY55" s="347"/>
      <c r="EZ55" s="347"/>
      <c r="FA55" s="347"/>
      <c r="FB55" s="347"/>
      <c r="FC55" s="347"/>
      <c r="FD55" s="347"/>
      <c r="FE55" s="347"/>
      <c r="FF55" s="347"/>
      <c r="FG55" s="347"/>
      <c r="FH55" s="347"/>
      <c r="FI55" s="347"/>
      <c r="FJ55" s="347"/>
      <c r="FK55" s="347"/>
      <c r="FL55" s="347"/>
      <c r="FM55" s="347"/>
      <c r="FN55" s="347"/>
      <c r="FO55" s="347"/>
      <c r="FP55" s="347"/>
      <c r="FQ55" s="347"/>
      <c r="FR55" s="347"/>
      <c r="FS55" s="347"/>
      <c r="FT55" s="347"/>
      <c r="FU55" s="347"/>
      <c r="FV55" s="347"/>
    </row>
    <row r="56" spans="1:178">
      <c r="A56" s="1400" t="s">
        <v>543</v>
      </c>
      <c r="B56" s="313" t="s">
        <v>403</v>
      </c>
      <c r="C56" s="583" t="s">
        <v>418</v>
      </c>
      <c r="D56" s="950"/>
      <c r="E56" s="850" t="s">
        <v>544</v>
      </c>
      <c r="F56" s="851" t="s">
        <v>545</v>
      </c>
      <c r="G56" s="583">
        <v>61200</v>
      </c>
      <c r="H56" s="583">
        <v>59900</v>
      </c>
      <c r="I56" s="583">
        <v>56300</v>
      </c>
      <c r="J56" s="583">
        <v>55700</v>
      </c>
      <c r="K56" s="583">
        <v>56300</v>
      </c>
      <c r="L56" s="583">
        <v>58150</v>
      </c>
      <c r="M56" s="583">
        <v>53250</v>
      </c>
      <c r="N56" s="583">
        <v>56120</v>
      </c>
      <c r="O56" s="583">
        <v>54550</v>
      </c>
      <c r="P56" s="583">
        <v>53770</v>
      </c>
      <c r="Q56" s="583">
        <v>49150</v>
      </c>
      <c r="R56" s="850">
        <v>50422</v>
      </c>
      <c r="S56" s="952">
        <v>63830</v>
      </c>
      <c r="T56" s="952">
        <v>65270</v>
      </c>
      <c r="U56" s="952">
        <v>63660</v>
      </c>
      <c r="V56" s="952">
        <v>62890</v>
      </c>
      <c r="W56" s="952">
        <v>59990</v>
      </c>
      <c r="X56" s="952">
        <v>61910</v>
      </c>
      <c r="Y56" s="952">
        <v>63893.9</v>
      </c>
      <c r="Z56" s="952">
        <v>65649.599999999991</v>
      </c>
      <c r="AA56" s="952">
        <v>65504.1</v>
      </c>
      <c r="AB56" s="952">
        <v>65533.2</v>
      </c>
      <c r="AC56" s="952">
        <v>66086.099999999991</v>
      </c>
      <c r="AD56" s="952">
        <v>66018.2</v>
      </c>
      <c r="AE56" s="952">
        <v>67706</v>
      </c>
      <c r="AF56" s="952">
        <v>69975.8</v>
      </c>
      <c r="AG56" s="952">
        <v>72653</v>
      </c>
      <c r="AH56" s="952">
        <v>72400.800000000003</v>
      </c>
      <c r="AI56" s="952">
        <v>72526.899999999994</v>
      </c>
      <c r="AJ56" s="952">
        <v>73943.099999999991</v>
      </c>
      <c r="AK56" s="952">
        <v>74253.5</v>
      </c>
      <c r="AL56" s="952">
        <v>70616</v>
      </c>
      <c r="AM56" s="952">
        <v>68452.899999999994</v>
      </c>
      <c r="AN56" s="952">
        <v>69209.5</v>
      </c>
      <c r="AO56" s="952">
        <v>68404.399999999994</v>
      </c>
      <c r="AP56" s="952">
        <v>68520.800000000003</v>
      </c>
      <c r="AQ56" s="952">
        <v>70034</v>
      </c>
      <c r="AR56" s="952">
        <v>70257.099999999991</v>
      </c>
      <c r="AS56" s="952">
        <v>66367.399999999994</v>
      </c>
      <c r="AT56" s="953">
        <v>66823.3</v>
      </c>
      <c r="AU56" s="952">
        <v>68191</v>
      </c>
      <c r="AV56" s="952">
        <v>74650</v>
      </c>
      <c r="AW56" s="952">
        <v>74650</v>
      </c>
      <c r="AX56" s="952">
        <v>74038</v>
      </c>
      <c r="AY56" s="952">
        <v>77038</v>
      </c>
      <c r="AZ56" s="952">
        <v>85370</v>
      </c>
      <c r="BA56" s="952">
        <v>86820</v>
      </c>
      <c r="BB56" s="952">
        <v>87660</v>
      </c>
      <c r="BC56" s="952">
        <v>84450</v>
      </c>
      <c r="BD56" s="952">
        <v>87130</v>
      </c>
      <c r="BE56" s="952">
        <v>85840</v>
      </c>
      <c r="BF56" s="954">
        <v>69920</v>
      </c>
      <c r="BG56" s="954">
        <v>73060</v>
      </c>
      <c r="BH56" s="954">
        <v>73390</v>
      </c>
      <c r="BI56" s="954">
        <v>71080</v>
      </c>
      <c r="BJ56" s="954">
        <v>71100</v>
      </c>
      <c r="BK56" s="954">
        <v>69220</v>
      </c>
      <c r="BL56" s="954">
        <v>73140</v>
      </c>
      <c r="BM56" s="954">
        <v>75100</v>
      </c>
      <c r="BN56" s="954">
        <v>76560</v>
      </c>
      <c r="BO56" s="954">
        <v>75820</v>
      </c>
      <c r="BP56" s="954">
        <v>74240</v>
      </c>
      <c r="BQ56" s="954">
        <v>74180</v>
      </c>
      <c r="BR56" s="954">
        <v>74790</v>
      </c>
      <c r="BS56" s="954">
        <v>76180</v>
      </c>
      <c r="BT56" s="954">
        <v>75130</v>
      </c>
      <c r="BU56" s="954">
        <v>70280</v>
      </c>
      <c r="BV56" s="954">
        <v>65840</v>
      </c>
      <c r="BW56" s="954">
        <v>73050</v>
      </c>
      <c r="BX56" s="954">
        <v>75370</v>
      </c>
      <c r="BY56" s="954">
        <v>78360</v>
      </c>
      <c r="BZ56" s="954">
        <v>85450</v>
      </c>
      <c r="CA56" s="954">
        <v>93490</v>
      </c>
      <c r="CB56" s="954">
        <v>98520</v>
      </c>
      <c r="CC56" s="954">
        <v>110130</v>
      </c>
      <c r="CD56" s="954">
        <v>118350</v>
      </c>
      <c r="CE56" s="954">
        <v>118720</v>
      </c>
      <c r="CF56" s="954">
        <v>122550</v>
      </c>
      <c r="CG56" s="954">
        <v>127300</v>
      </c>
      <c r="CH56" s="954">
        <v>129000</v>
      </c>
      <c r="CI56" s="954">
        <v>124550</v>
      </c>
      <c r="CJ56" s="954">
        <v>118450</v>
      </c>
      <c r="CK56" s="954">
        <v>112300</v>
      </c>
      <c r="CL56" s="955">
        <v>115700</v>
      </c>
      <c r="CM56" s="856">
        <f t="shared" si="0"/>
        <v>75992.245238095231</v>
      </c>
      <c r="CN56" s="347"/>
      <c r="CO56" s="347"/>
      <c r="CP56" s="347"/>
      <c r="CQ56" s="347"/>
      <c r="CR56" s="347"/>
      <c r="CS56" s="347"/>
      <c r="CT56" s="347"/>
      <c r="CU56" s="347"/>
      <c r="CV56" s="347"/>
      <c r="CW56" s="347"/>
      <c r="CX56" s="347"/>
      <c r="CY56" s="347"/>
      <c r="CZ56" s="347"/>
      <c r="DA56" s="347"/>
      <c r="DB56" s="347"/>
      <c r="DC56" s="347"/>
      <c r="DD56" s="347"/>
      <c r="DE56" s="347"/>
      <c r="DF56" s="347"/>
      <c r="DG56" s="347"/>
      <c r="DH56" s="347"/>
      <c r="DI56" s="347"/>
      <c r="DJ56" s="347"/>
      <c r="DK56" s="347"/>
      <c r="DL56" s="347"/>
      <c r="DM56" s="347"/>
      <c r="DN56" s="347"/>
      <c r="DO56" s="347"/>
      <c r="DP56" s="347"/>
      <c r="DQ56" s="347"/>
      <c r="DR56" s="347"/>
      <c r="DS56" s="347"/>
      <c r="DT56" s="347"/>
      <c r="DU56" s="347"/>
      <c r="DV56" s="347"/>
      <c r="DW56" s="347"/>
      <c r="DX56" s="347"/>
      <c r="DY56" s="347"/>
      <c r="DZ56" s="347"/>
      <c r="EA56" s="347"/>
      <c r="EB56" s="347"/>
      <c r="EC56" s="347"/>
      <c r="ED56" s="347"/>
      <c r="EE56" s="347"/>
      <c r="EF56" s="347"/>
      <c r="EG56" s="347"/>
      <c r="EH56" s="347"/>
      <c r="EI56" s="347"/>
      <c r="EJ56" s="347"/>
      <c r="EK56" s="347"/>
      <c r="EL56" s="347"/>
      <c r="EM56" s="347"/>
      <c r="EN56" s="347"/>
      <c r="EO56" s="347"/>
      <c r="EP56" s="347"/>
      <c r="EQ56" s="347"/>
      <c r="ER56" s="347"/>
      <c r="ES56" s="347"/>
      <c r="ET56" s="347"/>
      <c r="EU56" s="347"/>
      <c r="EV56" s="347"/>
      <c r="EW56" s="347"/>
      <c r="EX56" s="347"/>
      <c r="EY56" s="347"/>
      <c r="EZ56" s="347"/>
      <c r="FA56" s="347"/>
      <c r="FB56" s="347"/>
      <c r="FC56" s="347"/>
      <c r="FD56" s="347"/>
      <c r="FE56" s="347"/>
      <c r="FF56" s="347"/>
      <c r="FG56" s="347"/>
      <c r="FH56" s="347"/>
      <c r="FI56" s="347"/>
      <c r="FJ56" s="347"/>
      <c r="FK56" s="347"/>
      <c r="FL56" s="347"/>
      <c r="FM56" s="347"/>
      <c r="FN56" s="347"/>
      <c r="FO56" s="347"/>
      <c r="FP56" s="347"/>
      <c r="FQ56" s="347"/>
      <c r="FR56" s="347"/>
      <c r="FS56" s="347"/>
      <c r="FT56" s="347"/>
      <c r="FU56" s="347"/>
      <c r="FV56" s="347"/>
    </row>
    <row r="57" spans="1:178">
      <c r="A57" s="1401"/>
      <c r="B57" s="859" t="s">
        <v>403</v>
      </c>
      <c r="C57" s="860" t="s">
        <v>418</v>
      </c>
      <c r="D57" s="956"/>
      <c r="E57" s="861" t="s">
        <v>462</v>
      </c>
      <c r="F57" s="1166" t="s">
        <v>546</v>
      </c>
      <c r="G57" s="860">
        <v>77300</v>
      </c>
      <c r="H57" s="860">
        <v>75200</v>
      </c>
      <c r="I57" s="860">
        <v>72150</v>
      </c>
      <c r="J57" s="860">
        <v>70700</v>
      </c>
      <c r="K57" s="860">
        <v>71399</v>
      </c>
      <c r="L57" s="860">
        <v>74500</v>
      </c>
      <c r="M57" s="860">
        <v>72800</v>
      </c>
      <c r="N57" s="860">
        <v>69900</v>
      </c>
      <c r="O57" s="860">
        <v>65300</v>
      </c>
      <c r="P57" s="860">
        <v>67800</v>
      </c>
      <c r="Q57" s="860">
        <v>65900</v>
      </c>
      <c r="R57" s="861">
        <v>63400</v>
      </c>
      <c r="S57" s="958">
        <f t="shared" ref="S57:AS57" si="67">S56*0.95</f>
        <v>60638.5</v>
      </c>
      <c r="T57" s="958">
        <f t="shared" si="67"/>
        <v>62006.5</v>
      </c>
      <c r="U57" s="958">
        <f t="shared" si="67"/>
        <v>60477</v>
      </c>
      <c r="V57" s="958">
        <f t="shared" si="67"/>
        <v>59745.5</v>
      </c>
      <c r="W57" s="958">
        <f t="shared" si="67"/>
        <v>56990.5</v>
      </c>
      <c r="X57" s="958">
        <f t="shared" si="67"/>
        <v>58814.5</v>
      </c>
      <c r="Y57" s="958">
        <f t="shared" si="67"/>
        <v>60699.205000000002</v>
      </c>
      <c r="Z57" s="958">
        <f t="shared" si="67"/>
        <v>62367.119999999988</v>
      </c>
      <c r="AA57" s="958">
        <f t="shared" si="67"/>
        <v>62228.894999999997</v>
      </c>
      <c r="AB57" s="958">
        <f t="shared" si="67"/>
        <v>62256.539999999994</v>
      </c>
      <c r="AC57" s="958">
        <f t="shared" si="67"/>
        <v>62781.794999999991</v>
      </c>
      <c r="AD57" s="958">
        <f t="shared" si="67"/>
        <v>62717.289999999994</v>
      </c>
      <c r="AE57" s="958">
        <f t="shared" si="67"/>
        <v>64320.7</v>
      </c>
      <c r="AF57" s="958">
        <f t="shared" si="67"/>
        <v>66477.009999999995</v>
      </c>
      <c r="AG57" s="958">
        <f t="shared" si="67"/>
        <v>69020.349999999991</v>
      </c>
      <c r="AH57" s="958">
        <f t="shared" si="67"/>
        <v>68780.759999999995</v>
      </c>
      <c r="AI57" s="958">
        <f t="shared" si="67"/>
        <v>68900.554999999993</v>
      </c>
      <c r="AJ57" s="958">
        <f t="shared" si="67"/>
        <v>70245.944999999992</v>
      </c>
      <c r="AK57" s="958">
        <f t="shared" si="67"/>
        <v>70540.824999999997</v>
      </c>
      <c r="AL57" s="958">
        <f t="shared" si="67"/>
        <v>67085.2</v>
      </c>
      <c r="AM57" s="958">
        <f t="shared" si="67"/>
        <v>65030.25499999999</v>
      </c>
      <c r="AN57" s="958">
        <f t="shared" si="67"/>
        <v>65749.024999999994</v>
      </c>
      <c r="AO57" s="958">
        <f t="shared" si="67"/>
        <v>64984.179999999993</v>
      </c>
      <c r="AP57" s="958">
        <f t="shared" si="67"/>
        <v>65094.76</v>
      </c>
      <c r="AQ57" s="958">
        <f t="shared" si="67"/>
        <v>66532.3</v>
      </c>
      <c r="AR57" s="958">
        <f t="shared" si="67"/>
        <v>66744.244999999995</v>
      </c>
      <c r="AS57" s="958">
        <f t="shared" si="67"/>
        <v>63049.029999999992</v>
      </c>
      <c r="AT57" s="958">
        <f>AT56*0.95</f>
        <v>63482.135000000002</v>
      </c>
      <c r="AU57" s="958">
        <f t="shared" ref="AU57:CL57" si="68">AU56*0.95</f>
        <v>64781.45</v>
      </c>
      <c r="AV57" s="958">
        <f t="shared" si="68"/>
        <v>70917.5</v>
      </c>
      <c r="AW57" s="958">
        <f t="shared" si="68"/>
        <v>70917.5</v>
      </c>
      <c r="AX57" s="958">
        <f t="shared" si="68"/>
        <v>70336.099999999991</v>
      </c>
      <c r="AY57" s="958">
        <f t="shared" si="68"/>
        <v>73186.099999999991</v>
      </c>
      <c r="AZ57" s="958">
        <f t="shared" si="68"/>
        <v>81101.5</v>
      </c>
      <c r="BA57" s="958">
        <f t="shared" si="68"/>
        <v>82479</v>
      </c>
      <c r="BB57" s="958">
        <f t="shared" si="68"/>
        <v>83277</v>
      </c>
      <c r="BC57" s="958">
        <f t="shared" si="68"/>
        <v>80227.5</v>
      </c>
      <c r="BD57" s="958">
        <f t="shared" si="68"/>
        <v>82773.5</v>
      </c>
      <c r="BE57" s="958">
        <f t="shared" si="68"/>
        <v>81548</v>
      </c>
      <c r="BF57" s="959">
        <f t="shared" si="68"/>
        <v>66424</v>
      </c>
      <c r="BG57" s="959">
        <f t="shared" si="68"/>
        <v>69407</v>
      </c>
      <c r="BH57" s="959">
        <f t="shared" si="68"/>
        <v>69720.5</v>
      </c>
      <c r="BI57" s="959">
        <f t="shared" si="68"/>
        <v>67526</v>
      </c>
      <c r="BJ57" s="959">
        <f t="shared" si="68"/>
        <v>67545</v>
      </c>
      <c r="BK57" s="959">
        <f t="shared" si="68"/>
        <v>65759</v>
      </c>
      <c r="BL57" s="959">
        <f t="shared" si="68"/>
        <v>69483</v>
      </c>
      <c r="BM57" s="959">
        <f t="shared" si="68"/>
        <v>71345</v>
      </c>
      <c r="BN57" s="959">
        <f t="shared" si="68"/>
        <v>72732</v>
      </c>
      <c r="BO57" s="959">
        <f t="shared" si="68"/>
        <v>72029</v>
      </c>
      <c r="BP57" s="959">
        <f t="shared" si="68"/>
        <v>70528</v>
      </c>
      <c r="BQ57" s="959">
        <f t="shared" si="68"/>
        <v>70471</v>
      </c>
      <c r="BR57" s="959">
        <f t="shared" si="68"/>
        <v>71050.5</v>
      </c>
      <c r="BS57" s="959">
        <f t="shared" si="68"/>
        <v>72371</v>
      </c>
      <c r="BT57" s="959">
        <f t="shared" si="68"/>
        <v>71373.5</v>
      </c>
      <c r="BU57" s="959">
        <f t="shared" si="68"/>
        <v>66766</v>
      </c>
      <c r="BV57" s="959">
        <f t="shared" si="68"/>
        <v>62548</v>
      </c>
      <c r="BW57" s="959">
        <f t="shared" si="68"/>
        <v>69397.5</v>
      </c>
      <c r="BX57" s="959">
        <f t="shared" si="68"/>
        <v>71601.5</v>
      </c>
      <c r="BY57" s="959">
        <f t="shared" si="68"/>
        <v>74442</v>
      </c>
      <c r="BZ57" s="959">
        <f t="shared" si="68"/>
        <v>81177.5</v>
      </c>
      <c r="CA57" s="959">
        <f t="shared" si="68"/>
        <v>88815.5</v>
      </c>
      <c r="CB57" s="959">
        <f t="shared" si="68"/>
        <v>93594</v>
      </c>
      <c r="CC57" s="959">
        <f t="shared" si="68"/>
        <v>104623.5</v>
      </c>
      <c r="CD57" s="959">
        <f t="shared" si="68"/>
        <v>112432.5</v>
      </c>
      <c r="CE57" s="959">
        <f t="shared" si="68"/>
        <v>112784</v>
      </c>
      <c r="CF57" s="959">
        <f t="shared" si="68"/>
        <v>116422.5</v>
      </c>
      <c r="CG57" s="959">
        <f t="shared" si="68"/>
        <v>120935</v>
      </c>
      <c r="CH57" s="959">
        <f t="shared" si="68"/>
        <v>122550</v>
      </c>
      <c r="CI57" s="959">
        <f t="shared" si="68"/>
        <v>118322.5</v>
      </c>
      <c r="CJ57" s="959">
        <f t="shared" si="68"/>
        <v>112527.5</v>
      </c>
      <c r="CK57" s="959">
        <f t="shared" si="68"/>
        <v>106685</v>
      </c>
      <c r="CL57" s="960">
        <f t="shared" si="68"/>
        <v>109915</v>
      </c>
      <c r="CM57" s="856">
        <f t="shared" si="0"/>
        <v>74749.509166666656</v>
      </c>
      <c r="CN57" s="347"/>
      <c r="CO57" s="347"/>
      <c r="CP57" s="347"/>
      <c r="CQ57" s="347"/>
      <c r="CR57" s="347"/>
      <c r="CS57" s="347"/>
      <c r="CT57" s="347"/>
      <c r="CU57" s="347"/>
      <c r="CV57" s="347"/>
      <c r="CW57" s="347"/>
      <c r="CX57" s="347"/>
      <c r="CY57" s="347"/>
      <c r="CZ57" s="347"/>
      <c r="DA57" s="347"/>
      <c r="DB57" s="347"/>
      <c r="DC57" s="347"/>
      <c r="DD57" s="347"/>
      <c r="DE57" s="347"/>
      <c r="DF57" s="347"/>
      <c r="DG57" s="347"/>
      <c r="DH57" s="347"/>
      <c r="DI57" s="347"/>
      <c r="DJ57" s="347"/>
      <c r="DK57" s="347"/>
      <c r="DL57" s="347"/>
      <c r="DM57" s="347"/>
      <c r="DN57" s="347"/>
      <c r="DO57" s="347"/>
      <c r="DP57" s="347"/>
      <c r="DQ57" s="347"/>
      <c r="DR57" s="347"/>
      <c r="DS57" s="347"/>
      <c r="DT57" s="347"/>
      <c r="DU57" s="347"/>
      <c r="DV57" s="347"/>
      <c r="DW57" s="347"/>
      <c r="DX57" s="347"/>
      <c r="DY57" s="347"/>
      <c r="DZ57" s="347"/>
      <c r="EA57" s="347"/>
      <c r="EB57" s="347"/>
      <c r="EC57" s="347"/>
      <c r="ED57" s="347"/>
      <c r="EE57" s="347"/>
      <c r="EF57" s="347"/>
      <c r="EG57" s="347"/>
      <c r="EH57" s="347"/>
      <c r="EI57" s="347"/>
      <c r="EJ57" s="347"/>
      <c r="EK57" s="347"/>
      <c r="EL57" s="347"/>
      <c r="EM57" s="347"/>
      <c r="EN57" s="347"/>
      <c r="EO57" s="347"/>
      <c r="EP57" s="347"/>
      <c r="EQ57" s="347"/>
      <c r="ER57" s="347"/>
      <c r="ES57" s="347"/>
      <c r="ET57" s="347"/>
      <c r="EU57" s="347"/>
      <c r="EV57" s="347"/>
      <c r="EW57" s="347"/>
      <c r="EX57" s="347"/>
      <c r="EY57" s="347"/>
      <c r="EZ57" s="347"/>
      <c r="FA57" s="347"/>
      <c r="FB57" s="347"/>
      <c r="FC57" s="347"/>
      <c r="FD57" s="347"/>
      <c r="FE57" s="347"/>
      <c r="FF57" s="347"/>
      <c r="FG57" s="347"/>
      <c r="FH57" s="347"/>
      <c r="FI57" s="347"/>
      <c r="FJ57" s="347"/>
      <c r="FK57" s="347"/>
      <c r="FL57" s="347"/>
      <c r="FM57" s="347"/>
      <c r="FN57" s="347"/>
      <c r="FO57" s="347"/>
      <c r="FP57" s="347"/>
      <c r="FQ57" s="347"/>
      <c r="FR57" s="347"/>
      <c r="FS57" s="347"/>
      <c r="FT57" s="347"/>
      <c r="FU57" s="347"/>
      <c r="FV57" s="347"/>
    </row>
    <row r="58" spans="1:178">
      <c r="A58" s="347"/>
      <c r="B58" s="347"/>
      <c r="C58" s="347"/>
      <c r="D58" s="347"/>
      <c r="E58" s="347"/>
      <c r="F58" s="961"/>
      <c r="G58" s="961"/>
      <c r="H58" s="961"/>
      <c r="I58" s="961"/>
      <c r="J58" s="961"/>
      <c r="K58" s="961"/>
      <c r="L58" s="961"/>
      <c r="M58" s="961"/>
      <c r="N58" s="961"/>
      <c r="O58" s="961"/>
      <c r="P58" s="961"/>
      <c r="Q58" s="961"/>
      <c r="R58" s="961"/>
      <c r="S58" s="962"/>
      <c r="T58" s="962"/>
      <c r="U58" s="962"/>
      <c r="V58" s="962"/>
      <c r="W58" s="962"/>
      <c r="X58" s="962"/>
      <c r="Y58" s="962"/>
      <c r="Z58" s="962"/>
      <c r="AA58" s="962"/>
      <c r="AB58" s="962"/>
      <c r="AC58" s="962"/>
      <c r="AD58" s="962"/>
      <c r="AE58" s="962"/>
      <c r="AF58" s="962"/>
      <c r="AG58" s="962"/>
      <c r="AH58" s="962"/>
      <c r="AI58" s="962"/>
      <c r="AJ58" s="962"/>
      <c r="AK58" s="962"/>
      <c r="AL58" s="962"/>
      <c r="AM58" s="962"/>
      <c r="AN58" s="962"/>
      <c r="AO58" s="962"/>
      <c r="AP58" s="962"/>
      <c r="AQ58" s="962"/>
      <c r="AR58" s="962"/>
      <c r="AS58" s="962"/>
      <c r="AT58" s="963">
        <v>8000</v>
      </c>
      <c r="AU58" s="962"/>
      <c r="AV58" s="962"/>
      <c r="AW58" s="962"/>
      <c r="AX58" s="962"/>
      <c r="AY58" s="962"/>
      <c r="AZ58" s="962"/>
      <c r="BA58" s="962"/>
      <c r="BB58" s="962"/>
      <c r="BC58" s="962"/>
      <c r="BD58" s="962"/>
      <c r="BE58" s="962"/>
      <c r="BF58" s="962"/>
      <c r="BG58" s="962"/>
      <c r="BH58" s="962"/>
      <c r="BI58" s="962"/>
      <c r="BJ58" s="962"/>
      <c r="BK58" s="962"/>
      <c r="BL58" s="962"/>
      <c r="BM58" s="962"/>
      <c r="BN58" s="962"/>
      <c r="BO58" s="962"/>
      <c r="BP58" s="962"/>
      <c r="BQ58" s="962"/>
      <c r="BR58" s="962"/>
      <c r="BS58" s="962"/>
      <c r="BT58" s="962"/>
      <c r="BU58" s="962"/>
      <c r="BV58" s="962"/>
      <c r="BW58" s="962"/>
      <c r="BX58" s="962"/>
      <c r="BY58" s="962"/>
      <c r="BZ58" s="962"/>
      <c r="CA58" s="962"/>
      <c r="CB58" s="962"/>
      <c r="CC58" s="962"/>
      <c r="CD58" s="962"/>
      <c r="CE58" s="962"/>
      <c r="CF58" s="962"/>
      <c r="CG58" s="962"/>
      <c r="CH58" s="962"/>
      <c r="CI58" s="962"/>
      <c r="CJ58" s="962"/>
      <c r="CK58" s="962"/>
      <c r="CL58" s="962"/>
      <c r="CM58" s="964"/>
      <c r="CN58" s="347"/>
      <c r="CO58" s="347"/>
      <c r="CP58" s="347"/>
      <c r="CQ58" s="347"/>
      <c r="CR58" s="347"/>
      <c r="CS58" s="347"/>
      <c r="CT58" s="347"/>
      <c r="CU58" s="347"/>
      <c r="CV58" s="347"/>
      <c r="CW58" s="347"/>
      <c r="CX58" s="347"/>
      <c r="CY58" s="347"/>
      <c r="CZ58" s="347"/>
      <c r="DA58" s="347"/>
      <c r="DB58" s="347"/>
      <c r="DC58" s="347"/>
      <c r="DD58" s="347"/>
      <c r="DE58" s="347"/>
      <c r="DF58" s="347"/>
      <c r="DG58" s="347"/>
      <c r="DH58" s="347"/>
      <c r="DI58" s="347"/>
      <c r="DJ58" s="347"/>
      <c r="DK58" s="347"/>
      <c r="DL58" s="347"/>
      <c r="DM58" s="347"/>
      <c r="DN58" s="347"/>
      <c r="DO58" s="347"/>
      <c r="DP58" s="347"/>
      <c r="DQ58" s="347"/>
      <c r="DR58" s="347"/>
      <c r="DS58" s="347"/>
      <c r="DT58" s="347"/>
      <c r="DU58" s="347"/>
      <c r="DV58" s="347"/>
      <c r="DW58" s="347"/>
      <c r="DX58" s="347"/>
      <c r="DY58" s="347"/>
      <c r="DZ58" s="347"/>
      <c r="EA58" s="347"/>
      <c r="EB58" s="347"/>
      <c r="EC58" s="347"/>
      <c r="ED58" s="347"/>
      <c r="EE58" s="347"/>
      <c r="EF58" s="347"/>
      <c r="EG58" s="347"/>
      <c r="EH58" s="347"/>
      <c r="EI58" s="347"/>
      <c r="EJ58" s="347"/>
      <c r="EK58" s="347"/>
      <c r="EL58" s="347"/>
      <c r="EM58" s="347"/>
      <c r="EN58" s="347"/>
      <c r="EO58" s="347"/>
      <c r="EP58" s="347"/>
      <c r="EQ58" s="347"/>
      <c r="ER58" s="347"/>
      <c r="ES58" s="347"/>
      <c r="ET58" s="347"/>
      <c r="EU58" s="347"/>
      <c r="EV58" s="347"/>
      <c r="EW58" s="347"/>
      <c r="EX58" s="347"/>
      <c r="EY58" s="347"/>
      <c r="EZ58" s="347"/>
      <c r="FA58" s="347"/>
      <c r="FB58" s="347"/>
      <c r="FC58" s="347"/>
      <c r="FD58" s="347"/>
      <c r="FE58" s="347"/>
      <c r="FF58" s="347"/>
      <c r="FG58" s="347"/>
      <c r="FH58" s="347"/>
      <c r="FI58" s="347"/>
      <c r="FJ58" s="347"/>
      <c r="FK58" s="347"/>
      <c r="FL58" s="347"/>
      <c r="FM58" s="347"/>
      <c r="FN58" s="347"/>
      <c r="FO58" s="347"/>
      <c r="FP58" s="347"/>
      <c r="FQ58" s="347"/>
      <c r="FR58" s="347"/>
      <c r="FS58" s="347"/>
      <c r="FT58" s="347"/>
      <c r="FU58" s="347"/>
      <c r="FV58" s="347"/>
    </row>
    <row r="59" spans="1:178" ht="12.75" customHeight="1">
      <c r="A59" s="1402" t="s">
        <v>654</v>
      </c>
      <c r="B59" s="1402"/>
      <c r="C59" s="1402"/>
      <c r="D59" s="1402"/>
      <c r="E59" s="1403"/>
      <c r="F59" s="965" t="s">
        <v>211</v>
      </c>
      <c r="G59" s="965"/>
      <c r="H59" s="965"/>
      <c r="I59" s="965"/>
      <c r="J59" s="965"/>
      <c r="K59" s="965"/>
      <c r="L59" s="965"/>
      <c r="M59" s="965"/>
      <c r="N59" s="965"/>
      <c r="O59" s="965"/>
      <c r="P59" s="965"/>
      <c r="Q59" s="965"/>
      <c r="R59" s="965"/>
      <c r="S59" s="966"/>
      <c r="T59" s="966"/>
      <c r="U59" s="966"/>
      <c r="V59" s="966"/>
      <c r="W59" s="966"/>
      <c r="X59" s="966"/>
      <c r="Y59" s="966"/>
      <c r="Z59" s="966"/>
      <c r="AA59" s="966"/>
      <c r="AB59" s="966"/>
      <c r="AC59" s="966"/>
      <c r="AD59" s="966"/>
      <c r="AE59" s="966"/>
      <c r="AF59" s="966"/>
      <c r="AG59" s="966"/>
      <c r="AH59" s="966"/>
      <c r="AI59" s="966"/>
      <c r="AJ59" s="966"/>
      <c r="AK59" s="966"/>
      <c r="AL59" s="966"/>
      <c r="AM59" s="966"/>
      <c r="AN59" s="966"/>
      <c r="AO59" s="966"/>
      <c r="AP59" s="966"/>
      <c r="AQ59" s="966"/>
      <c r="AR59" s="966"/>
      <c r="AS59" s="966"/>
      <c r="AT59" s="967"/>
      <c r="AU59" s="598"/>
      <c r="AV59" s="598"/>
      <c r="AW59" s="598"/>
      <c r="AX59" s="598"/>
      <c r="AY59" s="598"/>
      <c r="AZ59" s="598"/>
      <c r="BA59" s="598"/>
      <c r="BB59" s="598"/>
      <c r="BC59" s="598"/>
      <c r="BD59" s="598"/>
      <c r="BE59" s="598"/>
      <c r="BF59" s="598"/>
      <c r="BG59" s="598"/>
      <c r="BH59" s="598"/>
      <c r="BI59" s="598"/>
      <c r="BJ59" s="598"/>
      <c r="BK59" s="598"/>
      <c r="BL59" s="598"/>
      <c r="BM59" s="598"/>
      <c r="BN59" s="598"/>
      <c r="BO59" s="598"/>
      <c r="BP59" s="598"/>
      <c r="BQ59" s="598"/>
      <c r="BR59" s="598"/>
      <c r="BS59" s="598"/>
      <c r="BT59" s="598"/>
      <c r="BU59" s="598"/>
      <c r="BV59" s="598"/>
      <c r="BW59" s="598"/>
      <c r="BX59" s="598"/>
      <c r="BY59" s="598"/>
      <c r="BZ59" s="598"/>
      <c r="CA59" s="598"/>
      <c r="CB59" s="598"/>
      <c r="CC59" s="598"/>
      <c r="CD59" s="598"/>
      <c r="CE59" s="598"/>
      <c r="CF59" s="598"/>
      <c r="CG59" s="598"/>
      <c r="CH59" s="598"/>
      <c r="CI59" s="598"/>
      <c r="CJ59" s="598"/>
      <c r="CK59" s="598"/>
      <c r="CL59" s="598"/>
      <c r="CM59" s="966"/>
      <c r="CN59" s="347"/>
      <c r="CO59" s="347"/>
      <c r="CP59" s="347"/>
      <c r="CQ59" s="347"/>
      <c r="CR59" s="347"/>
      <c r="CS59" s="347"/>
      <c r="CT59" s="347"/>
      <c r="CU59" s="347"/>
      <c r="CV59" s="347"/>
      <c r="CW59" s="347"/>
      <c r="CX59" s="347"/>
      <c r="CY59" s="347"/>
      <c r="CZ59" s="347"/>
      <c r="DA59" s="347"/>
      <c r="DB59" s="347"/>
      <c r="DC59" s="347"/>
      <c r="DD59" s="347"/>
      <c r="DE59" s="347"/>
      <c r="DF59" s="347"/>
      <c r="DG59" s="347"/>
      <c r="DH59" s="347"/>
      <c r="DI59" s="347"/>
      <c r="DJ59" s="347"/>
      <c r="DK59" s="347"/>
      <c r="DL59" s="347"/>
      <c r="DM59" s="347"/>
      <c r="DN59" s="347"/>
      <c r="DO59" s="347"/>
      <c r="DP59" s="347"/>
      <c r="DQ59" s="347"/>
      <c r="DR59" s="347"/>
      <c r="DS59" s="347"/>
      <c r="DT59" s="347"/>
      <c r="DU59" s="347"/>
      <c r="DV59" s="347"/>
      <c r="DW59" s="347"/>
      <c r="DX59" s="347"/>
      <c r="DY59" s="347"/>
      <c r="DZ59" s="347"/>
      <c r="EA59" s="347"/>
      <c r="EB59" s="347"/>
      <c r="EC59" s="347"/>
      <c r="ED59" s="347"/>
      <c r="EE59" s="347"/>
      <c r="EF59" s="347"/>
      <c r="EG59" s="347"/>
      <c r="EH59" s="347"/>
      <c r="EI59" s="347"/>
      <c r="EJ59" s="347"/>
      <c r="EK59" s="347"/>
      <c r="EL59" s="347"/>
      <c r="EM59" s="347"/>
      <c r="EN59" s="347"/>
      <c r="EO59" s="347"/>
      <c r="EP59" s="347"/>
      <c r="EQ59" s="347"/>
      <c r="ER59" s="347"/>
      <c r="ES59" s="347"/>
      <c r="ET59" s="347"/>
      <c r="EU59" s="347"/>
      <c r="EV59" s="347"/>
      <c r="EW59" s="347"/>
      <c r="EX59" s="347"/>
      <c r="EY59" s="347"/>
      <c r="EZ59" s="347"/>
      <c r="FA59" s="347"/>
      <c r="FB59" s="347"/>
      <c r="FC59" s="347"/>
      <c r="FD59" s="347"/>
      <c r="FE59" s="347"/>
      <c r="FF59" s="347"/>
      <c r="FG59" s="347"/>
      <c r="FH59" s="347"/>
      <c r="FI59" s="347"/>
      <c r="FJ59" s="347"/>
      <c r="FK59" s="347"/>
      <c r="FL59" s="347"/>
      <c r="FM59" s="347"/>
      <c r="FN59" s="347"/>
      <c r="FO59" s="347"/>
      <c r="FP59" s="347"/>
      <c r="FQ59" s="347"/>
      <c r="FR59" s="347"/>
      <c r="FS59" s="347"/>
      <c r="FT59" s="347"/>
      <c r="FU59" s="347"/>
      <c r="FV59" s="347"/>
    </row>
    <row r="60" spans="1:178">
      <c r="A60" s="1402"/>
      <c r="B60" s="1402"/>
      <c r="C60" s="1402"/>
      <c r="D60" s="1402"/>
      <c r="E60" s="1403"/>
      <c r="F60" s="854" t="s">
        <v>212</v>
      </c>
      <c r="G60" s="963">
        <f t="shared" ref="G60:BR61" si="69">G42</f>
        <v>6638289.9524115948</v>
      </c>
      <c r="H60" s="963">
        <f t="shared" si="69"/>
        <v>6638289.9524115948</v>
      </c>
      <c r="I60" s="963">
        <f t="shared" si="69"/>
        <v>6638289.9524115948</v>
      </c>
      <c r="J60" s="963">
        <f t="shared" si="69"/>
        <v>6638289.9524115948</v>
      </c>
      <c r="K60" s="963">
        <f t="shared" si="69"/>
        <v>6638289.9524115948</v>
      </c>
      <c r="L60" s="963">
        <f t="shared" si="69"/>
        <v>6638289.9524115948</v>
      </c>
      <c r="M60" s="963">
        <f t="shared" si="69"/>
        <v>6638289.9524115948</v>
      </c>
      <c r="N60" s="963">
        <f t="shared" si="69"/>
        <v>6638289.9524115948</v>
      </c>
      <c r="O60" s="963">
        <f t="shared" si="69"/>
        <v>6638289.9524115948</v>
      </c>
      <c r="P60" s="963">
        <f t="shared" si="69"/>
        <v>6638289.9524115948</v>
      </c>
      <c r="Q60" s="963">
        <f t="shared" si="69"/>
        <v>6638289.9524115948</v>
      </c>
      <c r="R60" s="963">
        <f t="shared" si="69"/>
        <v>6638289.9524115948</v>
      </c>
      <c r="S60" s="963">
        <f t="shared" si="69"/>
        <v>6638289.9524115948</v>
      </c>
      <c r="T60" s="963">
        <f t="shared" si="69"/>
        <v>6638289.9524115948</v>
      </c>
      <c r="U60" s="963">
        <f t="shared" si="69"/>
        <v>6638289.9524115948</v>
      </c>
      <c r="V60" s="963">
        <f t="shared" si="69"/>
        <v>6638289.9524115948</v>
      </c>
      <c r="W60" s="963">
        <f t="shared" si="69"/>
        <v>6638289.9524115948</v>
      </c>
      <c r="X60" s="963">
        <f t="shared" si="69"/>
        <v>6638289.9524115948</v>
      </c>
      <c r="Y60" s="963">
        <f t="shared" si="69"/>
        <v>6638289.9524115948</v>
      </c>
      <c r="Z60" s="963">
        <f t="shared" si="69"/>
        <v>6638289.9524115948</v>
      </c>
      <c r="AA60" s="963">
        <f t="shared" si="69"/>
        <v>6638289.9524115948</v>
      </c>
      <c r="AB60" s="963">
        <f t="shared" si="69"/>
        <v>6638289.9524115948</v>
      </c>
      <c r="AC60" s="963">
        <f t="shared" si="69"/>
        <v>6638289.9524115948</v>
      </c>
      <c r="AD60" s="963">
        <f t="shared" si="69"/>
        <v>6638289.9524115948</v>
      </c>
      <c r="AE60" s="963">
        <f t="shared" si="69"/>
        <v>6638289.9524115948</v>
      </c>
      <c r="AF60" s="963">
        <f t="shared" si="69"/>
        <v>6638289.9524115948</v>
      </c>
      <c r="AG60" s="963">
        <f t="shared" si="69"/>
        <v>6638289.9524115948</v>
      </c>
      <c r="AH60" s="963">
        <f t="shared" si="69"/>
        <v>6638289.9524115948</v>
      </c>
      <c r="AI60" s="963">
        <f t="shared" si="69"/>
        <v>6638289.9524115948</v>
      </c>
      <c r="AJ60" s="963">
        <f t="shared" si="69"/>
        <v>6638289.9524115948</v>
      </c>
      <c r="AK60" s="963">
        <f t="shared" si="69"/>
        <v>6638289.9524115948</v>
      </c>
      <c r="AL60" s="963">
        <f t="shared" si="69"/>
        <v>6638289.9524115948</v>
      </c>
      <c r="AM60" s="963">
        <f t="shared" si="69"/>
        <v>6638289.9524115948</v>
      </c>
      <c r="AN60" s="963">
        <f t="shared" si="69"/>
        <v>6638289.9524115948</v>
      </c>
      <c r="AO60" s="963">
        <f t="shared" si="69"/>
        <v>6638289.9524115948</v>
      </c>
      <c r="AP60" s="963">
        <f t="shared" si="69"/>
        <v>6638289.9524115948</v>
      </c>
      <c r="AQ60" s="963">
        <f t="shared" si="69"/>
        <v>6638289.9524115948</v>
      </c>
      <c r="AR60" s="963">
        <f t="shared" si="69"/>
        <v>6638289.9524115948</v>
      </c>
      <c r="AS60" s="963">
        <f t="shared" si="69"/>
        <v>6638289.9524115948</v>
      </c>
      <c r="AT60" s="963">
        <f t="shared" si="69"/>
        <v>6638289.9524115948</v>
      </c>
      <c r="AU60" s="356">
        <f t="shared" si="69"/>
        <v>6638289.9524115948</v>
      </c>
      <c r="AV60" s="356">
        <f t="shared" si="69"/>
        <v>6638289.9524115948</v>
      </c>
      <c r="AW60" s="356">
        <f t="shared" si="69"/>
        <v>6638289.9524115948</v>
      </c>
      <c r="AX60" s="356">
        <f t="shared" si="69"/>
        <v>6638289.9524115948</v>
      </c>
      <c r="AY60" s="356">
        <f t="shared" si="69"/>
        <v>6638289.9524115948</v>
      </c>
      <c r="AZ60" s="356">
        <f t="shared" si="69"/>
        <v>6638289.9524115948</v>
      </c>
      <c r="BA60" s="356">
        <f t="shared" si="69"/>
        <v>6638289.9524115948</v>
      </c>
      <c r="BB60" s="356">
        <f t="shared" si="69"/>
        <v>6638289.9524115948</v>
      </c>
      <c r="BC60" s="356">
        <f t="shared" si="69"/>
        <v>6638289.9524115948</v>
      </c>
      <c r="BD60" s="356">
        <f t="shared" si="69"/>
        <v>6638289.9524115948</v>
      </c>
      <c r="BE60" s="356">
        <f t="shared" si="69"/>
        <v>6638289.9524115948</v>
      </c>
      <c r="BF60" s="356">
        <f t="shared" si="69"/>
        <v>6638289.9524115948</v>
      </c>
      <c r="BG60" s="356">
        <f t="shared" si="69"/>
        <v>6638289.9524115948</v>
      </c>
      <c r="BH60" s="356">
        <f t="shared" si="69"/>
        <v>6638289.9524115948</v>
      </c>
      <c r="BI60" s="356">
        <f t="shared" si="69"/>
        <v>6638289.9524115948</v>
      </c>
      <c r="BJ60" s="356">
        <f t="shared" si="69"/>
        <v>6638289.9524115948</v>
      </c>
      <c r="BK60" s="356">
        <f t="shared" si="69"/>
        <v>6638289.9524115948</v>
      </c>
      <c r="BL60" s="356">
        <f t="shared" si="69"/>
        <v>6638289.9524115948</v>
      </c>
      <c r="BM60" s="356">
        <f t="shared" si="69"/>
        <v>6638289.9524115948</v>
      </c>
      <c r="BN60" s="356">
        <f t="shared" si="69"/>
        <v>6638289.9524115948</v>
      </c>
      <c r="BO60" s="356">
        <f t="shared" si="69"/>
        <v>6638289.9524115948</v>
      </c>
      <c r="BP60" s="356">
        <f t="shared" si="69"/>
        <v>6638289.9524115948</v>
      </c>
      <c r="BQ60" s="356">
        <f t="shared" si="69"/>
        <v>6638289.9524115948</v>
      </c>
      <c r="BR60" s="356">
        <f t="shared" si="69"/>
        <v>6638289.9524115948</v>
      </c>
      <c r="BS60" s="356">
        <f t="shared" ref="BS60:CL61" si="70">BS42</f>
        <v>6638289.9524115948</v>
      </c>
      <c r="BT60" s="356">
        <f t="shared" si="70"/>
        <v>6638289.9524115948</v>
      </c>
      <c r="BU60" s="356">
        <f t="shared" si="70"/>
        <v>6638289.9524115948</v>
      </c>
      <c r="BV60" s="356">
        <f t="shared" si="70"/>
        <v>6638289.9524115948</v>
      </c>
      <c r="BW60" s="356">
        <f t="shared" si="70"/>
        <v>6638289.9524115948</v>
      </c>
      <c r="BX60" s="356">
        <f t="shared" si="70"/>
        <v>6638289.9524115948</v>
      </c>
      <c r="BY60" s="356">
        <f t="shared" si="70"/>
        <v>6638289.9524115948</v>
      </c>
      <c r="BZ60" s="356">
        <f t="shared" si="70"/>
        <v>6638289.9524115948</v>
      </c>
      <c r="CA60" s="356">
        <f t="shared" si="70"/>
        <v>6638289.9524115948</v>
      </c>
      <c r="CB60" s="356">
        <f t="shared" si="70"/>
        <v>6638289.9524115948</v>
      </c>
      <c r="CC60" s="356">
        <f t="shared" si="70"/>
        <v>6638289.9524115948</v>
      </c>
      <c r="CD60" s="356">
        <f t="shared" si="70"/>
        <v>6638289.9524115948</v>
      </c>
      <c r="CE60" s="356">
        <f t="shared" si="70"/>
        <v>6638289.9524115948</v>
      </c>
      <c r="CF60" s="356">
        <f t="shared" si="70"/>
        <v>6638289.9524115948</v>
      </c>
      <c r="CG60" s="356">
        <f t="shared" si="70"/>
        <v>6638289.9524115948</v>
      </c>
      <c r="CH60" s="356">
        <f t="shared" si="70"/>
        <v>6638289.9524115948</v>
      </c>
      <c r="CI60" s="356">
        <f t="shared" si="70"/>
        <v>6638289.9524115948</v>
      </c>
      <c r="CJ60" s="356">
        <f t="shared" si="70"/>
        <v>6638289.9524115948</v>
      </c>
      <c r="CK60" s="356">
        <f t="shared" si="70"/>
        <v>6638289.9524115948</v>
      </c>
      <c r="CL60" s="356">
        <f t="shared" si="70"/>
        <v>6638289.9524115948</v>
      </c>
      <c r="CM60" s="598">
        <f t="shared" si="0"/>
        <v>6638289.9524115948</v>
      </c>
      <c r="CN60" s="347"/>
      <c r="CO60" s="347"/>
      <c r="CP60" s="347"/>
      <c r="CQ60" s="347"/>
      <c r="CR60" s="347"/>
      <c r="CS60" s="347"/>
      <c r="CT60" s="347"/>
      <c r="CU60" s="347"/>
      <c r="CV60" s="347"/>
      <c r="CW60" s="347"/>
      <c r="CX60" s="347"/>
      <c r="CY60" s="347"/>
      <c r="CZ60" s="347"/>
      <c r="DA60" s="347"/>
      <c r="DB60" s="347"/>
      <c r="DC60" s="347"/>
      <c r="DD60" s="347"/>
      <c r="DE60" s="347"/>
      <c r="DF60" s="347"/>
      <c r="DG60" s="347"/>
      <c r="DH60" s="347"/>
      <c r="DI60" s="347"/>
      <c r="DJ60" s="347"/>
      <c r="DK60" s="347"/>
      <c r="DL60" s="347"/>
      <c r="DM60" s="347"/>
      <c r="DN60" s="347"/>
      <c r="DO60" s="347"/>
      <c r="DP60" s="347"/>
      <c r="DQ60" s="347"/>
      <c r="DR60" s="347"/>
      <c r="DS60" s="347"/>
      <c r="DT60" s="347"/>
      <c r="DU60" s="347"/>
      <c r="DV60" s="347"/>
      <c r="DW60" s="347"/>
      <c r="DX60" s="347"/>
      <c r="DY60" s="347"/>
      <c r="DZ60" s="347"/>
      <c r="EA60" s="347"/>
      <c r="EB60" s="347"/>
      <c r="EC60" s="347"/>
      <c r="ED60" s="347"/>
      <c r="EE60" s="347"/>
      <c r="EF60" s="347"/>
      <c r="EG60" s="347"/>
      <c r="EH60" s="347"/>
      <c r="EI60" s="347"/>
      <c r="EJ60" s="347"/>
      <c r="EK60" s="347"/>
      <c r="EL60" s="347"/>
      <c r="EM60" s="347"/>
      <c r="EN60" s="347"/>
      <c r="EO60" s="347"/>
      <c r="EP60" s="347"/>
      <c r="EQ60" s="347"/>
      <c r="ER60" s="347"/>
      <c r="ES60" s="347"/>
      <c r="ET60" s="347"/>
      <c r="EU60" s="347"/>
      <c r="EV60" s="347"/>
      <c r="EW60" s="347"/>
      <c r="EX60" s="347"/>
      <c r="EY60" s="347"/>
      <c r="EZ60" s="347"/>
      <c r="FA60" s="347"/>
      <c r="FB60" s="347"/>
      <c r="FC60" s="347"/>
      <c r="FD60" s="347"/>
      <c r="FE60" s="347"/>
      <c r="FF60" s="347"/>
      <c r="FG60" s="347"/>
      <c r="FH60" s="347"/>
      <c r="FI60" s="347"/>
      <c r="FJ60" s="347"/>
      <c r="FK60" s="347"/>
      <c r="FL60" s="347"/>
      <c r="FM60" s="347"/>
      <c r="FN60" s="347"/>
      <c r="FO60" s="347"/>
      <c r="FP60" s="347"/>
      <c r="FQ60" s="347"/>
      <c r="FR60" s="347"/>
      <c r="FS60" s="347"/>
      <c r="FT60" s="347"/>
      <c r="FU60" s="347"/>
      <c r="FV60" s="347"/>
    </row>
    <row r="61" spans="1:178">
      <c r="A61" s="1402"/>
      <c r="B61" s="1402"/>
      <c r="C61" s="1402"/>
      <c r="D61" s="1402"/>
      <c r="E61" s="1403"/>
      <c r="F61" s="854" t="s">
        <v>213</v>
      </c>
      <c r="G61" s="963">
        <f t="shared" si="69"/>
        <v>13038234.966666667</v>
      </c>
      <c r="H61" s="963">
        <f t="shared" si="69"/>
        <v>13038234.966666667</v>
      </c>
      <c r="I61" s="963">
        <f t="shared" si="69"/>
        <v>13038234.966666667</v>
      </c>
      <c r="J61" s="963">
        <f t="shared" si="69"/>
        <v>13038234.966666667</v>
      </c>
      <c r="K61" s="963">
        <f t="shared" si="69"/>
        <v>13038234.966666667</v>
      </c>
      <c r="L61" s="963">
        <f t="shared" si="69"/>
        <v>13038234.966666667</v>
      </c>
      <c r="M61" s="963">
        <f t="shared" si="69"/>
        <v>13038234.966666667</v>
      </c>
      <c r="N61" s="963">
        <f t="shared" si="69"/>
        <v>13038234.966666667</v>
      </c>
      <c r="O61" s="963">
        <f t="shared" si="69"/>
        <v>13038234.966666667</v>
      </c>
      <c r="P61" s="963">
        <f t="shared" si="69"/>
        <v>13038234.966666667</v>
      </c>
      <c r="Q61" s="963">
        <f t="shared" si="69"/>
        <v>13038234.966666667</v>
      </c>
      <c r="R61" s="963">
        <f t="shared" si="69"/>
        <v>13038234.966666667</v>
      </c>
      <c r="S61" s="963">
        <f t="shared" si="69"/>
        <v>13038234.966666667</v>
      </c>
      <c r="T61" s="963">
        <f t="shared" si="69"/>
        <v>13038234.966666667</v>
      </c>
      <c r="U61" s="963">
        <f t="shared" si="69"/>
        <v>13038234.966666667</v>
      </c>
      <c r="V61" s="963">
        <f t="shared" si="69"/>
        <v>13038234.966666667</v>
      </c>
      <c r="W61" s="963">
        <f t="shared" si="69"/>
        <v>13038234.966666667</v>
      </c>
      <c r="X61" s="963">
        <f t="shared" si="69"/>
        <v>13038234.966666667</v>
      </c>
      <c r="Y61" s="963">
        <f t="shared" si="69"/>
        <v>13038234.966666667</v>
      </c>
      <c r="Z61" s="963">
        <f t="shared" si="69"/>
        <v>13038234.966666667</v>
      </c>
      <c r="AA61" s="963">
        <f t="shared" si="69"/>
        <v>13038234.966666667</v>
      </c>
      <c r="AB61" s="963">
        <f t="shared" si="69"/>
        <v>13038234.966666667</v>
      </c>
      <c r="AC61" s="963">
        <f t="shared" si="69"/>
        <v>13038234.966666667</v>
      </c>
      <c r="AD61" s="963">
        <f t="shared" si="69"/>
        <v>13038234.966666667</v>
      </c>
      <c r="AE61" s="963">
        <f t="shared" si="69"/>
        <v>13038234.966666667</v>
      </c>
      <c r="AF61" s="963">
        <f t="shared" si="69"/>
        <v>13038234.966666667</v>
      </c>
      <c r="AG61" s="963">
        <f t="shared" si="69"/>
        <v>13038234.966666667</v>
      </c>
      <c r="AH61" s="963">
        <f t="shared" si="69"/>
        <v>13038234.966666667</v>
      </c>
      <c r="AI61" s="963">
        <f t="shared" si="69"/>
        <v>13038234.966666667</v>
      </c>
      <c r="AJ61" s="963">
        <f t="shared" si="69"/>
        <v>13038234.966666667</v>
      </c>
      <c r="AK61" s="963">
        <f t="shared" si="69"/>
        <v>13038234.966666667</v>
      </c>
      <c r="AL61" s="963">
        <f t="shared" si="69"/>
        <v>13038234.966666667</v>
      </c>
      <c r="AM61" s="963">
        <f t="shared" si="69"/>
        <v>13038234.966666667</v>
      </c>
      <c r="AN61" s="963">
        <f t="shared" si="69"/>
        <v>13038234.966666667</v>
      </c>
      <c r="AO61" s="963">
        <f t="shared" si="69"/>
        <v>13038234.966666667</v>
      </c>
      <c r="AP61" s="963">
        <f t="shared" si="69"/>
        <v>13038234.966666667</v>
      </c>
      <c r="AQ61" s="963">
        <f t="shared" si="69"/>
        <v>13038234.966666667</v>
      </c>
      <c r="AR61" s="963">
        <f t="shared" si="69"/>
        <v>13038234.966666667</v>
      </c>
      <c r="AS61" s="963">
        <f t="shared" si="69"/>
        <v>13038234.966666667</v>
      </c>
      <c r="AT61" s="963">
        <f t="shared" si="69"/>
        <v>13038234.966666667</v>
      </c>
      <c r="AU61" s="356">
        <f t="shared" si="69"/>
        <v>13038234.966666667</v>
      </c>
      <c r="AV61" s="356">
        <f t="shared" si="69"/>
        <v>13038234.966666667</v>
      </c>
      <c r="AW61" s="356">
        <f t="shared" si="69"/>
        <v>13038234.966666667</v>
      </c>
      <c r="AX61" s="356">
        <f t="shared" si="69"/>
        <v>13038234.966666667</v>
      </c>
      <c r="AY61" s="356">
        <f t="shared" si="69"/>
        <v>13038234.966666667</v>
      </c>
      <c r="AZ61" s="356">
        <f t="shared" si="69"/>
        <v>13038234.966666667</v>
      </c>
      <c r="BA61" s="356">
        <f t="shared" si="69"/>
        <v>13038234.966666667</v>
      </c>
      <c r="BB61" s="356">
        <f t="shared" si="69"/>
        <v>13038234.966666667</v>
      </c>
      <c r="BC61" s="356">
        <f t="shared" si="69"/>
        <v>13038234.966666667</v>
      </c>
      <c r="BD61" s="356">
        <f t="shared" si="69"/>
        <v>13038234.966666667</v>
      </c>
      <c r="BE61" s="356">
        <f t="shared" si="69"/>
        <v>13038234.966666667</v>
      </c>
      <c r="BF61" s="356">
        <f t="shared" si="69"/>
        <v>13038234.966666667</v>
      </c>
      <c r="BG61" s="356">
        <f t="shared" si="69"/>
        <v>13038234.966666667</v>
      </c>
      <c r="BH61" s="356">
        <f t="shared" si="69"/>
        <v>13038234.966666667</v>
      </c>
      <c r="BI61" s="356">
        <f t="shared" si="69"/>
        <v>13038234.966666667</v>
      </c>
      <c r="BJ61" s="356">
        <f t="shared" si="69"/>
        <v>13038234.966666667</v>
      </c>
      <c r="BK61" s="356">
        <f t="shared" si="69"/>
        <v>13038234.966666667</v>
      </c>
      <c r="BL61" s="356">
        <f t="shared" si="69"/>
        <v>13038234.966666667</v>
      </c>
      <c r="BM61" s="356">
        <f t="shared" si="69"/>
        <v>13038234.966666667</v>
      </c>
      <c r="BN61" s="356">
        <f t="shared" si="69"/>
        <v>13038234.966666667</v>
      </c>
      <c r="BO61" s="356">
        <f t="shared" si="69"/>
        <v>13038234.966666667</v>
      </c>
      <c r="BP61" s="356">
        <f t="shared" si="69"/>
        <v>13038234.966666667</v>
      </c>
      <c r="BQ61" s="356">
        <f t="shared" si="69"/>
        <v>13038234.966666667</v>
      </c>
      <c r="BR61" s="356">
        <f t="shared" si="69"/>
        <v>13038234.966666667</v>
      </c>
      <c r="BS61" s="356">
        <f t="shared" si="70"/>
        <v>13038234.966666667</v>
      </c>
      <c r="BT61" s="356">
        <f t="shared" si="70"/>
        <v>13038234.966666667</v>
      </c>
      <c r="BU61" s="356">
        <f t="shared" si="70"/>
        <v>13038234.966666667</v>
      </c>
      <c r="BV61" s="356">
        <f t="shared" si="70"/>
        <v>13038234.966666667</v>
      </c>
      <c r="BW61" s="356">
        <f t="shared" si="70"/>
        <v>13038234.966666667</v>
      </c>
      <c r="BX61" s="356">
        <f t="shared" si="70"/>
        <v>13038234.966666667</v>
      </c>
      <c r="BY61" s="356">
        <f t="shared" si="70"/>
        <v>13038234.966666667</v>
      </c>
      <c r="BZ61" s="356">
        <f t="shared" si="70"/>
        <v>13038234.966666667</v>
      </c>
      <c r="CA61" s="356">
        <f t="shared" si="70"/>
        <v>13038234.966666667</v>
      </c>
      <c r="CB61" s="356">
        <f t="shared" si="70"/>
        <v>13038234.966666667</v>
      </c>
      <c r="CC61" s="356">
        <f t="shared" si="70"/>
        <v>13038234.966666667</v>
      </c>
      <c r="CD61" s="356">
        <f t="shared" si="70"/>
        <v>13038234.966666667</v>
      </c>
      <c r="CE61" s="356">
        <f t="shared" si="70"/>
        <v>13038234.966666667</v>
      </c>
      <c r="CF61" s="356">
        <f t="shared" si="70"/>
        <v>13038234.966666667</v>
      </c>
      <c r="CG61" s="356">
        <f t="shared" si="70"/>
        <v>13038234.966666667</v>
      </c>
      <c r="CH61" s="356">
        <f t="shared" si="70"/>
        <v>13038234.966666667</v>
      </c>
      <c r="CI61" s="356">
        <f t="shared" si="70"/>
        <v>13038234.966666667</v>
      </c>
      <c r="CJ61" s="356">
        <f t="shared" si="70"/>
        <v>13038234.966666667</v>
      </c>
      <c r="CK61" s="356">
        <f t="shared" si="70"/>
        <v>13038234.966666667</v>
      </c>
      <c r="CL61" s="356">
        <f t="shared" si="70"/>
        <v>13038234.966666667</v>
      </c>
      <c r="CM61" s="356">
        <f t="shared" si="0"/>
        <v>13038234.966666676</v>
      </c>
      <c r="CN61" s="347"/>
      <c r="CO61" s="347"/>
      <c r="CP61" s="347"/>
      <c r="CQ61" s="347"/>
      <c r="CR61" s="347"/>
      <c r="CS61" s="347"/>
      <c r="CT61" s="347"/>
      <c r="CU61" s="347"/>
      <c r="CV61" s="347"/>
      <c r="CW61" s="347"/>
      <c r="CX61" s="347"/>
      <c r="CY61" s="347"/>
      <c r="CZ61" s="347"/>
      <c r="DA61" s="347"/>
      <c r="DB61" s="347"/>
      <c r="DC61" s="347"/>
      <c r="DD61" s="347"/>
      <c r="DE61" s="347"/>
      <c r="DF61" s="347"/>
      <c r="DG61" s="347"/>
      <c r="DH61" s="347"/>
      <c r="DI61" s="347"/>
      <c r="DJ61" s="347"/>
      <c r="DK61" s="347"/>
      <c r="DL61" s="347"/>
      <c r="DM61" s="347"/>
      <c r="DN61" s="347"/>
      <c r="DO61" s="347"/>
      <c r="DP61" s="347"/>
      <c r="DQ61" s="347"/>
      <c r="DR61" s="347"/>
      <c r="DS61" s="347"/>
      <c r="DT61" s="347"/>
      <c r="DU61" s="347"/>
      <c r="DV61" s="347"/>
      <c r="DW61" s="347"/>
      <c r="DX61" s="347"/>
      <c r="DY61" s="347"/>
      <c r="DZ61" s="347"/>
      <c r="EA61" s="347"/>
      <c r="EB61" s="347"/>
      <c r="EC61" s="347"/>
      <c r="ED61" s="347"/>
      <c r="EE61" s="347"/>
      <c r="EF61" s="347"/>
      <c r="EG61" s="347"/>
      <c r="EH61" s="347"/>
      <c r="EI61" s="347"/>
      <c r="EJ61" s="347"/>
      <c r="EK61" s="347"/>
      <c r="EL61" s="347"/>
      <c r="EM61" s="347"/>
      <c r="EN61" s="347"/>
      <c r="EO61" s="347"/>
      <c r="EP61" s="347"/>
      <c r="EQ61" s="347"/>
      <c r="ER61" s="347"/>
      <c r="ES61" s="347"/>
      <c r="ET61" s="347"/>
      <c r="EU61" s="347"/>
      <c r="EV61" s="347"/>
      <c r="EW61" s="347"/>
      <c r="EX61" s="347"/>
      <c r="EY61" s="347"/>
      <c r="EZ61" s="347"/>
      <c r="FA61" s="347"/>
      <c r="FB61" s="347"/>
      <c r="FC61" s="347"/>
      <c r="FD61" s="347"/>
      <c r="FE61" s="347"/>
      <c r="FF61" s="347"/>
      <c r="FG61" s="347"/>
      <c r="FH61" s="347"/>
      <c r="FI61" s="347"/>
      <c r="FJ61" s="347"/>
      <c r="FK61" s="347"/>
      <c r="FL61" s="347"/>
      <c r="FM61" s="347"/>
      <c r="FN61" s="347"/>
      <c r="FO61" s="347"/>
      <c r="FP61" s="347"/>
      <c r="FQ61" s="347"/>
      <c r="FR61" s="347"/>
      <c r="FS61" s="347"/>
      <c r="FT61" s="347"/>
      <c r="FU61" s="347"/>
      <c r="FV61" s="347"/>
    </row>
    <row r="62" spans="1:178">
      <c r="A62" s="1402"/>
      <c r="B62" s="1402"/>
      <c r="C62" s="1402"/>
      <c r="D62" s="1402"/>
      <c r="E62" s="1403"/>
      <c r="F62" s="968" t="s">
        <v>214</v>
      </c>
      <c r="G62" s="963">
        <f t="shared" ref="G62:BR62" si="71">G41</f>
        <v>596656258.48307002</v>
      </c>
      <c r="H62" s="963">
        <f t="shared" si="71"/>
        <v>596656258.48307002</v>
      </c>
      <c r="I62" s="963">
        <f t="shared" si="71"/>
        <v>596656258.48307002</v>
      </c>
      <c r="J62" s="963">
        <f t="shared" si="71"/>
        <v>596658180.75027001</v>
      </c>
      <c r="K62" s="963">
        <f t="shared" si="71"/>
        <v>597103849.24693668</v>
      </c>
      <c r="L62" s="963">
        <f t="shared" si="71"/>
        <v>597104490.00267005</v>
      </c>
      <c r="M62" s="963">
        <f t="shared" si="71"/>
        <v>597104490.00267005</v>
      </c>
      <c r="N62" s="963">
        <f t="shared" si="71"/>
        <v>598356231.16795301</v>
      </c>
      <c r="O62" s="963">
        <f t="shared" si="71"/>
        <v>597105130.75840342</v>
      </c>
      <c r="P62" s="963">
        <f t="shared" si="71"/>
        <v>598358634.00195301</v>
      </c>
      <c r="Q62" s="963">
        <f t="shared" si="71"/>
        <v>599609734.41150451</v>
      </c>
      <c r="R62" s="963">
        <f t="shared" si="71"/>
        <v>600860834.82105601</v>
      </c>
      <c r="S62" s="963">
        <f t="shared" si="71"/>
        <v>602112575.98633885</v>
      </c>
      <c r="T62" s="963">
        <f t="shared" si="71"/>
        <v>603365834.54621768</v>
      </c>
      <c r="U62" s="963">
        <f t="shared" si="71"/>
        <v>604617167.45126557</v>
      </c>
      <c r="V62" s="963">
        <f t="shared" si="71"/>
        <v>605970999.53958595</v>
      </c>
      <c r="W62" s="963">
        <f t="shared" si="71"/>
        <v>607184960.28433883</v>
      </c>
      <c r="X62" s="963">
        <f t="shared" si="71"/>
        <v>608398921.02909005</v>
      </c>
      <c r="Y62" s="963">
        <f t="shared" si="71"/>
        <v>609612881.77384305</v>
      </c>
      <c r="Z62" s="963">
        <f t="shared" si="71"/>
        <v>610826842.51859605</v>
      </c>
      <c r="AA62" s="963">
        <f t="shared" si="71"/>
        <v>612040803.26334727</v>
      </c>
      <c r="AB62" s="963">
        <f t="shared" si="71"/>
        <v>613254764.00810027</v>
      </c>
      <c r="AC62" s="963">
        <f t="shared" si="71"/>
        <v>614468724.75285327</v>
      </c>
      <c r="AD62" s="963">
        <f t="shared" si="71"/>
        <v>615682685.49760449</v>
      </c>
      <c r="AE62" s="963">
        <f t="shared" si="71"/>
        <v>616898338.19890332</v>
      </c>
      <c r="AF62" s="963">
        <f t="shared" si="71"/>
        <v>618110606.98710859</v>
      </c>
      <c r="AG62" s="963">
        <f t="shared" si="71"/>
        <v>619324993.75274801</v>
      </c>
      <c r="AH62" s="963">
        <f t="shared" si="71"/>
        <v>620538528.47661471</v>
      </c>
      <c r="AI62" s="963">
        <f t="shared" si="71"/>
        <v>621752489.22136581</v>
      </c>
      <c r="AJ62" s="963">
        <f t="shared" si="71"/>
        <v>622966449.96611881</v>
      </c>
      <c r="AK62" s="963">
        <f t="shared" si="71"/>
        <v>624180410.71087182</v>
      </c>
      <c r="AL62" s="963">
        <f t="shared" si="71"/>
        <v>625394371.45562291</v>
      </c>
      <c r="AM62" s="963">
        <f t="shared" si="71"/>
        <v>626608332.20037591</v>
      </c>
      <c r="AN62" s="963">
        <f t="shared" si="71"/>
        <v>627822292.94512713</v>
      </c>
      <c r="AO62" s="963">
        <f t="shared" si="71"/>
        <v>629036253.68988013</v>
      </c>
      <c r="AP62" s="963">
        <f t="shared" si="71"/>
        <v>630250214.43463314</v>
      </c>
      <c r="AQ62" s="963">
        <f t="shared" si="71"/>
        <v>631464175.17938435</v>
      </c>
      <c r="AR62" s="963">
        <f t="shared" si="71"/>
        <v>632678135.92413735</v>
      </c>
      <c r="AS62" s="963">
        <f t="shared" si="71"/>
        <v>633892096.66889036</v>
      </c>
      <c r="AT62" s="963">
        <f t="shared" si="71"/>
        <v>496551939.23666668</v>
      </c>
      <c r="AU62" s="356">
        <f t="shared" si="71"/>
        <v>604882051.02700007</v>
      </c>
      <c r="AV62" s="356">
        <f t="shared" si="71"/>
        <v>608097170.28598917</v>
      </c>
      <c r="AW62" s="356">
        <f t="shared" si="71"/>
        <v>587485736.12551749</v>
      </c>
      <c r="AX62" s="356">
        <f t="shared" si="71"/>
        <v>638052680.82726669</v>
      </c>
      <c r="AY62" s="356">
        <f t="shared" si="71"/>
        <v>691431417.57635081</v>
      </c>
      <c r="AZ62" s="356">
        <f t="shared" si="71"/>
        <v>706762765.7755214</v>
      </c>
      <c r="BA62" s="356">
        <f t="shared" si="71"/>
        <v>716527118.24002469</v>
      </c>
      <c r="BB62" s="356">
        <f t="shared" si="71"/>
        <v>705631981.07398736</v>
      </c>
      <c r="BC62" s="356">
        <f t="shared" si="71"/>
        <v>755808823.44955599</v>
      </c>
      <c r="BD62" s="356">
        <f t="shared" si="71"/>
        <v>715504399.1485126</v>
      </c>
      <c r="BE62" s="356">
        <f t="shared" si="71"/>
        <v>673765363.35763848</v>
      </c>
      <c r="BF62" s="356">
        <f t="shared" si="71"/>
        <v>666703442.28401363</v>
      </c>
      <c r="BG62" s="356">
        <f t="shared" si="71"/>
        <v>719040729.77666736</v>
      </c>
      <c r="BH62" s="356">
        <f t="shared" si="71"/>
        <v>646861327.37493384</v>
      </c>
      <c r="BI62" s="356">
        <f t="shared" si="71"/>
        <v>577517344.43789601</v>
      </c>
      <c r="BJ62" s="356">
        <f t="shared" si="71"/>
        <v>565390410.12479997</v>
      </c>
      <c r="BK62" s="356">
        <f t="shared" si="71"/>
        <v>597609095.86546659</v>
      </c>
      <c r="BL62" s="356">
        <f t="shared" si="71"/>
        <v>645645008.51446664</v>
      </c>
      <c r="BM62" s="356">
        <f t="shared" si="71"/>
        <v>596333534.27346671</v>
      </c>
      <c r="BN62" s="356">
        <f t="shared" si="71"/>
        <v>579247851.29653323</v>
      </c>
      <c r="BO62" s="356">
        <f t="shared" si="71"/>
        <v>681599895.16793323</v>
      </c>
      <c r="BP62" s="356">
        <f t="shared" si="71"/>
        <v>670370868.34053338</v>
      </c>
      <c r="BQ62" s="356">
        <f t="shared" si="71"/>
        <v>732009167.05319989</v>
      </c>
      <c r="BR62" s="356">
        <f t="shared" si="71"/>
        <v>634288631.48506665</v>
      </c>
      <c r="BS62" s="356">
        <f t="shared" ref="BS62:CL62" si="72">BS41</f>
        <v>610125984.50653338</v>
      </c>
      <c r="BT62" s="356">
        <f t="shared" si="72"/>
        <v>453097327.10240006</v>
      </c>
      <c r="BU62" s="356">
        <f t="shared" si="72"/>
        <v>544447263.21253335</v>
      </c>
      <c r="BV62" s="356">
        <f t="shared" si="72"/>
        <v>522098916.09293342</v>
      </c>
      <c r="BW62" s="356">
        <f t="shared" si="72"/>
        <v>395262050.97186667</v>
      </c>
      <c r="BX62" s="356">
        <f t="shared" si="72"/>
        <v>380175571.6512</v>
      </c>
      <c r="BY62" s="356">
        <f t="shared" si="72"/>
        <v>433936282.07346666</v>
      </c>
      <c r="BZ62" s="356">
        <f t="shared" si="72"/>
        <v>498987508.98940003</v>
      </c>
      <c r="CA62" s="356">
        <f t="shared" si="72"/>
        <v>521025798.98646665</v>
      </c>
      <c r="CB62" s="356">
        <f t="shared" si="72"/>
        <v>568085897.86393332</v>
      </c>
      <c r="CC62" s="356">
        <f t="shared" si="72"/>
        <v>609281445.56586671</v>
      </c>
      <c r="CD62" s="356">
        <f t="shared" si="72"/>
        <v>691496767.94159997</v>
      </c>
      <c r="CE62" s="356">
        <f t="shared" si="72"/>
        <v>802986057.22273326</v>
      </c>
      <c r="CF62" s="356">
        <f t="shared" si="72"/>
        <v>718990040.33786666</v>
      </c>
      <c r="CG62" s="356">
        <f t="shared" si="72"/>
        <v>611873073.66586661</v>
      </c>
      <c r="CH62" s="356">
        <f t="shared" si="72"/>
        <v>606309380.19126666</v>
      </c>
      <c r="CI62" s="356">
        <f t="shared" si="72"/>
        <v>655835107.13059986</v>
      </c>
      <c r="CJ62" s="356">
        <f t="shared" si="72"/>
        <v>731702199.28866673</v>
      </c>
      <c r="CK62" s="356">
        <f t="shared" si="72"/>
        <v>834454475.20999992</v>
      </c>
      <c r="CL62" s="356">
        <f t="shared" si="72"/>
        <v>896056456.80306661</v>
      </c>
      <c r="CM62" s="356">
        <f t="shared" si="0"/>
        <v>620952756.64289117</v>
      </c>
      <c r="CN62" s="347"/>
      <c r="CO62" s="347"/>
      <c r="CP62" s="347"/>
      <c r="CQ62" s="347"/>
      <c r="CR62" s="347"/>
      <c r="CS62" s="347"/>
      <c r="CT62" s="347"/>
      <c r="CU62" s="347"/>
      <c r="CV62" s="347"/>
      <c r="CW62" s="347"/>
      <c r="CX62" s="347"/>
      <c r="CY62" s="347"/>
      <c r="CZ62" s="347"/>
      <c r="DA62" s="347"/>
      <c r="DB62" s="347"/>
      <c r="DC62" s="347"/>
      <c r="DD62" s="347"/>
      <c r="DE62" s="347"/>
      <c r="DF62" s="347"/>
      <c r="DG62" s="347"/>
      <c r="DH62" s="347"/>
      <c r="DI62" s="347"/>
      <c r="DJ62" s="347"/>
      <c r="DK62" s="347"/>
      <c r="DL62" s="347"/>
      <c r="DM62" s="347"/>
      <c r="DN62" s="347"/>
      <c r="DO62" s="347"/>
      <c r="DP62" s="347"/>
      <c r="DQ62" s="347"/>
      <c r="DR62" s="347"/>
      <c r="DS62" s="347"/>
      <c r="DT62" s="347"/>
      <c r="DU62" s="347"/>
      <c r="DV62" s="347"/>
      <c r="DW62" s="347"/>
      <c r="DX62" s="347"/>
      <c r="DY62" s="347"/>
      <c r="DZ62" s="347"/>
      <c r="EA62" s="347"/>
      <c r="EB62" s="347"/>
      <c r="EC62" s="347"/>
      <c r="ED62" s="347"/>
      <c r="EE62" s="347"/>
      <c r="EF62" s="347"/>
      <c r="EG62" s="347"/>
      <c r="EH62" s="347"/>
      <c r="EI62" s="347"/>
      <c r="EJ62" s="347"/>
      <c r="EK62" s="347"/>
      <c r="EL62" s="347"/>
      <c r="EM62" s="347"/>
      <c r="EN62" s="347"/>
      <c r="EO62" s="347"/>
      <c r="EP62" s="347"/>
      <c r="EQ62" s="347"/>
      <c r="ER62" s="347"/>
      <c r="ES62" s="347"/>
      <c r="ET62" s="347"/>
      <c r="EU62" s="347"/>
      <c r="EV62" s="347"/>
      <c r="EW62" s="347"/>
      <c r="EX62" s="347"/>
      <c r="EY62" s="347"/>
      <c r="EZ62" s="347"/>
      <c r="FA62" s="347"/>
      <c r="FB62" s="347"/>
      <c r="FC62" s="347"/>
      <c r="FD62" s="347"/>
      <c r="FE62" s="347"/>
      <c r="FF62" s="347"/>
      <c r="FG62" s="347"/>
      <c r="FH62" s="347"/>
      <c r="FI62" s="347"/>
      <c r="FJ62" s="347"/>
      <c r="FK62" s="347"/>
      <c r="FL62" s="347"/>
      <c r="FM62" s="347"/>
      <c r="FN62" s="347"/>
      <c r="FO62" s="347"/>
      <c r="FP62" s="347"/>
      <c r="FQ62" s="347"/>
      <c r="FR62" s="347"/>
      <c r="FS62" s="347"/>
      <c r="FT62" s="347"/>
      <c r="FU62" s="347"/>
      <c r="FV62" s="347"/>
    </row>
    <row r="63" spans="1:178">
      <c r="A63" s="1402"/>
      <c r="B63" s="1402"/>
      <c r="C63" s="1402"/>
      <c r="D63" s="1402"/>
      <c r="E63" s="1403"/>
      <c r="F63" s="854" t="s">
        <v>215</v>
      </c>
      <c r="G63" s="963">
        <f t="shared" ref="G63:BR63" si="73">G45</f>
        <v>358251107.33333331</v>
      </c>
      <c r="H63" s="963">
        <f t="shared" si="73"/>
        <v>358251107.33333331</v>
      </c>
      <c r="I63" s="963">
        <f t="shared" si="73"/>
        <v>358251107.33333331</v>
      </c>
      <c r="J63" s="963">
        <f t="shared" si="73"/>
        <v>358251107.33333331</v>
      </c>
      <c r="K63" s="963">
        <f t="shared" si="73"/>
        <v>358251107.33333331</v>
      </c>
      <c r="L63" s="963">
        <f t="shared" si="73"/>
        <v>358251107.33333331</v>
      </c>
      <c r="M63" s="963">
        <f t="shared" si="73"/>
        <v>358251107.33333331</v>
      </c>
      <c r="N63" s="963">
        <f t="shared" si="73"/>
        <v>358251107.33333331</v>
      </c>
      <c r="O63" s="963">
        <f t="shared" si="73"/>
        <v>358251107.33333331</v>
      </c>
      <c r="P63" s="963">
        <f t="shared" si="73"/>
        <v>358251107.33333331</v>
      </c>
      <c r="Q63" s="963">
        <f t="shared" si="73"/>
        <v>358251107.33333331</v>
      </c>
      <c r="R63" s="963">
        <f t="shared" si="73"/>
        <v>358251107.33333331</v>
      </c>
      <c r="S63" s="963">
        <f t="shared" si="73"/>
        <v>358251107.33333331</v>
      </c>
      <c r="T63" s="963">
        <f t="shared" si="73"/>
        <v>358251107.33333331</v>
      </c>
      <c r="U63" s="963">
        <f t="shared" si="73"/>
        <v>358251107.33333331</v>
      </c>
      <c r="V63" s="963">
        <f t="shared" si="73"/>
        <v>358251107.33333331</v>
      </c>
      <c r="W63" s="963">
        <f t="shared" si="73"/>
        <v>358251107.33333331</v>
      </c>
      <c r="X63" s="963">
        <f t="shared" si="73"/>
        <v>358251107.33333331</v>
      </c>
      <c r="Y63" s="963">
        <f t="shared" si="73"/>
        <v>358251107.33333331</v>
      </c>
      <c r="Z63" s="963">
        <f t="shared" si="73"/>
        <v>358251107.33333331</v>
      </c>
      <c r="AA63" s="963">
        <f t="shared" si="73"/>
        <v>358251107.33333331</v>
      </c>
      <c r="AB63" s="963">
        <f t="shared" si="73"/>
        <v>358251107.33333331</v>
      </c>
      <c r="AC63" s="963">
        <f t="shared" si="73"/>
        <v>358251107.33333331</v>
      </c>
      <c r="AD63" s="963">
        <f t="shared" si="73"/>
        <v>358251107.33333331</v>
      </c>
      <c r="AE63" s="963">
        <f t="shared" si="73"/>
        <v>358251107.33333331</v>
      </c>
      <c r="AF63" s="963">
        <f t="shared" si="73"/>
        <v>358251107.33333331</v>
      </c>
      <c r="AG63" s="963">
        <f t="shared" si="73"/>
        <v>358251107.33333331</v>
      </c>
      <c r="AH63" s="963">
        <f t="shared" si="73"/>
        <v>358251107.33333331</v>
      </c>
      <c r="AI63" s="963">
        <f t="shared" si="73"/>
        <v>358251107.33333331</v>
      </c>
      <c r="AJ63" s="963">
        <f t="shared" si="73"/>
        <v>358251107.33333331</v>
      </c>
      <c r="AK63" s="963">
        <f t="shared" si="73"/>
        <v>358251107.33333331</v>
      </c>
      <c r="AL63" s="963">
        <f t="shared" si="73"/>
        <v>358251107.33333331</v>
      </c>
      <c r="AM63" s="963">
        <f t="shared" si="73"/>
        <v>358251107.33333331</v>
      </c>
      <c r="AN63" s="963">
        <f t="shared" si="73"/>
        <v>358251107.33333331</v>
      </c>
      <c r="AO63" s="963">
        <f t="shared" si="73"/>
        <v>358251107.33333331</v>
      </c>
      <c r="AP63" s="963">
        <f t="shared" si="73"/>
        <v>358251107.33333331</v>
      </c>
      <c r="AQ63" s="963">
        <f t="shared" si="73"/>
        <v>358251107.33333331</v>
      </c>
      <c r="AR63" s="963">
        <f t="shared" si="73"/>
        <v>358251107.33333331</v>
      </c>
      <c r="AS63" s="963">
        <f t="shared" si="73"/>
        <v>358251107.33333331</v>
      </c>
      <c r="AT63" s="963">
        <f t="shared" si="73"/>
        <v>358251107.33333331</v>
      </c>
      <c r="AU63" s="356">
        <f t="shared" si="73"/>
        <v>358251107.33333331</v>
      </c>
      <c r="AV63" s="356">
        <f t="shared" si="73"/>
        <v>358251107.33333331</v>
      </c>
      <c r="AW63" s="356">
        <f t="shared" si="73"/>
        <v>358251107.33333331</v>
      </c>
      <c r="AX63" s="356">
        <f t="shared" si="73"/>
        <v>358251107.33333331</v>
      </c>
      <c r="AY63" s="356">
        <f t="shared" si="73"/>
        <v>358251107.33333331</v>
      </c>
      <c r="AZ63" s="356">
        <f t="shared" si="73"/>
        <v>358251107.33333331</v>
      </c>
      <c r="BA63" s="356">
        <f t="shared" si="73"/>
        <v>358251107.33333331</v>
      </c>
      <c r="BB63" s="356">
        <f t="shared" si="73"/>
        <v>358251107.33333331</v>
      </c>
      <c r="BC63" s="356">
        <f t="shared" si="73"/>
        <v>358251107.33333331</v>
      </c>
      <c r="BD63" s="356">
        <f t="shared" si="73"/>
        <v>358251107.33333331</v>
      </c>
      <c r="BE63" s="356">
        <f t="shared" si="73"/>
        <v>358251107.33333331</v>
      </c>
      <c r="BF63" s="356">
        <f t="shared" si="73"/>
        <v>358251107.33333331</v>
      </c>
      <c r="BG63" s="356">
        <f t="shared" si="73"/>
        <v>358251107.33333331</v>
      </c>
      <c r="BH63" s="356">
        <f t="shared" si="73"/>
        <v>358251107.33333331</v>
      </c>
      <c r="BI63" s="356">
        <f t="shared" si="73"/>
        <v>358251107.33333331</v>
      </c>
      <c r="BJ63" s="356">
        <f t="shared" si="73"/>
        <v>358251107.33333331</v>
      </c>
      <c r="BK63" s="356">
        <f t="shared" si="73"/>
        <v>358251107.33333331</v>
      </c>
      <c r="BL63" s="356">
        <f t="shared" si="73"/>
        <v>358251107.33333331</v>
      </c>
      <c r="BM63" s="356">
        <f t="shared" si="73"/>
        <v>358251107.33333331</v>
      </c>
      <c r="BN63" s="356">
        <f t="shared" si="73"/>
        <v>358251107.33333331</v>
      </c>
      <c r="BO63" s="356">
        <f t="shared" si="73"/>
        <v>358251107.33333331</v>
      </c>
      <c r="BP63" s="356">
        <f t="shared" si="73"/>
        <v>358251107.33333331</v>
      </c>
      <c r="BQ63" s="356">
        <f t="shared" si="73"/>
        <v>358251107.33333331</v>
      </c>
      <c r="BR63" s="356">
        <f t="shared" si="73"/>
        <v>358251107.33333331</v>
      </c>
      <c r="BS63" s="356">
        <f t="shared" ref="BS63:CL63" si="74">BS45</f>
        <v>358251107.33333331</v>
      </c>
      <c r="BT63" s="356">
        <f t="shared" si="74"/>
        <v>358251107.33333331</v>
      </c>
      <c r="BU63" s="356">
        <f t="shared" si="74"/>
        <v>358251107.33333331</v>
      </c>
      <c r="BV63" s="356">
        <f t="shared" si="74"/>
        <v>358251107.33333331</v>
      </c>
      <c r="BW63" s="356">
        <f t="shared" si="74"/>
        <v>358251107.33333331</v>
      </c>
      <c r="BX63" s="356">
        <f t="shared" si="74"/>
        <v>358251107.33333331</v>
      </c>
      <c r="BY63" s="356">
        <f t="shared" si="74"/>
        <v>358251107.33333331</v>
      </c>
      <c r="BZ63" s="356">
        <f t="shared" si="74"/>
        <v>358251107.33333331</v>
      </c>
      <c r="CA63" s="356">
        <f t="shared" si="74"/>
        <v>358251107.33333331</v>
      </c>
      <c r="CB63" s="356">
        <f t="shared" si="74"/>
        <v>358251107.33333331</v>
      </c>
      <c r="CC63" s="356">
        <f t="shared" si="74"/>
        <v>358251107.33333331</v>
      </c>
      <c r="CD63" s="356">
        <f t="shared" si="74"/>
        <v>358251107.33333331</v>
      </c>
      <c r="CE63" s="356">
        <f t="shared" si="74"/>
        <v>358251107.33333331</v>
      </c>
      <c r="CF63" s="356">
        <f t="shared" si="74"/>
        <v>358251107.33333331</v>
      </c>
      <c r="CG63" s="356">
        <f t="shared" si="74"/>
        <v>358251107.33333331</v>
      </c>
      <c r="CH63" s="356">
        <f t="shared" si="74"/>
        <v>358251107.33333331</v>
      </c>
      <c r="CI63" s="356">
        <f t="shared" si="74"/>
        <v>358251107.33333331</v>
      </c>
      <c r="CJ63" s="356">
        <f t="shared" si="74"/>
        <v>358251107.33333331</v>
      </c>
      <c r="CK63" s="356">
        <f t="shared" si="74"/>
        <v>358251107.33333331</v>
      </c>
      <c r="CL63" s="356">
        <f t="shared" si="74"/>
        <v>358251107.33333331</v>
      </c>
      <c r="CM63" s="356">
        <f t="shared" si="0"/>
        <v>358251107.3333329</v>
      </c>
      <c r="CN63" s="347"/>
      <c r="CO63" s="347"/>
      <c r="CP63" s="347"/>
      <c r="CQ63" s="347"/>
      <c r="CR63" s="347"/>
      <c r="CS63" s="347"/>
      <c r="CT63" s="347"/>
      <c r="CU63" s="347"/>
      <c r="CV63" s="347"/>
      <c r="CW63" s="347"/>
      <c r="CX63" s="347"/>
      <c r="CY63" s="347"/>
      <c r="CZ63" s="347"/>
      <c r="DA63" s="347"/>
      <c r="DB63" s="347"/>
      <c r="DC63" s="347"/>
      <c r="DD63" s="347"/>
      <c r="DE63" s="347"/>
      <c r="DF63" s="347"/>
      <c r="DG63" s="347"/>
      <c r="DH63" s="347"/>
      <c r="DI63" s="347"/>
      <c r="DJ63" s="347"/>
      <c r="DK63" s="347"/>
      <c r="DL63" s="347"/>
      <c r="DM63" s="347"/>
      <c r="DN63" s="347"/>
      <c r="DO63" s="347"/>
      <c r="DP63" s="347"/>
      <c r="DQ63" s="347"/>
      <c r="DR63" s="347"/>
      <c r="DS63" s="347"/>
      <c r="DT63" s="347"/>
      <c r="DU63" s="347"/>
      <c r="DV63" s="347"/>
      <c r="DW63" s="347"/>
      <c r="DX63" s="347"/>
      <c r="DY63" s="347"/>
      <c r="DZ63" s="347"/>
      <c r="EA63" s="347"/>
      <c r="EB63" s="347"/>
      <c r="EC63" s="347"/>
      <c r="ED63" s="347"/>
      <c r="EE63" s="347"/>
      <c r="EF63" s="347"/>
      <c r="EG63" s="347"/>
      <c r="EH63" s="347"/>
      <c r="EI63" s="347"/>
      <c r="EJ63" s="347"/>
      <c r="EK63" s="347"/>
      <c r="EL63" s="347"/>
      <c r="EM63" s="347"/>
      <c r="EN63" s="347"/>
      <c r="EO63" s="347"/>
      <c r="EP63" s="347"/>
      <c r="EQ63" s="347"/>
      <c r="ER63" s="347"/>
      <c r="ES63" s="347"/>
      <c r="ET63" s="347"/>
      <c r="EU63" s="347"/>
      <c r="EV63" s="347"/>
      <c r="EW63" s="347"/>
      <c r="EX63" s="347"/>
      <c r="EY63" s="347"/>
      <c r="EZ63" s="347"/>
      <c r="FA63" s="347"/>
      <c r="FB63" s="347"/>
      <c r="FC63" s="347"/>
      <c r="FD63" s="347"/>
      <c r="FE63" s="347"/>
      <c r="FF63" s="347"/>
      <c r="FG63" s="347"/>
      <c r="FH63" s="347"/>
      <c r="FI63" s="347"/>
      <c r="FJ63" s="347"/>
      <c r="FK63" s="347"/>
      <c r="FL63" s="347"/>
      <c r="FM63" s="347"/>
      <c r="FN63" s="347"/>
      <c r="FO63" s="347"/>
      <c r="FP63" s="347"/>
      <c r="FQ63" s="347"/>
      <c r="FR63" s="347"/>
      <c r="FS63" s="347"/>
      <c r="FT63" s="347"/>
      <c r="FU63" s="347"/>
      <c r="FV63" s="347"/>
    </row>
    <row r="64" spans="1:178">
      <c r="A64" s="1402"/>
      <c r="B64" s="1402"/>
      <c r="C64" s="1402"/>
      <c r="D64" s="1402"/>
      <c r="E64" s="1403"/>
      <c r="F64" s="854" t="s">
        <v>216</v>
      </c>
      <c r="G64" s="963">
        <f t="shared" ref="G64:BR64" si="75">G44</f>
        <v>906669362.66666663</v>
      </c>
      <c r="H64" s="963">
        <f t="shared" si="75"/>
        <v>906669362.66666663</v>
      </c>
      <c r="I64" s="963">
        <f t="shared" si="75"/>
        <v>906669362.66666663</v>
      </c>
      <c r="J64" s="963">
        <f t="shared" si="75"/>
        <v>906669362.66666663</v>
      </c>
      <c r="K64" s="963">
        <f t="shared" si="75"/>
        <v>906669362.66666663</v>
      </c>
      <c r="L64" s="963">
        <f t="shared" si="75"/>
        <v>906669362.66666663</v>
      </c>
      <c r="M64" s="963">
        <f t="shared" si="75"/>
        <v>906669362.66666663</v>
      </c>
      <c r="N64" s="963">
        <f t="shared" si="75"/>
        <v>906669362.66666663</v>
      </c>
      <c r="O64" s="963">
        <f t="shared" si="75"/>
        <v>906669362.66666663</v>
      </c>
      <c r="P64" s="963">
        <f t="shared" si="75"/>
        <v>906669362.66666663</v>
      </c>
      <c r="Q64" s="963">
        <f t="shared" si="75"/>
        <v>906669362.66666663</v>
      </c>
      <c r="R64" s="963">
        <f t="shared" si="75"/>
        <v>906669362.66666663</v>
      </c>
      <c r="S64" s="963">
        <f t="shared" si="75"/>
        <v>906669362.66666663</v>
      </c>
      <c r="T64" s="963">
        <f t="shared" si="75"/>
        <v>906669362.66666663</v>
      </c>
      <c r="U64" s="963">
        <f t="shared" si="75"/>
        <v>906669362.66666663</v>
      </c>
      <c r="V64" s="963">
        <f t="shared" si="75"/>
        <v>906669362.66666663</v>
      </c>
      <c r="W64" s="963">
        <f t="shared" si="75"/>
        <v>906669362.66666663</v>
      </c>
      <c r="X64" s="963">
        <f t="shared" si="75"/>
        <v>906669362.66666663</v>
      </c>
      <c r="Y64" s="963">
        <f t="shared" si="75"/>
        <v>906669362.66666663</v>
      </c>
      <c r="Z64" s="963">
        <f t="shared" si="75"/>
        <v>906669362.66666663</v>
      </c>
      <c r="AA64" s="963">
        <f t="shared" si="75"/>
        <v>906669362.66666663</v>
      </c>
      <c r="AB64" s="963">
        <f t="shared" si="75"/>
        <v>906669362.66666663</v>
      </c>
      <c r="AC64" s="963">
        <f t="shared" si="75"/>
        <v>906669362.66666663</v>
      </c>
      <c r="AD64" s="963">
        <f t="shared" si="75"/>
        <v>906669362.66666663</v>
      </c>
      <c r="AE64" s="963">
        <f t="shared" si="75"/>
        <v>906669362.66666663</v>
      </c>
      <c r="AF64" s="963">
        <f t="shared" si="75"/>
        <v>906669362.66666663</v>
      </c>
      <c r="AG64" s="963">
        <f t="shared" si="75"/>
        <v>906669362.66666663</v>
      </c>
      <c r="AH64" s="963">
        <f t="shared" si="75"/>
        <v>906669362.66666663</v>
      </c>
      <c r="AI64" s="963">
        <f t="shared" si="75"/>
        <v>906669362.66666663</v>
      </c>
      <c r="AJ64" s="963">
        <f t="shared" si="75"/>
        <v>906669362.66666663</v>
      </c>
      <c r="AK64" s="963">
        <f t="shared" si="75"/>
        <v>906669362.66666663</v>
      </c>
      <c r="AL64" s="963">
        <f t="shared" si="75"/>
        <v>906669362.66666663</v>
      </c>
      <c r="AM64" s="963">
        <f t="shared" si="75"/>
        <v>906669362.66666663</v>
      </c>
      <c r="AN64" s="963">
        <f t="shared" si="75"/>
        <v>906669362.66666663</v>
      </c>
      <c r="AO64" s="963">
        <f t="shared" si="75"/>
        <v>906669362.66666663</v>
      </c>
      <c r="AP64" s="963">
        <f t="shared" si="75"/>
        <v>906669362.66666663</v>
      </c>
      <c r="AQ64" s="963">
        <f t="shared" si="75"/>
        <v>906669362.66666663</v>
      </c>
      <c r="AR64" s="963">
        <f t="shared" si="75"/>
        <v>906669362.66666663</v>
      </c>
      <c r="AS64" s="963">
        <f t="shared" si="75"/>
        <v>906669362.66666663</v>
      </c>
      <c r="AT64" s="963">
        <f t="shared" si="75"/>
        <v>906669362.66666663</v>
      </c>
      <c r="AU64" s="356">
        <f t="shared" si="75"/>
        <v>906669362.66666663</v>
      </c>
      <c r="AV64" s="356">
        <f t="shared" si="75"/>
        <v>906669362.66666663</v>
      </c>
      <c r="AW64" s="356">
        <f t="shared" si="75"/>
        <v>906669362.66666663</v>
      </c>
      <c r="AX64" s="356">
        <f t="shared" si="75"/>
        <v>906669362.66666663</v>
      </c>
      <c r="AY64" s="356">
        <f t="shared" si="75"/>
        <v>906669362.66666663</v>
      </c>
      <c r="AZ64" s="356">
        <f t="shared" si="75"/>
        <v>906669362.66666663</v>
      </c>
      <c r="BA64" s="356">
        <f t="shared" si="75"/>
        <v>906669362.66666663</v>
      </c>
      <c r="BB64" s="356">
        <f t="shared" si="75"/>
        <v>906669362.66666663</v>
      </c>
      <c r="BC64" s="356">
        <f t="shared" si="75"/>
        <v>906669362.66666663</v>
      </c>
      <c r="BD64" s="356">
        <f t="shared" si="75"/>
        <v>906669362.66666663</v>
      </c>
      <c r="BE64" s="356">
        <f t="shared" si="75"/>
        <v>906669362.66666663</v>
      </c>
      <c r="BF64" s="356">
        <f t="shared" si="75"/>
        <v>906669362.66666663</v>
      </c>
      <c r="BG64" s="356">
        <f t="shared" si="75"/>
        <v>906669362.66666663</v>
      </c>
      <c r="BH64" s="356">
        <f t="shared" si="75"/>
        <v>906669362.66666663</v>
      </c>
      <c r="BI64" s="356">
        <f t="shared" si="75"/>
        <v>906669362.66666663</v>
      </c>
      <c r="BJ64" s="356">
        <f t="shared" si="75"/>
        <v>906669362.66666663</v>
      </c>
      <c r="BK64" s="356">
        <f t="shared" si="75"/>
        <v>906669362.66666663</v>
      </c>
      <c r="BL64" s="356">
        <f t="shared" si="75"/>
        <v>906669362.66666663</v>
      </c>
      <c r="BM64" s="356">
        <f t="shared" si="75"/>
        <v>906669362.66666663</v>
      </c>
      <c r="BN64" s="356">
        <f t="shared" si="75"/>
        <v>906669362.66666663</v>
      </c>
      <c r="BO64" s="356">
        <f t="shared" si="75"/>
        <v>906669362.66666663</v>
      </c>
      <c r="BP64" s="356">
        <f t="shared" si="75"/>
        <v>906669362.66666663</v>
      </c>
      <c r="BQ64" s="356">
        <f t="shared" si="75"/>
        <v>906669362.66666663</v>
      </c>
      <c r="BR64" s="356">
        <f t="shared" si="75"/>
        <v>906669362.66666663</v>
      </c>
      <c r="BS64" s="356">
        <f t="shared" ref="BS64:CL64" si="76">BS44</f>
        <v>906669362.66666663</v>
      </c>
      <c r="BT64" s="356">
        <f t="shared" si="76"/>
        <v>906669362.66666663</v>
      </c>
      <c r="BU64" s="356">
        <f t="shared" si="76"/>
        <v>906669362.66666663</v>
      </c>
      <c r="BV64" s="356">
        <f t="shared" si="76"/>
        <v>906669362.66666663</v>
      </c>
      <c r="BW64" s="356">
        <f t="shared" si="76"/>
        <v>906669362.66666663</v>
      </c>
      <c r="BX64" s="356">
        <f t="shared" si="76"/>
        <v>906669362.66666663</v>
      </c>
      <c r="BY64" s="356">
        <f t="shared" si="76"/>
        <v>906669362.66666663</v>
      </c>
      <c r="BZ64" s="356">
        <f t="shared" si="76"/>
        <v>906669362.66666663</v>
      </c>
      <c r="CA64" s="356">
        <f t="shared" si="76"/>
        <v>906669362.66666663</v>
      </c>
      <c r="CB64" s="356">
        <f t="shared" si="76"/>
        <v>906669362.66666663</v>
      </c>
      <c r="CC64" s="356">
        <f t="shared" si="76"/>
        <v>906669362.66666663</v>
      </c>
      <c r="CD64" s="356">
        <f t="shared" si="76"/>
        <v>906669362.66666663</v>
      </c>
      <c r="CE64" s="356">
        <f t="shared" si="76"/>
        <v>906669362.66666663</v>
      </c>
      <c r="CF64" s="356">
        <f t="shared" si="76"/>
        <v>906669362.66666663</v>
      </c>
      <c r="CG64" s="356">
        <f t="shared" si="76"/>
        <v>906669362.66666663</v>
      </c>
      <c r="CH64" s="356">
        <f t="shared" si="76"/>
        <v>906669362.66666663</v>
      </c>
      <c r="CI64" s="356">
        <f t="shared" si="76"/>
        <v>906669362.66666663</v>
      </c>
      <c r="CJ64" s="356">
        <f t="shared" si="76"/>
        <v>906669362.66666663</v>
      </c>
      <c r="CK64" s="356">
        <f t="shared" si="76"/>
        <v>906669362.66666663</v>
      </c>
      <c r="CL64" s="356">
        <f t="shared" si="76"/>
        <v>906669362.66666663</v>
      </c>
      <c r="CM64" s="356">
        <f t="shared" si="0"/>
        <v>906669362.66666627</v>
      </c>
      <c r="CN64" s="347"/>
      <c r="CO64" s="347"/>
      <c r="CP64" s="347"/>
      <c r="CQ64" s="347"/>
      <c r="CR64" s="347"/>
      <c r="CS64" s="347"/>
      <c r="CT64" s="347"/>
      <c r="CU64" s="347"/>
      <c r="CV64" s="347"/>
      <c r="CW64" s="347"/>
      <c r="CX64" s="347"/>
      <c r="CY64" s="347"/>
      <c r="CZ64" s="347"/>
      <c r="DA64" s="347"/>
      <c r="DB64" s="347"/>
      <c r="DC64" s="347"/>
      <c r="DD64" s="347"/>
      <c r="DE64" s="347"/>
      <c r="DF64" s="347"/>
      <c r="DG64" s="347"/>
      <c r="DH64" s="347"/>
      <c r="DI64" s="347"/>
      <c r="DJ64" s="347"/>
      <c r="DK64" s="347"/>
      <c r="DL64" s="347"/>
      <c r="DM64" s="347"/>
      <c r="DN64" s="347"/>
      <c r="DO64" s="347"/>
      <c r="DP64" s="347"/>
      <c r="DQ64" s="347"/>
      <c r="DR64" s="347"/>
      <c r="DS64" s="347"/>
      <c r="DT64" s="347"/>
      <c r="DU64" s="347"/>
      <c r="DV64" s="347"/>
      <c r="DW64" s="347"/>
      <c r="DX64" s="347"/>
      <c r="DY64" s="347"/>
      <c r="DZ64" s="347"/>
      <c r="EA64" s="347"/>
      <c r="EB64" s="347"/>
      <c r="EC64" s="347"/>
      <c r="ED64" s="347"/>
      <c r="EE64" s="347"/>
      <c r="EF64" s="347"/>
      <c r="EG64" s="347"/>
      <c r="EH64" s="347"/>
      <c r="EI64" s="347"/>
      <c r="EJ64" s="347"/>
      <c r="EK64" s="347"/>
      <c r="EL64" s="347"/>
      <c r="EM64" s="347"/>
      <c r="EN64" s="347"/>
      <c r="EO64" s="347"/>
      <c r="EP64" s="347"/>
      <c r="EQ64" s="347"/>
      <c r="ER64" s="347"/>
      <c r="ES64" s="347"/>
      <c r="ET64" s="347"/>
      <c r="EU64" s="347"/>
      <c r="EV64" s="347"/>
      <c r="EW64" s="347"/>
      <c r="EX64" s="347"/>
      <c r="EY64" s="347"/>
      <c r="EZ64" s="347"/>
      <c r="FA64" s="347"/>
      <c r="FB64" s="347"/>
      <c r="FC64" s="347"/>
      <c r="FD64" s="347"/>
      <c r="FE64" s="347"/>
      <c r="FF64" s="347"/>
      <c r="FG64" s="347"/>
      <c r="FH64" s="347"/>
      <c r="FI64" s="347"/>
      <c r="FJ64" s="347"/>
      <c r="FK64" s="347"/>
      <c r="FL64" s="347"/>
      <c r="FM64" s="347"/>
      <c r="FN64" s="347"/>
      <c r="FO64" s="347"/>
      <c r="FP64" s="347"/>
      <c r="FQ64" s="347"/>
      <c r="FR64" s="347"/>
      <c r="FS64" s="347"/>
      <c r="FT64" s="347"/>
      <c r="FU64" s="347"/>
      <c r="FV64" s="347"/>
    </row>
    <row r="65" spans="1:178">
      <c r="A65" s="1402"/>
      <c r="B65" s="1402"/>
      <c r="C65" s="1402"/>
      <c r="D65" s="1402"/>
      <c r="E65" s="1403"/>
      <c r="F65" s="854" t="s">
        <v>217</v>
      </c>
      <c r="G65" s="963">
        <f t="shared" ref="G65:AS65" si="77">SUM(G60:G64)</f>
        <v>1881253253.4021482</v>
      </c>
      <c r="H65" s="963">
        <f t="shared" si="77"/>
        <v>1881253253.4021482</v>
      </c>
      <c r="I65" s="963">
        <f t="shared" si="77"/>
        <v>1881253253.4021482</v>
      </c>
      <c r="J65" s="963">
        <f t="shared" si="77"/>
        <v>1881255175.6693482</v>
      </c>
      <c r="K65" s="963">
        <f t="shared" si="77"/>
        <v>1881700844.1660147</v>
      </c>
      <c r="L65" s="963">
        <f t="shared" si="77"/>
        <v>1881701484.9217482</v>
      </c>
      <c r="M65" s="963">
        <f t="shared" si="77"/>
        <v>1881701484.9217482</v>
      </c>
      <c r="N65" s="963">
        <f t="shared" si="77"/>
        <v>1882953226.0870314</v>
      </c>
      <c r="O65" s="963">
        <f t="shared" si="77"/>
        <v>1881702125.6774817</v>
      </c>
      <c r="P65" s="963">
        <f t="shared" si="77"/>
        <v>1882955628.921031</v>
      </c>
      <c r="Q65" s="963">
        <f t="shared" si="77"/>
        <v>1884206729.3305826</v>
      </c>
      <c r="R65" s="963">
        <f t="shared" si="77"/>
        <v>1885457829.7401342</v>
      </c>
      <c r="S65" s="963">
        <f t="shared" si="77"/>
        <v>1886709570.905417</v>
      </c>
      <c r="T65" s="963">
        <f t="shared" si="77"/>
        <v>1887962829.4652958</v>
      </c>
      <c r="U65" s="963">
        <f t="shared" si="77"/>
        <v>1889214162.3703437</v>
      </c>
      <c r="V65" s="963">
        <f t="shared" si="77"/>
        <v>1890567994.4586639</v>
      </c>
      <c r="W65" s="963">
        <f t="shared" si="77"/>
        <v>1891781955.2034168</v>
      </c>
      <c r="X65" s="963">
        <f t="shared" si="77"/>
        <v>1892995915.9481683</v>
      </c>
      <c r="Y65" s="963">
        <f t="shared" si="77"/>
        <v>1894209876.6929212</v>
      </c>
      <c r="Z65" s="963">
        <f t="shared" si="77"/>
        <v>1895423837.437674</v>
      </c>
      <c r="AA65" s="963">
        <f t="shared" si="77"/>
        <v>1896637798.1824255</v>
      </c>
      <c r="AB65" s="963">
        <f t="shared" si="77"/>
        <v>1897851758.9271784</v>
      </c>
      <c r="AC65" s="963">
        <f t="shared" si="77"/>
        <v>1899065719.6719313</v>
      </c>
      <c r="AD65" s="963">
        <f t="shared" si="77"/>
        <v>1900279680.4166827</v>
      </c>
      <c r="AE65" s="963">
        <f t="shared" si="77"/>
        <v>1901495333.1179814</v>
      </c>
      <c r="AF65" s="963">
        <f t="shared" si="77"/>
        <v>1902707601.9061866</v>
      </c>
      <c r="AG65" s="963">
        <f t="shared" si="77"/>
        <v>1903921988.6718264</v>
      </c>
      <c r="AH65" s="963">
        <f t="shared" si="77"/>
        <v>1905135523.3956928</v>
      </c>
      <c r="AI65" s="963">
        <f t="shared" si="77"/>
        <v>1906349484.1404438</v>
      </c>
      <c r="AJ65" s="963">
        <f t="shared" si="77"/>
        <v>1907563444.8851972</v>
      </c>
      <c r="AK65" s="963">
        <f t="shared" si="77"/>
        <v>1908777405.62995</v>
      </c>
      <c r="AL65" s="963">
        <f t="shared" si="77"/>
        <v>1909991366.374701</v>
      </c>
      <c r="AM65" s="963">
        <f t="shared" si="77"/>
        <v>1911205327.1194539</v>
      </c>
      <c r="AN65" s="963">
        <f t="shared" si="77"/>
        <v>1912419287.8642054</v>
      </c>
      <c r="AO65" s="963">
        <f t="shared" si="77"/>
        <v>1913633248.6089582</v>
      </c>
      <c r="AP65" s="963">
        <f t="shared" si="77"/>
        <v>1914847209.3537111</v>
      </c>
      <c r="AQ65" s="963">
        <f t="shared" si="77"/>
        <v>1916061170.0984626</v>
      </c>
      <c r="AR65" s="963">
        <f t="shared" si="77"/>
        <v>1917275130.8432155</v>
      </c>
      <c r="AS65" s="963">
        <f t="shared" si="77"/>
        <v>1918489091.5879683</v>
      </c>
      <c r="AT65" s="963">
        <f>SUM(AT60:AT64)</f>
        <v>1781148934.155745</v>
      </c>
      <c r="AU65" s="356">
        <f>SUM(AU60:AU64)</f>
        <v>1889479045.9460783</v>
      </c>
      <c r="AV65" s="356">
        <f t="shared" ref="AV65:CL65" si="78">SUM(AV60:AV64)</f>
        <v>1892694165.2050672</v>
      </c>
      <c r="AW65" s="356">
        <f t="shared" si="78"/>
        <v>1872082731.0445957</v>
      </c>
      <c r="AX65" s="356">
        <f t="shared" si="78"/>
        <v>1922649675.746345</v>
      </c>
      <c r="AY65" s="356">
        <f t="shared" si="78"/>
        <v>1976028412.495429</v>
      </c>
      <c r="AZ65" s="356">
        <f t="shared" si="78"/>
        <v>1991359760.6945996</v>
      </c>
      <c r="BA65" s="356">
        <f t="shared" si="78"/>
        <v>2001124113.1591029</v>
      </c>
      <c r="BB65" s="356">
        <f t="shared" si="78"/>
        <v>1990228975.9930654</v>
      </c>
      <c r="BC65" s="356">
        <f t="shared" si="78"/>
        <v>2040405818.3686342</v>
      </c>
      <c r="BD65" s="356">
        <f t="shared" si="78"/>
        <v>2000101394.0675907</v>
      </c>
      <c r="BE65" s="356">
        <f t="shared" si="78"/>
        <v>1958362358.2767167</v>
      </c>
      <c r="BF65" s="356">
        <f t="shared" si="78"/>
        <v>1951300437.2030916</v>
      </c>
      <c r="BG65" s="356">
        <f t="shared" si="78"/>
        <v>2003637724.6957455</v>
      </c>
      <c r="BH65" s="356">
        <f t="shared" si="78"/>
        <v>1931458322.2940121</v>
      </c>
      <c r="BI65" s="356">
        <f t="shared" si="78"/>
        <v>1862114339.3569741</v>
      </c>
      <c r="BJ65" s="356">
        <f t="shared" si="78"/>
        <v>1849987405.0438781</v>
      </c>
      <c r="BK65" s="356">
        <f t="shared" si="78"/>
        <v>1882206090.7845449</v>
      </c>
      <c r="BL65" s="356">
        <f t="shared" si="78"/>
        <v>1930242003.4335446</v>
      </c>
      <c r="BM65" s="356">
        <f t="shared" si="78"/>
        <v>1880930529.1925449</v>
      </c>
      <c r="BN65" s="356">
        <f t="shared" si="78"/>
        <v>1863844846.2156115</v>
      </c>
      <c r="BO65" s="356">
        <f t="shared" si="78"/>
        <v>1966196890.0870113</v>
      </c>
      <c r="BP65" s="356">
        <f t="shared" si="78"/>
        <v>1954967863.2596116</v>
      </c>
      <c r="BQ65" s="356">
        <f t="shared" si="78"/>
        <v>2016606161.9722781</v>
      </c>
      <c r="BR65" s="356">
        <f t="shared" si="78"/>
        <v>1918885626.4041448</v>
      </c>
      <c r="BS65" s="356">
        <f t="shared" si="78"/>
        <v>1894722979.4256115</v>
      </c>
      <c r="BT65" s="356">
        <f t="shared" si="78"/>
        <v>1737694322.0214782</v>
      </c>
      <c r="BU65" s="356">
        <f t="shared" si="78"/>
        <v>1829044258.1316113</v>
      </c>
      <c r="BV65" s="356">
        <f t="shared" si="78"/>
        <v>1806695911.0120115</v>
      </c>
      <c r="BW65" s="356">
        <f t="shared" si="78"/>
        <v>1679859045.890945</v>
      </c>
      <c r="BX65" s="356">
        <f t="shared" si="78"/>
        <v>1664772566.5702782</v>
      </c>
      <c r="BY65" s="356">
        <f t="shared" si="78"/>
        <v>1718533276.9925447</v>
      </c>
      <c r="BZ65" s="356">
        <f t="shared" si="78"/>
        <v>1783584503.9084783</v>
      </c>
      <c r="CA65" s="356">
        <f t="shared" si="78"/>
        <v>1805622793.9055448</v>
      </c>
      <c r="CB65" s="356">
        <f t="shared" si="78"/>
        <v>1852682892.7830114</v>
      </c>
      <c r="CC65" s="356">
        <f t="shared" si="78"/>
        <v>1893878440.4849448</v>
      </c>
      <c r="CD65" s="356">
        <f t="shared" si="78"/>
        <v>1976093762.8606782</v>
      </c>
      <c r="CE65" s="356">
        <f t="shared" si="78"/>
        <v>2087583052.1418114</v>
      </c>
      <c r="CF65" s="356">
        <f t="shared" si="78"/>
        <v>2003587035.2569447</v>
      </c>
      <c r="CG65" s="356">
        <f t="shared" si="78"/>
        <v>1896470068.5849447</v>
      </c>
      <c r="CH65" s="356">
        <f t="shared" si="78"/>
        <v>1890906375.1103449</v>
      </c>
      <c r="CI65" s="356">
        <f t="shared" si="78"/>
        <v>1940432102.0496778</v>
      </c>
      <c r="CJ65" s="356">
        <f t="shared" si="78"/>
        <v>2016299194.2077451</v>
      </c>
      <c r="CK65" s="356">
        <f t="shared" si="78"/>
        <v>2119051470.1290779</v>
      </c>
      <c r="CL65" s="356">
        <f t="shared" si="78"/>
        <v>2180653451.7221446</v>
      </c>
      <c r="CM65" s="356">
        <f t="shared" si="0"/>
        <v>1905549751.56197</v>
      </c>
      <c r="CN65" s="347"/>
      <c r="CO65" s="347"/>
      <c r="CP65" s="347"/>
      <c r="CQ65" s="347"/>
      <c r="CR65" s="347"/>
      <c r="CS65" s="347"/>
      <c r="CT65" s="347"/>
      <c r="CU65" s="347"/>
      <c r="CV65" s="347"/>
      <c r="CW65" s="347"/>
      <c r="CX65" s="347"/>
      <c r="CY65" s="347"/>
      <c r="CZ65" s="347"/>
      <c r="DA65" s="347"/>
      <c r="DB65" s="347"/>
      <c r="DC65" s="347"/>
      <c r="DD65" s="347"/>
      <c r="DE65" s="347"/>
      <c r="DF65" s="347"/>
      <c r="DG65" s="347"/>
      <c r="DH65" s="347"/>
      <c r="DI65" s="347"/>
      <c r="DJ65" s="347"/>
      <c r="DK65" s="347"/>
      <c r="DL65" s="347"/>
      <c r="DM65" s="347"/>
      <c r="DN65" s="347"/>
      <c r="DO65" s="347"/>
      <c r="DP65" s="347"/>
      <c r="DQ65" s="347"/>
      <c r="DR65" s="347"/>
      <c r="DS65" s="347"/>
      <c r="DT65" s="347"/>
      <c r="DU65" s="347"/>
      <c r="DV65" s="347"/>
      <c r="DW65" s="347"/>
      <c r="DX65" s="347"/>
      <c r="DY65" s="347"/>
      <c r="DZ65" s="347"/>
      <c r="EA65" s="347"/>
      <c r="EB65" s="347"/>
      <c r="EC65" s="347"/>
      <c r="ED65" s="347"/>
      <c r="EE65" s="347"/>
      <c r="EF65" s="347"/>
      <c r="EG65" s="347"/>
      <c r="EH65" s="347"/>
      <c r="EI65" s="347"/>
      <c r="EJ65" s="347"/>
      <c r="EK65" s="347"/>
      <c r="EL65" s="347"/>
      <c r="EM65" s="347"/>
      <c r="EN65" s="347"/>
      <c r="EO65" s="347"/>
      <c r="EP65" s="347"/>
      <c r="EQ65" s="347"/>
      <c r="ER65" s="347"/>
      <c r="ES65" s="347"/>
      <c r="ET65" s="347"/>
      <c r="EU65" s="347"/>
      <c r="EV65" s="347"/>
      <c r="EW65" s="347"/>
      <c r="EX65" s="347"/>
      <c r="EY65" s="347"/>
      <c r="EZ65" s="347"/>
      <c r="FA65" s="347"/>
      <c r="FB65" s="347"/>
      <c r="FC65" s="347"/>
      <c r="FD65" s="347"/>
      <c r="FE65" s="347"/>
      <c r="FF65" s="347"/>
      <c r="FG65" s="347"/>
      <c r="FH65" s="347"/>
      <c r="FI65" s="347"/>
      <c r="FJ65" s="347"/>
      <c r="FK65" s="347"/>
      <c r="FL65" s="347"/>
      <c r="FM65" s="347"/>
      <c r="FN65" s="347"/>
      <c r="FO65" s="347"/>
      <c r="FP65" s="347"/>
      <c r="FQ65" s="347"/>
      <c r="FR65" s="347"/>
      <c r="FS65" s="347"/>
      <c r="FT65" s="347"/>
      <c r="FU65" s="347"/>
      <c r="FV65" s="347"/>
    </row>
    <row r="66" spans="1:178">
      <c r="A66" s="1402"/>
      <c r="B66" s="1402"/>
      <c r="C66" s="1402"/>
      <c r="D66" s="1402"/>
      <c r="E66" s="1403"/>
      <c r="F66" s="854" t="s">
        <v>218</v>
      </c>
      <c r="G66" s="963">
        <f t="shared" ref="G66:BR66" si="79">(0.101511101973684*G17*0.85*G3/0.685)+(0.20964*G16*0.5/0.82)</f>
        <v>169990119.83868295</v>
      </c>
      <c r="H66" s="963">
        <f t="shared" si="79"/>
        <v>141815075.48441201</v>
      </c>
      <c r="I66" s="963">
        <f t="shared" si="79"/>
        <v>130039626.89320979</v>
      </c>
      <c r="J66" s="963">
        <f t="shared" si="79"/>
        <v>99491302.445694923</v>
      </c>
      <c r="K66" s="963">
        <f t="shared" si="79"/>
        <v>105227618.82138991</v>
      </c>
      <c r="L66" s="963">
        <f t="shared" si="79"/>
        <v>117760384.21954256</v>
      </c>
      <c r="M66" s="963">
        <f t="shared" si="79"/>
        <v>108759881.54974881</v>
      </c>
      <c r="N66" s="963">
        <f t="shared" si="79"/>
        <v>111753666.56687573</v>
      </c>
      <c r="O66" s="963">
        <f t="shared" si="79"/>
        <v>97425023.843466654</v>
      </c>
      <c r="P66" s="963">
        <f t="shared" si="79"/>
        <v>94745482.332943887</v>
      </c>
      <c r="Q66" s="963">
        <f t="shared" si="79"/>
        <v>89540450.064354107</v>
      </c>
      <c r="R66" s="963">
        <f t="shared" si="79"/>
        <v>78593075.153793082</v>
      </c>
      <c r="S66" s="963">
        <f t="shared" si="79"/>
        <v>88274905.137146458</v>
      </c>
      <c r="T66" s="963">
        <f t="shared" si="79"/>
        <v>98490231.235820606</v>
      </c>
      <c r="U66" s="963">
        <f t="shared" si="79"/>
        <v>115342458.3605893</v>
      </c>
      <c r="V66" s="963">
        <f t="shared" si="79"/>
        <v>87506259.476205006</v>
      </c>
      <c r="W66" s="963">
        <f t="shared" si="79"/>
        <v>73078328.727835655</v>
      </c>
      <c r="X66" s="963">
        <f t="shared" si="79"/>
        <v>72653867.344194487</v>
      </c>
      <c r="Y66" s="963">
        <f t="shared" si="79"/>
        <v>80023718.978742957</v>
      </c>
      <c r="Z66" s="963">
        <f t="shared" si="79"/>
        <v>81800446.717347145</v>
      </c>
      <c r="AA66" s="963">
        <f t="shared" si="79"/>
        <v>83366821.911845967</v>
      </c>
      <c r="AB66" s="963">
        <f t="shared" si="79"/>
        <v>74284099.561011016</v>
      </c>
      <c r="AC66" s="963">
        <f t="shared" si="79"/>
        <v>71722306.077442184</v>
      </c>
      <c r="AD66" s="963">
        <f t="shared" si="79"/>
        <v>74028671.471740216</v>
      </c>
      <c r="AE66" s="963">
        <f t="shared" si="79"/>
        <v>85275019.990516022</v>
      </c>
      <c r="AF66" s="963">
        <f t="shared" si="79"/>
        <v>99409959.695310026</v>
      </c>
      <c r="AG66" s="963">
        <f t="shared" si="79"/>
        <v>96784309.189423501</v>
      </c>
      <c r="AH66" s="963">
        <f t="shared" si="79"/>
        <v>111242290.30123648</v>
      </c>
      <c r="AI66" s="963">
        <f t="shared" si="79"/>
        <v>128175670.10171784</v>
      </c>
      <c r="AJ66" s="963">
        <f t="shared" si="79"/>
        <v>118537016.02717587</v>
      </c>
      <c r="AK66" s="963">
        <f t="shared" si="79"/>
        <v>104064009.73364109</v>
      </c>
      <c r="AL66" s="963">
        <f t="shared" si="79"/>
        <v>93178265.576188773</v>
      </c>
      <c r="AM66" s="963">
        <f t="shared" si="79"/>
        <v>93215828.530493304</v>
      </c>
      <c r="AN66" s="963">
        <f t="shared" si="79"/>
        <v>83411897.457011402</v>
      </c>
      <c r="AO66" s="963">
        <f t="shared" si="79"/>
        <v>100972578.59437841</v>
      </c>
      <c r="AP66" s="963">
        <f t="shared" si="79"/>
        <v>116309532.83691734</v>
      </c>
      <c r="AQ66" s="963">
        <f t="shared" si="79"/>
        <v>140402411.72784185</v>
      </c>
      <c r="AR66" s="963">
        <f t="shared" si="79"/>
        <v>140030538.48022702</v>
      </c>
      <c r="AS66" s="963">
        <f t="shared" si="79"/>
        <v>142160357.98929378</v>
      </c>
      <c r="AT66" s="963">
        <f t="shared" si="79"/>
        <v>141138645.63221058</v>
      </c>
      <c r="AU66" s="356">
        <f t="shared" si="79"/>
        <v>127285428.08470051</v>
      </c>
      <c r="AV66" s="356">
        <f t="shared" si="79"/>
        <v>117335001.48943096</v>
      </c>
      <c r="AW66" s="356">
        <f t="shared" si="79"/>
        <v>117425152.57976185</v>
      </c>
      <c r="AX66" s="356">
        <f t="shared" si="79"/>
        <v>126729496.3609935</v>
      </c>
      <c r="AY66" s="356">
        <f t="shared" si="79"/>
        <v>142900348.18909299</v>
      </c>
      <c r="AZ66" s="356">
        <f t="shared" si="79"/>
        <v>143136994.80121151</v>
      </c>
      <c r="BA66" s="356">
        <f t="shared" si="79"/>
        <v>152167129.01602012</v>
      </c>
      <c r="BB66" s="356">
        <f t="shared" si="79"/>
        <v>162523235.51777861</v>
      </c>
      <c r="BC66" s="356">
        <f t="shared" si="79"/>
        <v>180628579.49256125</v>
      </c>
      <c r="BD66" s="356">
        <f t="shared" si="79"/>
        <v>144534336.70133996</v>
      </c>
      <c r="BE66" s="356">
        <f t="shared" si="79"/>
        <v>118360470.1419446</v>
      </c>
      <c r="BF66" s="356">
        <f t="shared" si="79"/>
        <v>114322452.55420779</v>
      </c>
      <c r="BG66" s="356">
        <f t="shared" si="79"/>
        <v>117616723.64671493</v>
      </c>
      <c r="BH66" s="356">
        <f t="shared" si="79"/>
        <v>127773746.4906594</v>
      </c>
      <c r="BI66" s="356">
        <f t="shared" si="79"/>
        <v>134219549.44931647</v>
      </c>
      <c r="BJ66" s="356">
        <f t="shared" si="79"/>
        <v>137596459.04129359</v>
      </c>
      <c r="BK66" s="356">
        <f t="shared" si="79"/>
        <v>112177607.86341922</v>
      </c>
      <c r="BL66" s="356">
        <f t="shared" si="79"/>
        <v>96953342.48379387</v>
      </c>
      <c r="BM66" s="356">
        <f t="shared" si="79"/>
        <v>98869053.153324813</v>
      </c>
      <c r="BN66" s="356">
        <f t="shared" si="79"/>
        <v>93414912.188307315</v>
      </c>
      <c r="BO66" s="356">
        <f t="shared" si="79"/>
        <v>111865835.34269165</v>
      </c>
      <c r="BP66" s="356">
        <f t="shared" si="79"/>
        <v>115655937.43201855</v>
      </c>
      <c r="BQ66" s="356">
        <f t="shared" si="79"/>
        <v>117680580.66903262</v>
      </c>
      <c r="BR66" s="356">
        <f t="shared" si="79"/>
        <v>151265618.11271143</v>
      </c>
      <c r="BS66" s="356">
        <f t="shared" ref="BS66:CL66" si="80">(0.101511101973684*BS17*0.85*BS3/0.685)+(0.20964*BS16*0.5/0.82)</f>
        <v>136338100.07209188</v>
      </c>
      <c r="BT66" s="356">
        <f t="shared" si="80"/>
        <v>120865919.19405663</v>
      </c>
      <c r="BU66" s="356">
        <f t="shared" si="80"/>
        <v>65813653.365339875</v>
      </c>
      <c r="BV66" s="356">
        <f t="shared" si="80"/>
        <v>96754258.825979874</v>
      </c>
      <c r="BW66" s="356">
        <f t="shared" si="80"/>
        <v>99616555.943984941</v>
      </c>
      <c r="BX66" s="356">
        <f t="shared" si="80"/>
        <v>101280594.81967556</v>
      </c>
      <c r="BY66" s="356">
        <f t="shared" si="80"/>
        <v>102020585.01947476</v>
      </c>
      <c r="BZ66" s="356">
        <f t="shared" si="80"/>
        <v>100735931.98225988</v>
      </c>
      <c r="CA66" s="356">
        <f t="shared" si="80"/>
        <v>103789800.16721803</v>
      </c>
      <c r="CB66" s="356">
        <f t="shared" si="80"/>
        <v>119742786.86035125</v>
      </c>
      <c r="CC66" s="356">
        <f t="shared" si="80"/>
        <v>124351761.35351685</v>
      </c>
      <c r="CD66" s="356">
        <f t="shared" si="80"/>
        <v>150987652.25085792</v>
      </c>
      <c r="CE66" s="356">
        <f t="shared" si="80"/>
        <v>165877607.33717296</v>
      </c>
      <c r="CF66" s="356">
        <f t="shared" si="80"/>
        <v>170933580.98656249</v>
      </c>
      <c r="CG66" s="356">
        <f t="shared" si="80"/>
        <v>156723515.37315938</v>
      </c>
      <c r="CH66" s="356">
        <f t="shared" si="80"/>
        <v>135646941.71288854</v>
      </c>
      <c r="CI66" s="356">
        <f t="shared" si="80"/>
        <v>146859483.57279024</v>
      </c>
      <c r="CJ66" s="356">
        <f t="shared" si="80"/>
        <v>173446542.62953544</v>
      </c>
      <c r="CK66" s="356">
        <f t="shared" si="80"/>
        <v>183378187.74765274</v>
      </c>
      <c r="CL66" s="356">
        <f t="shared" si="80"/>
        <v>183990463.90281653</v>
      </c>
      <c r="CM66" s="356">
        <f t="shared" ref="CM66:CM74" si="81">AVERAGE(G66:CL66)</f>
        <v>117162072.2380635</v>
      </c>
      <c r="CN66" s="347"/>
      <c r="CO66" s="347"/>
      <c r="CP66" s="347"/>
      <c r="CQ66" s="347"/>
      <c r="CR66" s="347"/>
      <c r="CS66" s="347"/>
      <c r="CT66" s="347"/>
      <c r="CU66" s="347"/>
      <c r="CV66" s="347"/>
      <c r="CW66" s="347"/>
      <c r="CX66" s="347"/>
      <c r="CY66" s="347"/>
      <c r="CZ66" s="347"/>
      <c r="DA66" s="347"/>
      <c r="DB66" s="347"/>
      <c r="DC66" s="347"/>
      <c r="DD66" s="347"/>
      <c r="DE66" s="347"/>
      <c r="DF66" s="347"/>
      <c r="DG66" s="347"/>
      <c r="DH66" s="347"/>
      <c r="DI66" s="347"/>
      <c r="DJ66" s="347"/>
      <c r="DK66" s="347"/>
      <c r="DL66" s="347"/>
      <c r="DM66" s="347"/>
      <c r="DN66" s="347"/>
      <c r="DO66" s="347"/>
      <c r="DP66" s="347"/>
      <c r="DQ66" s="347"/>
      <c r="DR66" s="347"/>
      <c r="DS66" s="347"/>
      <c r="DT66" s="347"/>
      <c r="DU66" s="347"/>
      <c r="DV66" s="347"/>
      <c r="DW66" s="347"/>
      <c r="DX66" s="347"/>
      <c r="DY66" s="347"/>
      <c r="DZ66" s="347"/>
      <c r="EA66" s="347"/>
      <c r="EB66" s="347"/>
      <c r="EC66" s="347"/>
      <c r="ED66" s="347"/>
      <c r="EE66" s="347"/>
      <c r="EF66" s="347"/>
      <c r="EG66" s="347"/>
      <c r="EH66" s="347"/>
      <c r="EI66" s="347"/>
      <c r="EJ66" s="347"/>
      <c r="EK66" s="347"/>
      <c r="EL66" s="347"/>
      <c r="EM66" s="347"/>
      <c r="EN66" s="347"/>
      <c r="EO66" s="347"/>
      <c r="EP66" s="347"/>
      <c r="EQ66" s="347"/>
      <c r="ER66" s="347"/>
      <c r="ES66" s="347"/>
      <c r="ET66" s="347"/>
      <c r="EU66" s="347"/>
      <c r="EV66" s="347"/>
      <c r="EW66" s="347"/>
      <c r="EX66" s="347"/>
      <c r="EY66" s="347"/>
      <c r="EZ66" s="347"/>
      <c r="FA66" s="347"/>
      <c r="FB66" s="347"/>
      <c r="FC66" s="347"/>
      <c r="FD66" s="347"/>
      <c r="FE66" s="347"/>
      <c r="FF66" s="347"/>
      <c r="FG66" s="347"/>
      <c r="FH66" s="347"/>
      <c r="FI66" s="347"/>
      <c r="FJ66" s="347"/>
      <c r="FK66" s="347"/>
      <c r="FL66" s="347"/>
      <c r="FM66" s="347"/>
      <c r="FN66" s="347"/>
      <c r="FO66" s="347"/>
      <c r="FP66" s="347"/>
      <c r="FQ66" s="347"/>
      <c r="FR66" s="347"/>
      <c r="FS66" s="347"/>
      <c r="FT66" s="347"/>
      <c r="FU66" s="347"/>
      <c r="FV66" s="347"/>
    </row>
    <row r="67" spans="1:178">
      <c r="A67" s="1402"/>
      <c r="B67" s="1402"/>
      <c r="C67" s="1402"/>
      <c r="D67" s="1402"/>
      <c r="E67" s="1403"/>
      <c r="F67" s="854" t="s">
        <v>219</v>
      </c>
      <c r="G67" s="963">
        <f t="shared" ref="G67:BR67" si="82">G46+G47+G48+G49+G65+G66</f>
        <v>9870820440.1588726</v>
      </c>
      <c r="H67" s="963">
        <f t="shared" si="82"/>
        <v>9260508418.9270592</v>
      </c>
      <c r="I67" s="963">
        <f t="shared" si="82"/>
        <v>8582309345.9382753</v>
      </c>
      <c r="J67" s="963">
        <f t="shared" si="82"/>
        <v>7491446663.0509977</v>
      </c>
      <c r="K67" s="963">
        <f t="shared" si="82"/>
        <v>8072316484.4100933</v>
      </c>
      <c r="L67" s="963">
        <f t="shared" si="82"/>
        <v>8154596699.626976</v>
      </c>
      <c r="M67" s="963">
        <f t="shared" si="82"/>
        <v>8209267017.6062508</v>
      </c>
      <c r="N67" s="963">
        <f t="shared" si="82"/>
        <v>8448593926.8777828</v>
      </c>
      <c r="O67" s="963">
        <f t="shared" si="82"/>
        <v>8231372051.2473621</v>
      </c>
      <c r="P67" s="963">
        <f t="shared" si="82"/>
        <v>7762229097.3056259</v>
      </c>
      <c r="Q67" s="963">
        <f t="shared" si="82"/>
        <v>7485291384.8610106</v>
      </c>
      <c r="R67" s="963">
        <f t="shared" si="82"/>
        <v>7512160618.2044134</v>
      </c>
      <c r="S67" s="963">
        <f t="shared" si="82"/>
        <v>7636834759.2098751</v>
      </c>
      <c r="T67" s="963">
        <f t="shared" si="82"/>
        <v>7719111470.3713989</v>
      </c>
      <c r="U67" s="963">
        <f t="shared" si="82"/>
        <v>7576202126.9760695</v>
      </c>
      <c r="V67" s="963">
        <f t="shared" si="82"/>
        <v>6928506728.9837923</v>
      </c>
      <c r="W67" s="963">
        <f t="shared" si="82"/>
        <v>6669208228.1916132</v>
      </c>
      <c r="X67" s="963">
        <f t="shared" si="82"/>
        <v>6771909170.2179413</v>
      </c>
      <c r="Y67" s="963">
        <f t="shared" si="82"/>
        <v>6941002970.8676929</v>
      </c>
      <c r="Z67" s="963">
        <f t="shared" si="82"/>
        <v>7122805438.922473</v>
      </c>
      <c r="AA67" s="963">
        <f t="shared" si="82"/>
        <v>7211194696.1606379</v>
      </c>
      <c r="AB67" s="963">
        <f t="shared" si="82"/>
        <v>7060498740.1756945</v>
      </c>
      <c r="AC67" s="963">
        <f t="shared" si="82"/>
        <v>6884106174.597497</v>
      </c>
      <c r="AD67" s="963">
        <f t="shared" si="82"/>
        <v>7098368685.8898306</v>
      </c>
      <c r="AE67" s="963">
        <f t="shared" si="82"/>
        <v>7416956616.529458</v>
      </c>
      <c r="AF67" s="963">
        <f t="shared" si="82"/>
        <v>7554843202.6404409</v>
      </c>
      <c r="AG67" s="963">
        <f t="shared" si="82"/>
        <v>7863546538.7990026</v>
      </c>
      <c r="AH67" s="963">
        <f t="shared" si="82"/>
        <v>8377426812.5321627</v>
      </c>
      <c r="AI67" s="963">
        <f t="shared" si="82"/>
        <v>8431176788.2365046</v>
      </c>
      <c r="AJ67" s="963">
        <f t="shared" si="82"/>
        <v>7837206255.7023411</v>
      </c>
      <c r="AK67" s="963">
        <f t="shared" si="82"/>
        <v>7743489647.7844162</v>
      </c>
      <c r="AL67" s="963">
        <f t="shared" si="82"/>
        <v>7404208812.4471951</v>
      </c>
      <c r="AM67" s="963">
        <f t="shared" si="82"/>
        <v>7233822677.0316973</v>
      </c>
      <c r="AN67" s="963">
        <f t="shared" si="82"/>
        <v>7169285658.7242718</v>
      </c>
      <c r="AO67" s="963">
        <f t="shared" si="82"/>
        <v>7550161352.8813753</v>
      </c>
      <c r="AP67" s="963">
        <f t="shared" si="82"/>
        <v>7961897438.8195801</v>
      </c>
      <c r="AQ67" s="963">
        <f t="shared" si="82"/>
        <v>8415240570.1404896</v>
      </c>
      <c r="AR67" s="963">
        <f t="shared" si="82"/>
        <v>8708200177.593586</v>
      </c>
      <c r="AS67" s="963">
        <f t="shared" si="82"/>
        <v>8731895866.155201</v>
      </c>
      <c r="AT67" s="963">
        <f t="shared" si="82"/>
        <v>8576894994.2274809</v>
      </c>
      <c r="AU67" s="356">
        <f t="shared" si="82"/>
        <v>8520748030.148036</v>
      </c>
      <c r="AV67" s="356">
        <f t="shared" si="82"/>
        <v>8354373260.4496536</v>
      </c>
      <c r="AW67" s="356">
        <f t="shared" si="82"/>
        <v>8632439657.2539005</v>
      </c>
      <c r="AX67" s="356">
        <f t="shared" si="82"/>
        <v>9338095592.1294212</v>
      </c>
      <c r="AY67" s="356">
        <f t="shared" si="82"/>
        <v>9397779342.2065411</v>
      </c>
      <c r="AZ67" s="356">
        <f t="shared" si="82"/>
        <v>9595593978.902916</v>
      </c>
      <c r="BA67" s="356">
        <f t="shared" si="82"/>
        <v>9764750416.4052639</v>
      </c>
      <c r="BB67" s="356">
        <f t="shared" si="82"/>
        <v>10286410010.879295</v>
      </c>
      <c r="BC67" s="356">
        <f t="shared" si="82"/>
        <v>10617441968.117107</v>
      </c>
      <c r="BD67" s="356">
        <f t="shared" si="82"/>
        <v>9042703924.1005898</v>
      </c>
      <c r="BE67" s="356">
        <f t="shared" si="82"/>
        <v>8647149558.6209164</v>
      </c>
      <c r="BF67" s="356">
        <f t="shared" si="82"/>
        <v>8428765118.7708921</v>
      </c>
      <c r="BG67" s="356">
        <f t="shared" si="82"/>
        <v>8718165125.5350056</v>
      </c>
      <c r="BH67" s="356">
        <f t="shared" si="82"/>
        <v>8810117249.041605</v>
      </c>
      <c r="BI67" s="356">
        <f t="shared" si="82"/>
        <v>9034785574.9249287</v>
      </c>
      <c r="BJ67" s="356">
        <f t="shared" si="82"/>
        <v>8845170586.5164757</v>
      </c>
      <c r="BK67" s="356">
        <f t="shared" si="82"/>
        <v>8121427716.1744061</v>
      </c>
      <c r="BL67" s="356">
        <f t="shared" si="82"/>
        <v>8150255177.2524176</v>
      </c>
      <c r="BM67" s="356">
        <f t="shared" si="82"/>
        <v>7945100371.9712858</v>
      </c>
      <c r="BN67" s="356">
        <f t="shared" si="82"/>
        <v>8099377082.7118397</v>
      </c>
      <c r="BO67" s="356">
        <f t="shared" si="82"/>
        <v>8369916956.3526955</v>
      </c>
      <c r="BP67" s="356">
        <f t="shared" si="82"/>
        <v>8666253678.4267235</v>
      </c>
      <c r="BQ67" s="356">
        <f t="shared" si="82"/>
        <v>8869020281.1341534</v>
      </c>
      <c r="BR67" s="356">
        <f t="shared" si="82"/>
        <v>8956188574.0502644</v>
      </c>
      <c r="BS67" s="356">
        <f t="shared" ref="BS67:CL67" si="83">BS46+BS47+BS48+BS49+BS65+BS66</f>
        <v>8357737518.6376495</v>
      </c>
      <c r="BT67" s="356">
        <f t="shared" si="83"/>
        <v>6841891674.434474</v>
      </c>
      <c r="BU67" s="356">
        <f t="shared" si="83"/>
        <v>5264091587.9684916</v>
      </c>
      <c r="BV67" s="356">
        <f t="shared" si="83"/>
        <v>6154358846.4243088</v>
      </c>
      <c r="BW67" s="356">
        <f t="shared" si="83"/>
        <v>7005828883.8961086</v>
      </c>
      <c r="BX67" s="356">
        <f t="shared" si="83"/>
        <v>7181155775.4204865</v>
      </c>
      <c r="BY67" s="356">
        <f t="shared" si="83"/>
        <v>7269710191.2897902</v>
      </c>
      <c r="BZ67" s="356">
        <f t="shared" si="83"/>
        <v>7442963287.9440212</v>
      </c>
      <c r="CA67" s="356">
        <f t="shared" si="83"/>
        <v>7279596084.0904436</v>
      </c>
      <c r="CB67" s="356">
        <f t="shared" si="83"/>
        <v>7633371074.2095022</v>
      </c>
      <c r="CC67" s="356">
        <f t="shared" si="83"/>
        <v>8058445368.3104315</v>
      </c>
      <c r="CD67" s="356">
        <f t="shared" si="83"/>
        <v>8751032532.7942295</v>
      </c>
      <c r="CE67" s="356">
        <f t="shared" si="83"/>
        <v>9405003650.5414505</v>
      </c>
      <c r="CF67" s="356">
        <f t="shared" si="83"/>
        <v>9517643874.4926281</v>
      </c>
      <c r="CG67" s="356">
        <f t="shared" si="83"/>
        <v>9172918742.1842251</v>
      </c>
      <c r="CH67" s="356">
        <f t="shared" si="83"/>
        <v>9170210675.1047916</v>
      </c>
      <c r="CI67" s="356">
        <f t="shared" si="83"/>
        <v>9706715857.3551197</v>
      </c>
      <c r="CJ67" s="356">
        <f t="shared" si="83"/>
        <v>10504419002.301733</v>
      </c>
      <c r="CK67" s="356">
        <f t="shared" si="83"/>
        <v>10470931123.95681</v>
      </c>
      <c r="CL67" s="356">
        <f t="shared" si="83"/>
        <v>10846046038.829992</v>
      </c>
      <c r="CM67" s="356">
        <f t="shared" si="81"/>
        <v>8225273997.2772303</v>
      </c>
      <c r="CN67" s="347"/>
      <c r="CO67" s="347"/>
      <c r="CP67" s="347"/>
      <c r="CQ67" s="347"/>
      <c r="CR67" s="347"/>
      <c r="CS67" s="347"/>
      <c r="CT67" s="347"/>
      <c r="CU67" s="347"/>
      <c r="CV67" s="347"/>
      <c r="CW67" s="347"/>
      <c r="CX67" s="347"/>
      <c r="CY67" s="347"/>
      <c r="CZ67" s="347"/>
      <c r="DA67" s="347"/>
      <c r="DB67" s="347"/>
      <c r="DC67" s="347"/>
      <c r="DD67" s="347"/>
      <c r="DE67" s="347"/>
      <c r="DF67" s="347"/>
      <c r="DG67" s="347"/>
      <c r="DH67" s="347"/>
      <c r="DI67" s="347"/>
      <c r="DJ67" s="347"/>
      <c r="DK67" s="347"/>
      <c r="DL67" s="347"/>
      <c r="DM67" s="347"/>
      <c r="DN67" s="347"/>
      <c r="DO67" s="347"/>
      <c r="DP67" s="347"/>
      <c r="DQ67" s="347"/>
      <c r="DR67" s="347"/>
      <c r="DS67" s="347"/>
      <c r="DT67" s="347"/>
      <c r="DU67" s="347"/>
      <c r="DV67" s="347"/>
      <c r="DW67" s="347"/>
      <c r="DX67" s="347"/>
      <c r="DY67" s="347"/>
      <c r="DZ67" s="347"/>
      <c r="EA67" s="347"/>
      <c r="EB67" s="347"/>
      <c r="EC67" s="347"/>
      <c r="ED67" s="347"/>
      <c r="EE67" s="347"/>
      <c r="EF67" s="347"/>
      <c r="EG67" s="347"/>
      <c r="EH67" s="347"/>
      <c r="EI67" s="347"/>
      <c r="EJ67" s="347"/>
      <c r="EK67" s="347"/>
      <c r="EL67" s="347"/>
      <c r="EM67" s="347"/>
      <c r="EN67" s="347"/>
      <c r="EO67" s="347"/>
      <c r="EP67" s="347"/>
      <c r="EQ67" s="347"/>
      <c r="ER67" s="347"/>
      <c r="ES67" s="347"/>
      <c r="ET67" s="347"/>
      <c r="EU67" s="347"/>
      <c r="EV67" s="347"/>
      <c r="EW67" s="347"/>
      <c r="EX67" s="347"/>
      <c r="EY67" s="347"/>
      <c r="EZ67" s="347"/>
      <c r="FA67" s="347"/>
      <c r="FB67" s="347"/>
      <c r="FC67" s="347"/>
      <c r="FD67" s="347"/>
      <c r="FE67" s="347"/>
      <c r="FF67" s="347"/>
      <c r="FG67" s="347"/>
      <c r="FH67" s="347"/>
      <c r="FI67" s="347"/>
      <c r="FJ67" s="347"/>
      <c r="FK67" s="347"/>
      <c r="FL67" s="347"/>
      <c r="FM67" s="347"/>
      <c r="FN67" s="347"/>
      <c r="FO67" s="347"/>
      <c r="FP67" s="347"/>
      <c r="FQ67" s="347"/>
      <c r="FR67" s="347"/>
      <c r="FS67" s="347"/>
      <c r="FT67" s="347"/>
      <c r="FU67" s="347"/>
      <c r="FV67" s="347"/>
    </row>
    <row r="68" spans="1:178" ht="63.75" customHeight="1">
      <c r="A68" s="1402"/>
      <c r="B68" s="1402"/>
      <c r="C68" s="1402"/>
      <c r="D68" s="1402"/>
      <c r="E68" s="1403"/>
      <c r="F68" s="894" t="s">
        <v>220</v>
      </c>
      <c r="G68" s="969">
        <f t="shared" ref="G68:BR68" si="84">G67-G54-G55</f>
        <v>7113917405.7510242</v>
      </c>
      <c r="H68" s="969">
        <f t="shared" si="84"/>
        <v>6667663005.9825296</v>
      </c>
      <c r="I68" s="969">
        <f t="shared" si="84"/>
        <v>6124675315.4641075</v>
      </c>
      <c r="J68" s="969">
        <f t="shared" si="84"/>
        <v>5199241668.7259674</v>
      </c>
      <c r="K68" s="969">
        <f t="shared" si="84"/>
        <v>5687601049.8418741</v>
      </c>
      <c r="L68" s="969">
        <f t="shared" si="84"/>
        <v>5718251988.4565849</v>
      </c>
      <c r="M68" s="969">
        <f t="shared" si="84"/>
        <v>5785176830.8340502</v>
      </c>
      <c r="N68" s="969">
        <f t="shared" si="84"/>
        <v>5947272135.5198193</v>
      </c>
      <c r="O68" s="969">
        <f t="shared" si="84"/>
        <v>5841328799.273304</v>
      </c>
      <c r="P68" s="969">
        <f t="shared" si="84"/>
        <v>5420574116.280859</v>
      </c>
      <c r="Q68" s="969">
        <f t="shared" si="84"/>
        <v>5242896310.9115095</v>
      </c>
      <c r="R68" s="969">
        <f t="shared" si="84"/>
        <v>5337972681.862524</v>
      </c>
      <c r="S68" s="969">
        <f t="shared" si="84"/>
        <v>5416486803.1856947</v>
      </c>
      <c r="T68" s="969">
        <f t="shared" si="84"/>
        <v>5473790977.879324</v>
      </c>
      <c r="U68" s="969">
        <f t="shared" si="84"/>
        <v>5419877165.0643024</v>
      </c>
      <c r="V68" s="969">
        <f t="shared" si="84"/>
        <v>4844731992.3022079</v>
      </c>
      <c r="W68" s="969">
        <f t="shared" si="84"/>
        <v>4748956225.3850346</v>
      </c>
      <c r="X68" s="969">
        <f t="shared" si="84"/>
        <v>4806898853.1102591</v>
      </c>
      <c r="Y68" s="969">
        <f t="shared" si="84"/>
        <v>4871074303.3118563</v>
      </c>
      <c r="Z68" s="969">
        <f t="shared" si="84"/>
        <v>5034539420.294301</v>
      </c>
      <c r="AA68" s="969">
        <f t="shared" si="84"/>
        <v>5089051843.1963129</v>
      </c>
      <c r="AB68" s="969">
        <f t="shared" si="84"/>
        <v>4965218351.6804152</v>
      </c>
      <c r="AC68" s="969">
        <f t="shared" si="84"/>
        <v>4805355891.3891678</v>
      </c>
      <c r="AD68" s="969">
        <f t="shared" si="84"/>
        <v>5021861512.1153708</v>
      </c>
      <c r="AE68" s="969">
        <f t="shared" si="84"/>
        <v>5262516668.9702759</v>
      </c>
      <c r="AF68" s="969">
        <f t="shared" si="84"/>
        <v>5374201198.6421051</v>
      </c>
      <c r="AG68" s="969">
        <f t="shared" si="84"/>
        <v>5597433054.1931486</v>
      </c>
      <c r="AH68" s="969">
        <f t="shared" si="84"/>
        <v>5984032330.5567074</v>
      </c>
      <c r="AI68" s="969">
        <f t="shared" si="84"/>
        <v>5918410393.6850128</v>
      </c>
      <c r="AJ68" s="969">
        <f t="shared" si="84"/>
        <v>5442228313.5261011</v>
      </c>
      <c r="AK68" s="969">
        <f t="shared" si="84"/>
        <v>5301600090.7541666</v>
      </c>
      <c r="AL68" s="969">
        <f t="shared" si="84"/>
        <v>5066119943.473855</v>
      </c>
      <c r="AM68" s="969">
        <f t="shared" si="84"/>
        <v>4958562632.5896931</v>
      </c>
      <c r="AN68" s="969">
        <f t="shared" si="84"/>
        <v>4878946849.4757509</v>
      </c>
      <c r="AO68" s="969">
        <f t="shared" si="84"/>
        <v>5233908076.3529892</v>
      </c>
      <c r="AP68" s="969">
        <f t="shared" si="84"/>
        <v>5569685624.100625</v>
      </c>
      <c r="AQ68" s="969">
        <f t="shared" si="84"/>
        <v>5915928875.4457483</v>
      </c>
      <c r="AR68" s="969">
        <f t="shared" si="84"/>
        <v>6217353245.3839989</v>
      </c>
      <c r="AS68" s="969">
        <f t="shared" si="84"/>
        <v>6164919415.1293583</v>
      </c>
      <c r="AT68" s="969">
        <f t="shared" si="84"/>
        <v>5972539401.6973639</v>
      </c>
      <c r="AU68" s="893">
        <f t="shared" si="84"/>
        <v>5866495769.4385347</v>
      </c>
      <c r="AV68" s="893">
        <f t="shared" si="84"/>
        <v>5657855423.1460638</v>
      </c>
      <c r="AW68" s="893">
        <f t="shared" si="84"/>
        <v>5858745468.4956226</v>
      </c>
      <c r="AX68" s="893">
        <f t="shared" si="84"/>
        <v>6430222368.9377918</v>
      </c>
      <c r="AY68" s="893">
        <f t="shared" si="84"/>
        <v>6191956881.5846624</v>
      </c>
      <c r="AZ68" s="893">
        <f t="shared" si="84"/>
        <v>6375180970.8383045</v>
      </c>
      <c r="BA68" s="893">
        <f t="shared" si="84"/>
        <v>6515188066.6867266</v>
      </c>
      <c r="BB68" s="893">
        <f t="shared" si="84"/>
        <v>6837367869.0095673</v>
      </c>
      <c r="BC68" s="893">
        <f t="shared" si="84"/>
        <v>7179644565.5966053</v>
      </c>
      <c r="BD68" s="893">
        <f t="shared" si="84"/>
        <v>6100508129.0999603</v>
      </c>
      <c r="BE68" s="893">
        <f t="shared" si="84"/>
        <v>6116630848.5002975</v>
      </c>
      <c r="BF68" s="893">
        <f t="shared" si="84"/>
        <v>6015549044.9951582</v>
      </c>
      <c r="BG68" s="893">
        <f t="shared" si="84"/>
        <v>6241835640.6827765</v>
      </c>
      <c r="BH68" s="893">
        <f t="shared" si="84"/>
        <v>6253376688.2230663</v>
      </c>
      <c r="BI68" s="893">
        <f t="shared" si="84"/>
        <v>6441093098.4845686</v>
      </c>
      <c r="BJ68" s="893">
        <f t="shared" si="84"/>
        <v>6308492387.5356159</v>
      </c>
      <c r="BK68" s="893">
        <f t="shared" si="84"/>
        <v>5687488679.2315702</v>
      </c>
      <c r="BL68" s="893">
        <f t="shared" si="84"/>
        <v>5727739096.3037863</v>
      </c>
      <c r="BM68" s="893">
        <f t="shared" si="84"/>
        <v>5480567612.4793024</v>
      </c>
      <c r="BN68" s="893">
        <f t="shared" si="84"/>
        <v>5564122406.9637432</v>
      </c>
      <c r="BO68" s="893">
        <f t="shared" si="84"/>
        <v>5703834891.7007923</v>
      </c>
      <c r="BP68" s="893">
        <f t="shared" si="84"/>
        <v>6042473530.330512</v>
      </c>
      <c r="BQ68" s="893">
        <f t="shared" si="84"/>
        <v>6381773468.5822096</v>
      </c>
      <c r="BR68" s="893">
        <f t="shared" si="84"/>
        <v>6316213916.1114788</v>
      </c>
      <c r="BS68" s="893">
        <f t="shared" ref="BS68:CL68" si="85">BS67-BS54-BS55</f>
        <v>5807556326.640502</v>
      </c>
      <c r="BT68" s="893">
        <f t="shared" si="85"/>
        <v>4711393145.471653</v>
      </c>
      <c r="BU68" s="893">
        <f t="shared" si="85"/>
        <v>3755066886.1694908</v>
      </c>
      <c r="BV68" s="893">
        <f t="shared" si="85"/>
        <v>4892045955.5859079</v>
      </c>
      <c r="BW68" s="893">
        <f t="shared" si="85"/>
        <v>5502977798.1165848</v>
      </c>
      <c r="BX68" s="893">
        <f t="shared" si="85"/>
        <v>5457506646.8573942</v>
      </c>
      <c r="BY68" s="893">
        <f t="shared" si="85"/>
        <v>5467534548.1986742</v>
      </c>
      <c r="BZ68" s="893">
        <f t="shared" si="85"/>
        <v>5522651659.8018932</v>
      </c>
      <c r="CA68" s="893">
        <f t="shared" si="85"/>
        <v>5291153826.1425743</v>
      </c>
      <c r="CB68" s="893">
        <f t="shared" si="85"/>
        <v>5471337018.2052765</v>
      </c>
      <c r="CC68" s="893">
        <f t="shared" si="85"/>
        <v>5548674139.0666924</v>
      </c>
      <c r="CD68" s="893">
        <f t="shared" si="85"/>
        <v>6083245329.2955341</v>
      </c>
      <c r="CE68" s="893">
        <f t="shared" si="85"/>
        <v>6805718344.9724998</v>
      </c>
      <c r="CF68" s="893">
        <f t="shared" si="85"/>
        <v>6774567821.4203796</v>
      </c>
      <c r="CG68" s="893">
        <f t="shared" si="85"/>
        <v>6208815189.9199762</v>
      </c>
      <c r="CH68" s="893">
        <f t="shared" si="85"/>
        <v>6244288368.2585192</v>
      </c>
      <c r="CI68" s="893">
        <f t="shared" si="85"/>
        <v>6609721662.8340902</v>
      </c>
      <c r="CJ68" s="893">
        <f t="shared" si="85"/>
        <v>7148653808.7066488</v>
      </c>
      <c r="CK68" s="893">
        <f t="shared" si="85"/>
        <v>6881471545.3370037</v>
      </c>
      <c r="CL68" s="893">
        <f t="shared" si="85"/>
        <v>7215867280.6903486</v>
      </c>
      <c r="CM68" s="893">
        <f t="shared" si="81"/>
        <v>5763540534.3624506</v>
      </c>
      <c r="CN68" s="347"/>
      <c r="CO68" s="347"/>
      <c r="CP68" s="347"/>
      <c r="CQ68" s="347"/>
      <c r="CR68" s="347"/>
      <c r="CS68" s="347"/>
      <c r="CT68" s="347"/>
      <c r="CU68" s="347"/>
      <c r="CV68" s="347"/>
      <c r="CW68" s="347"/>
      <c r="CX68" s="347"/>
      <c r="CY68" s="347"/>
      <c r="CZ68" s="347"/>
      <c r="DA68" s="347"/>
      <c r="DB68" s="347"/>
      <c r="DC68" s="347"/>
      <c r="DD68" s="347"/>
      <c r="DE68" s="347"/>
      <c r="DF68" s="347"/>
      <c r="DG68" s="347"/>
      <c r="DH68" s="347"/>
      <c r="DI68" s="347"/>
      <c r="DJ68" s="347"/>
      <c r="DK68" s="347"/>
      <c r="DL68" s="347"/>
      <c r="DM68" s="347"/>
      <c r="DN68" s="347"/>
      <c r="DO68" s="347"/>
      <c r="DP68" s="347"/>
      <c r="DQ68" s="347"/>
      <c r="DR68" s="347"/>
      <c r="DS68" s="347"/>
      <c r="DT68" s="347"/>
      <c r="DU68" s="347"/>
      <c r="DV68" s="347"/>
      <c r="DW68" s="347"/>
      <c r="DX68" s="347"/>
      <c r="DY68" s="347"/>
      <c r="DZ68" s="347"/>
      <c r="EA68" s="347"/>
      <c r="EB68" s="347"/>
      <c r="EC68" s="347"/>
      <c r="ED68" s="347"/>
      <c r="EE68" s="347"/>
      <c r="EF68" s="347"/>
      <c r="EG68" s="347"/>
      <c r="EH68" s="347"/>
      <c r="EI68" s="347"/>
      <c r="EJ68" s="347"/>
      <c r="EK68" s="347"/>
      <c r="EL68" s="347"/>
      <c r="EM68" s="347"/>
      <c r="EN68" s="347"/>
      <c r="EO68" s="347"/>
      <c r="EP68" s="347"/>
      <c r="EQ68" s="347"/>
      <c r="ER68" s="347"/>
      <c r="ES68" s="347"/>
      <c r="ET68" s="347"/>
      <c r="EU68" s="347"/>
      <c r="EV68" s="347"/>
      <c r="EW68" s="347"/>
      <c r="EX68" s="347"/>
      <c r="EY68" s="347"/>
      <c r="EZ68" s="347"/>
      <c r="FA68" s="347"/>
      <c r="FB68" s="347"/>
      <c r="FC68" s="347"/>
      <c r="FD68" s="347"/>
      <c r="FE68" s="347"/>
      <c r="FF68" s="347"/>
      <c r="FG68" s="347"/>
      <c r="FH68" s="347"/>
      <c r="FI68" s="347"/>
      <c r="FJ68" s="347"/>
      <c r="FK68" s="347"/>
      <c r="FL68" s="347"/>
      <c r="FM68" s="347"/>
      <c r="FN68" s="347"/>
      <c r="FO68" s="347"/>
      <c r="FP68" s="347"/>
      <c r="FQ68" s="347"/>
      <c r="FR68" s="347"/>
      <c r="FS68" s="347"/>
      <c r="FT68" s="347"/>
      <c r="FU68" s="347"/>
      <c r="FV68" s="347"/>
    </row>
    <row r="69" spans="1:178">
      <c r="A69" s="347"/>
      <c r="B69" s="347"/>
      <c r="C69" s="347"/>
      <c r="D69" s="347"/>
      <c r="E69" s="347"/>
      <c r="F69" s="970" t="s">
        <v>425</v>
      </c>
      <c r="G69" s="971">
        <f t="shared" ref="G69:BR69" si="86">G68*G52/G16</f>
        <v>44361.45019810769</v>
      </c>
      <c r="H69" s="971">
        <f t="shared" si="86"/>
        <v>42406.651633711364</v>
      </c>
      <c r="I69" s="971">
        <f t="shared" si="86"/>
        <v>40154.39262286132</v>
      </c>
      <c r="J69" s="971">
        <f t="shared" si="86"/>
        <v>34757.246214712221</v>
      </c>
      <c r="K69" s="971">
        <f t="shared" si="86"/>
        <v>36974.260942925051</v>
      </c>
      <c r="L69" s="971">
        <f t="shared" si="86"/>
        <v>37184.780926524589</v>
      </c>
      <c r="M69" s="971">
        <f t="shared" si="86"/>
        <v>37346.526430297185</v>
      </c>
      <c r="N69" s="971">
        <f t="shared" si="86"/>
        <v>38154.092704585011</v>
      </c>
      <c r="O69" s="971">
        <f t="shared" si="86"/>
        <v>37663.456132664658</v>
      </c>
      <c r="P69" s="971">
        <f t="shared" si="86"/>
        <v>35506.628611752822</v>
      </c>
      <c r="Q69" s="971">
        <f t="shared" si="86"/>
        <v>34917.751868843079</v>
      </c>
      <c r="R69" s="971">
        <f t="shared" si="86"/>
        <v>35401.706787774558</v>
      </c>
      <c r="S69" s="971">
        <f t="shared" si="86"/>
        <v>35633.668156230175</v>
      </c>
      <c r="T69" s="971">
        <f t="shared" si="86"/>
        <v>35710.294088688584</v>
      </c>
      <c r="U69" s="971">
        <f t="shared" si="86"/>
        <v>35332.798522086581</v>
      </c>
      <c r="V69" s="971">
        <f t="shared" si="86"/>
        <v>32531.923434866723</v>
      </c>
      <c r="W69" s="971">
        <f t="shared" si="86"/>
        <v>32193.128293005037</v>
      </c>
      <c r="X69" s="971">
        <f t="shared" si="86"/>
        <v>31962.248700266307</v>
      </c>
      <c r="Y69" s="971">
        <f t="shared" si="86"/>
        <v>31864.80008591896</v>
      </c>
      <c r="Z69" s="971">
        <f t="shared" si="86"/>
        <v>32772.811958529383</v>
      </c>
      <c r="AA69" s="971">
        <f t="shared" si="86"/>
        <v>33014.162271590249</v>
      </c>
      <c r="AB69" s="971">
        <f t="shared" si="86"/>
        <v>32981.854711357351</v>
      </c>
      <c r="AC69" s="971">
        <f t="shared" si="86"/>
        <v>32020.094334341953</v>
      </c>
      <c r="AD69" s="971">
        <f t="shared" si="86"/>
        <v>33244.360248301782</v>
      </c>
      <c r="AE69" s="971">
        <f t="shared" si="86"/>
        <v>34167.972639448803</v>
      </c>
      <c r="AF69" s="971">
        <f t="shared" si="86"/>
        <v>34756.443118272182</v>
      </c>
      <c r="AG69" s="971">
        <f t="shared" si="86"/>
        <v>36055.95324248344</v>
      </c>
      <c r="AH69" s="971">
        <f t="shared" si="86"/>
        <v>38413.238707338292</v>
      </c>
      <c r="AI69" s="971">
        <f t="shared" si="86"/>
        <v>37578.775702738298</v>
      </c>
      <c r="AJ69" s="971">
        <f t="shared" si="86"/>
        <v>34651.835227548523</v>
      </c>
      <c r="AK69" s="971">
        <f t="shared" si="86"/>
        <v>34034.095807576348</v>
      </c>
      <c r="AL69" s="971">
        <f t="shared" si="86"/>
        <v>32885.606966775638</v>
      </c>
      <c r="AM69" s="971">
        <f t="shared" si="86"/>
        <v>32480.461816075702</v>
      </c>
      <c r="AN69" s="971">
        <f t="shared" si="86"/>
        <v>31881.286881152515</v>
      </c>
      <c r="AO69" s="971">
        <f t="shared" si="86"/>
        <v>33686.469671198538</v>
      </c>
      <c r="AP69" s="971">
        <f t="shared" si="86"/>
        <v>35421.508859815265</v>
      </c>
      <c r="AQ69" s="971">
        <f t="shared" si="86"/>
        <v>37447.099909036959</v>
      </c>
      <c r="AR69" s="971">
        <f t="shared" si="86"/>
        <v>38863.497109909913</v>
      </c>
      <c r="AS69" s="971">
        <f t="shared" si="86"/>
        <v>38643.005538433667</v>
      </c>
      <c r="AT69" s="971">
        <f t="shared" si="86"/>
        <v>37245.097579738249</v>
      </c>
      <c r="AU69" s="972">
        <f t="shared" si="86"/>
        <v>37283.104875788689</v>
      </c>
      <c r="AV69" s="972">
        <f t="shared" si="86"/>
        <v>35562.333985371028</v>
      </c>
      <c r="AW69" s="972">
        <f t="shared" si="86"/>
        <v>36684.211025852914</v>
      </c>
      <c r="AX69" s="972">
        <f t="shared" si="86"/>
        <v>39803.841216402725</v>
      </c>
      <c r="AY69" s="972">
        <f t="shared" si="86"/>
        <v>38457.117345205421</v>
      </c>
      <c r="AZ69" s="972">
        <f t="shared" si="86"/>
        <v>39536.918224753623</v>
      </c>
      <c r="BA69" s="972">
        <f t="shared" si="86"/>
        <v>40284.886067404557</v>
      </c>
      <c r="BB69" s="972">
        <f t="shared" si="86"/>
        <v>42039.512025020107</v>
      </c>
      <c r="BC69" s="972">
        <f t="shared" si="86"/>
        <v>44257.799121665274</v>
      </c>
      <c r="BD69" s="972">
        <f t="shared" si="86"/>
        <v>38886.530515720617</v>
      </c>
      <c r="BE69" s="972">
        <f t="shared" si="86"/>
        <v>40246.075252126066</v>
      </c>
      <c r="BF69" s="972">
        <f t="shared" si="86"/>
        <v>39189.883582995491</v>
      </c>
      <c r="BG69" s="972">
        <f t="shared" si="86"/>
        <v>39898.718453825932</v>
      </c>
      <c r="BH69" s="972">
        <f t="shared" si="86"/>
        <v>39604.696480949708</v>
      </c>
      <c r="BI69" s="972">
        <f t="shared" si="86"/>
        <v>40576.626912825384</v>
      </c>
      <c r="BJ69" s="972">
        <f t="shared" si="86"/>
        <v>39900.114903772388</v>
      </c>
      <c r="BK69" s="972">
        <f t="shared" si="86"/>
        <v>36734.654725869885</v>
      </c>
      <c r="BL69" s="972">
        <f t="shared" si="86"/>
        <v>36701.91988432598</v>
      </c>
      <c r="BM69" s="972">
        <f t="shared" si="86"/>
        <v>35400.263405867103</v>
      </c>
      <c r="BN69" s="972">
        <f t="shared" si="86"/>
        <v>35748.487509142811</v>
      </c>
      <c r="BO69" s="972">
        <f t="shared" si="86"/>
        <v>36379.135849429593</v>
      </c>
      <c r="BP69" s="972">
        <f t="shared" si="86"/>
        <v>38353.971346861596</v>
      </c>
      <c r="BQ69" s="972">
        <f t="shared" si="86"/>
        <v>40229.490612043242</v>
      </c>
      <c r="BR69" s="972">
        <f t="shared" si="86"/>
        <v>39554.588520519181</v>
      </c>
      <c r="BS69" s="972">
        <f t="shared" ref="BS69:CL69" si="87">BS68*BS52/BS16</f>
        <v>36793.714296491999</v>
      </c>
      <c r="BT69" s="972">
        <f t="shared" si="87"/>
        <v>31602.823578734333</v>
      </c>
      <c r="BU69" s="972">
        <f t="shared" si="87"/>
        <v>27241.796411623276</v>
      </c>
      <c r="BV69" s="972">
        <f t="shared" si="87"/>
        <v>33509.235809815269</v>
      </c>
      <c r="BW69" s="972">
        <f t="shared" si="87"/>
        <v>35805.483945001499</v>
      </c>
      <c r="BX69" s="972">
        <f t="shared" si="87"/>
        <v>35019.331732291452</v>
      </c>
      <c r="BY69" s="972">
        <f t="shared" si="87"/>
        <v>35262.616881847243</v>
      </c>
      <c r="BZ69" s="972">
        <f t="shared" si="87"/>
        <v>35942.028555643032</v>
      </c>
      <c r="CA69" s="972">
        <f t="shared" si="87"/>
        <v>34011.031535987342</v>
      </c>
      <c r="CB69" s="972">
        <f t="shared" si="87"/>
        <v>35513.801644297804</v>
      </c>
      <c r="CC69" s="972">
        <f t="shared" si="87"/>
        <v>35425.202563076149</v>
      </c>
      <c r="CD69" s="972">
        <f t="shared" si="87"/>
        <v>37900.222637717234</v>
      </c>
      <c r="CE69" s="972">
        <f t="shared" si="87"/>
        <v>42076.404546975529</v>
      </c>
      <c r="CF69" s="972">
        <f t="shared" si="87"/>
        <v>41746.979567699127</v>
      </c>
      <c r="CG69" s="972">
        <f t="shared" si="87"/>
        <v>38369.635962725115</v>
      </c>
      <c r="CH69" s="972">
        <f t="shared" si="87"/>
        <v>38607.701227224112</v>
      </c>
      <c r="CI69" s="972">
        <f t="shared" si="87"/>
        <v>40551.799748723133</v>
      </c>
      <c r="CJ69" s="972">
        <f t="shared" si="87"/>
        <v>43742.192819468204</v>
      </c>
      <c r="CK69" s="972">
        <f t="shared" si="87"/>
        <v>42495.349952655379</v>
      </c>
      <c r="CL69" s="972">
        <f t="shared" si="87"/>
        <v>44465.618057214029</v>
      </c>
      <c r="CM69" s="972">
        <f t="shared" si="81"/>
        <v>36901.205856862325</v>
      </c>
      <c r="CN69" s="347"/>
      <c r="CO69" s="347"/>
      <c r="CP69" s="347"/>
      <c r="CQ69" s="347"/>
      <c r="CR69" s="347"/>
      <c r="CS69" s="347"/>
      <c r="CT69" s="347"/>
      <c r="CU69" s="347"/>
      <c r="CV69" s="347"/>
      <c r="CW69" s="347"/>
      <c r="CX69" s="347"/>
      <c r="CY69" s="347"/>
      <c r="CZ69" s="347"/>
      <c r="DA69" s="347"/>
      <c r="DB69" s="347"/>
      <c r="DC69" s="347"/>
      <c r="DD69" s="347"/>
      <c r="DE69" s="347"/>
      <c r="DF69" s="347"/>
      <c r="DG69" s="347"/>
      <c r="DH69" s="347"/>
      <c r="DI69" s="347"/>
      <c r="DJ69" s="347"/>
      <c r="DK69" s="347"/>
      <c r="DL69" s="347"/>
      <c r="DM69" s="347"/>
      <c r="DN69" s="347"/>
      <c r="DO69" s="347"/>
      <c r="DP69" s="347"/>
      <c r="DQ69" s="347"/>
      <c r="DR69" s="347"/>
      <c r="DS69" s="347"/>
      <c r="DT69" s="347"/>
      <c r="DU69" s="347"/>
      <c r="DV69" s="347"/>
      <c r="DW69" s="347"/>
      <c r="DX69" s="347"/>
      <c r="DY69" s="347"/>
      <c r="DZ69" s="347"/>
      <c r="EA69" s="347"/>
      <c r="EB69" s="347"/>
      <c r="EC69" s="347"/>
      <c r="ED69" s="347"/>
      <c r="EE69" s="347"/>
      <c r="EF69" s="347"/>
      <c r="EG69" s="347"/>
      <c r="EH69" s="347"/>
      <c r="EI69" s="347"/>
      <c r="EJ69" s="347"/>
      <c r="EK69" s="347"/>
      <c r="EL69" s="347"/>
      <c r="EM69" s="347"/>
      <c r="EN69" s="347"/>
      <c r="EO69" s="347"/>
      <c r="EP69" s="347"/>
      <c r="EQ69" s="347"/>
      <c r="ER69" s="347"/>
      <c r="ES69" s="347"/>
      <c r="ET69" s="347"/>
      <c r="EU69" s="347"/>
      <c r="EV69" s="347"/>
      <c r="EW69" s="347"/>
      <c r="EX69" s="347"/>
      <c r="EY69" s="347"/>
      <c r="EZ69" s="347"/>
      <c r="FA69" s="347"/>
      <c r="FB69" s="347"/>
      <c r="FC69" s="347"/>
      <c r="FD69" s="347"/>
      <c r="FE69" s="347"/>
      <c r="FF69" s="347"/>
      <c r="FG69" s="347"/>
      <c r="FH69" s="347"/>
      <c r="FI69" s="347"/>
      <c r="FJ69" s="347"/>
      <c r="FK69" s="347"/>
      <c r="FL69" s="347"/>
      <c r="FM69" s="347"/>
      <c r="FN69" s="347"/>
      <c r="FO69" s="347"/>
      <c r="FP69" s="347"/>
      <c r="FQ69" s="347"/>
      <c r="FR69" s="347"/>
      <c r="FS69" s="347"/>
      <c r="FT69" s="347"/>
      <c r="FU69" s="347"/>
      <c r="FV69" s="347"/>
    </row>
    <row r="70" spans="1:178">
      <c r="A70" s="347"/>
      <c r="B70" s="347"/>
      <c r="C70" s="347"/>
      <c r="D70" s="347"/>
      <c r="E70" s="347"/>
      <c r="F70" s="970" t="s">
        <v>426</v>
      </c>
      <c r="G70" s="971">
        <f t="shared" ref="G70:BR70" si="88">G53*G68/G17</f>
        <v>71480.453836399101</v>
      </c>
      <c r="H70" s="971">
        <f t="shared" si="88"/>
        <v>63673.739301072761</v>
      </c>
      <c r="I70" s="971">
        <f t="shared" si="88"/>
        <v>53668.032476193701</v>
      </c>
      <c r="J70" s="971">
        <f t="shared" si="88"/>
        <v>42869.471988675607</v>
      </c>
      <c r="K70" s="971">
        <f t="shared" si="88"/>
        <v>51100.64054591379</v>
      </c>
      <c r="L70" s="971">
        <f t="shared" si="88"/>
        <v>51330.827896664203</v>
      </c>
      <c r="M70" s="971">
        <f t="shared" si="88"/>
        <v>53028.983550615871</v>
      </c>
      <c r="N70" s="971">
        <f t="shared" si="88"/>
        <v>55473.323940775837</v>
      </c>
      <c r="O70" s="971">
        <f t="shared" si="88"/>
        <v>53726.537584282392</v>
      </c>
      <c r="P70" s="971">
        <f t="shared" si="88"/>
        <v>47624.92983439815</v>
      </c>
      <c r="Q70" s="971">
        <f t="shared" si="88"/>
        <v>43756.448638371156</v>
      </c>
      <c r="R70" s="971">
        <f t="shared" si="88"/>
        <v>45148.912390133992</v>
      </c>
      <c r="S70" s="971">
        <f t="shared" si="88"/>
        <v>46971.757048648535</v>
      </c>
      <c r="T70" s="971">
        <f t="shared" si="88"/>
        <v>48674.078331539371</v>
      </c>
      <c r="U70" s="971">
        <f t="shared" si="88"/>
        <v>48298.078106346162</v>
      </c>
      <c r="V70" s="971">
        <f t="shared" si="88"/>
        <v>39366.148461553086</v>
      </c>
      <c r="W70" s="971">
        <f t="shared" si="88"/>
        <v>37366.6184067715</v>
      </c>
      <c r="X70" s="971">
        <f t="shared" si="88"/>
        <v>40325.373479937836</v>
      </c>
      <c r="Y70" s="971">
        <f t="shared" si="88"/>
        <v>42967.264109180433</v>
      </c>
      <c r="Z70" s="971">
        <f t="shared" si="88"/>
        <v>45056.552590420317</v>
      </c>
      <c r="AA70" s="971">
        <f t="shared" si="88"/>
        <v>45999.90834173128</v>
      </c>
      <c r="AB70" s="971">
        <f t="shared" si="88"/>
        <v>41786.354787590004</v>
      </c>
      <c r="AC70" s="971">
        <f t="shared" si="88"/>
        <v>40039.118649137381</v>
      </c>
      <c r="AD70" s="971">
        <f t="shared" si="88"/>
        <v>42719.544388252303</v>
      </c>
      <c r="AE70" s="971">
        <f t="shared" si="88"/>
        <v>47453.50943168204</v>
      </c>
      <c r="AF70" s="971">
        <f t="shared" si="88"/>
        <v>49009.042020458888</v>
      </c>
      <c r="AG70" s="971">
        <f t="shared" si="88"/>
        <v>51623.416347012899</v>
      </c>
      <c r="AH70" s="971">
        <f t="shared" si="88"/>
        <v>55722.64130321463</v>
      </c>
      <c r="AI70" s="971">
        <f t="shared" si="88"/>
        <v>56769.845162056728</v>
      </c>
      <c r="AJ70" s="971">
        <f t="shared" si="88"/>
        <v>51814.75258019477</v>
      </c>
      <c r="AK70" s="971">
        <f t="shared" si="88"/>
        <v>49361.537565027909</v>
      </c>
      <c r="AL70" s="971">
        <f t="shared" si="88"/>
        <v>45711.520433410784</v>
      </c>
      <c r="AM70" s="971">
        <f t="shared" si="88"/>
        <v>43565.044120128419</v>
      </c>
      <c r="AN70" s="971">
        <f t="shared" si="88"/>
        <v>43177.21486893329</v>
      </c>
      <c r="AO70" s="971">
        <f t="shared" si="88"/>
        <v>48382.427010662388</v>
      </c>
      <c r="AP70" s="971">
        <f t="shared" si="88"/>
        <v>53196.30211915417</v>
      </c>
      <c r="AQ70" s="971">
        <f t="shared" si="88"/>
        <v>57211.235238512447</v>
      </c>
      <c r="AR70" s="971">
        <f t="shared" si="88"/>
        <v>62098.975767046621</v>
      </c>
      <c r="AS70" s="971">
        <f t="shared" si="88"/>
        <v>61144.814794405407</v>
      </c>
      <c r="AT70" s="971">
        <f t="shared" si="88"/>
        <v>60007.383086372764</v>
      </c>
      <c r="AU70" s="972">
        <f t="shared" si="88"/>
        <v>56135.593930539515</v>
      </c>
      <c r="AV70" s="972">
        <f t="shared" si="88"/>
        <v>55723.536066121414</v>
      </c>
      <c r="AW70" s="972">
        <f t="shared" si="88"/>
        <v>58267.171253396758</v>
      </c>
      <c r="AX70" s="972">
        <f t="shared" si="88"/>
        <v>65791.257051867578</v>
      </c>
      <c r="AY70" s="972">
        <f t="shared" si="88"/>
        <v>62839.080978816994</v>
      </c>
      <c r="AZ70" s="972">
        <f t="shared" si="88"/>
        <v>64931.973541544321</v>
      </c>
      <c r="BA70" s="972">
        <f t="shared" si="88"/>
        <v>66840.787958178538</v>
      </c>
      <c r="BB70" s="972">
        <f t="shared" si="88"/>
        <v>71099.146912367301</v>
      </c>
      <c r="BC70" s="972">
        <f t="shared" si="88"/>
        <v>74201.658420884196</v>
      </c>
      <c r="BD70" s="972">
        <f t="shared" si="88"/>
        <v>57908.437960771982</v>
      </c>
      <c r="BE70" s="972">
        <f t="shared" si="88"/>
        <v>53017.960417901231</v>
      </c>
      <c r="BF70" s="972">
        <f t="shared" si="88"/>
        <v>53711.294852685118</v>
      </c>
      <c r="BG70" s="972">
        <f t="shared" si="88"/>
        <v>58803.2293788713</v>
      </c>
      <c r="BH70" s="972">
        <f t="shared" si="88"/>
        <v>60387.938893862702</v>
      </c>
      <c r="BI70" s="972">
        <f t="shared" si="88"/>
        <v>63071.282128033119</v>
      </c>
      <c r="BJ70" s="972">
        <f t="shared" si="88"/>
        <v>61135.474192248068</v>
      </c>
      <c r="BK70" s="972">
        <f t="shared" si="88"/>
        <v>52058.256022998074</v>
      </c>
      <c r="BL70" s="972">
        <f t="shared" si="88"/>
        <v>53601.32418604866</v>
      </c>
      <c r="BM70" s="972">
        <f t="shared" si="88"/>
        <v>50155.929903352415</v>
      </c>
      <c r="BN70" s="972">
        <f t="shared" si="88"/>
        <v>51688.995294704575</v>
      </c>
      <c r="BO70" s="972">
        <f t="shared" si="88"/>
        <v>54058.288266408032</v>
      </c>
      <c r="BP70" s="972">
        <f t="shared" si="88"/>
        <v>58010.190779614793</v>
      </c>
      <c r="BQ70" s="972">
        <f t="shared" si="88"/>
        <v>62383.850066351537</v>
      </c>
      <c r="BR70" s="972">
        <f t="shared" si="88"/>
        <v>62792.912733866186</v>
      </c>
      <c r="BS70" s="972">
        <f t="shared" ref="BS70:CL70" si="89">BS53*BS68/BS17</f>
        <v>56032.372604272656</v>
      </c>
      <c r="BT70" s="972">
        <f t="shared" si="89"/>
        <v>38418.104764443699</v>
      </c>
      <c r="BU70" s="972">
        <f t="shared" si="89"/>
        <v>22378.029585926895</v>
      </c>
      <c r="BV70" s="972">
        <f t="shared" si="89"/>
        <v>37103.565331660539</v>
      </c>
      <c r="BW70" s="972">
        <f t="shared" si="89"/>
        <v>49315.74266297993</v>
      </c>
      <c r="BX70" s="972">
        <f t="shared" si="89"/>
        <v>50875.819438392689</v>
      </c>
      <c r="BY70" s="972">
        <f t="shared" si="89"/>
        <v>50251.207076545274</v>
      </c>
      <c r="BZ70" s="972">
        <f t="shared" si="89"/>
        <v>49457.799912768183</v>
      </c>
      <c r="CA70" s="972">
        <f t="shared" si="89"/>
        <v>49087.714778825735</v>
      </c>
      <c r="CB70" s="972">
        <f t="shared" si="89"/>
        <v>49376.548758310819</v>
      </c>
      <c r="CC70" s="972">
        <f t="shared" si="89"/>
        <v>52444.544226915408</v>
      </c>
      <c r="CD70" s="972">
        <f t="shared" si="89"/>
        <v>61261.103685214533</v>
      </c>
      <c r="CE70" s="972">
        <f t="shared" si="89"/>
        <v>69841.052390965066</v>
      </c>
      <c r="CF70" s="972">
        <f t="shared" si="89"/>
        <v>70070.517254648366</v>
      </c>
      <c r="CG70" s="972">
        <f t="shared" si="89"/>
        <v>63781.420570554859</v>
      </c>
      <c r="CH70" s="972">
        <f t="shared" si="89"/>
        <v>64070.196947672994</v>
      </c>
      <c r="CI70" s="972">
        <f t="shared" si="89"/>
        <v>69085.216787739366</v>
      </c>
      <c r="CJ70" s="972">
        <f t="shared" si="89"/>
        <v>75183.885551389525</v>
      </c>
      <c r="CK70" s="972">
        <f t="shared" si="89"/>
        <v>70816.683274441471</v>
      </c>
      <c r="CL70" s="972">
        <f t="shared" si="89"/>
        <v>74638.103915493426</v>
      </c>
      <c r="CM70" s="972">
        <f t="shared" si="81"/>
        <v>54057.237633850877</v>
      </c>
      <c r="CN70" s="347"/>
      <c r="CO70" s="347"/>
      <c r="CP70" s="347"/>
      <c r="CQ70" s="347"/>
      <c r="CR70" s="347"/>
      <c r="CS70" s="347"/>
      <c r="CT70" s="347"/>
      <c r="CU70" s="347"/>
      <c r="CV70" s="347"/>
      <c r="CW70" s="347"/>
      <c r="CX70" s="347"/>
      <c r="CY70" s="347"/>
      <c r="CZ70" s="347"/>
      <c r="DA70" s="347"/>
      <c r="DB70" s="347"/>
      <c r="DC70" s="347"/>
      <c r="DD70" s="347"/>
      <c r="DE70" s="347"/>
      <c r="DF70" s="347"/>
      <c r="DG70" s="347"/>
      <c r="DH70" s="347"/>
      <c r="DI70" s="347"/>
      <c r="DJ70" s="347"/>
      <c r="DK70" s="347"/>
      <c r="DL70" s="347"/>
      <c r="DM70" s="347"/>
      <c r="DN70" s="347"/>
      <c r="DO70" s="347"/>
      <c r="DP70" s="347"/>
      <c r="DQ70" s="347"/>
      <c r="DR70" s="347"/>
      <c r="DS70" s="347"/>
      <c r="DT70" s="347"/>
      <c r="DU70" s="347"/>
      <c r="DV70" s="347"/>
      <c r="DW70" s="347"/>
      <c r="DX70" s="347"/>
      <c r="DY70" s="347"/>
      <c r="DZ70" s="347"/>
      <c r="EA70" s="347"/>
      <c r="EB70" s="347"/>
      <c r="EC70" s="347"/>
      <c r="ED70" s="347"/>
      <c r="EE70" s="347"/>
      <c r="EF70" s="347"/>
      <c r="EG70" s="347"/>
      <c r="EH70" s="347"/>
      <c r="EI70" s="347"/>
      <c r="EJ70" s="347"/>
      <c r="EK70" s="347"/>
      <c r="EL70" s="347"/>
      <c r="EM70" s="347"/>
      <c r="EN70" s="347"/>
      <c r="EO70" s="347"/>
      <c r="EP70" s="347"/>
      <c r="EQ70" s="347"/>
      <c r="ER70" s="347"/>
      <c r="ES70" s="347"/>
      <c r="ET70" s="347"/>
      <c r="EU70" s="347"/>
      <c r="EV70" s="347"/>
      <c r="EW70" s="347"/>
      <c r="EX70" s="347"/>
      <c r="EY70" s="347"/>
      <c r="EZ70" s="347"/>
      <c r="FA70" s="347"/>
      <c r="FB70" s="347"/>
      <c r="FC70" s="347"/>
      <c r="FD70" s="347"/>
      <c r="FE70" s="347"/>
      <c r="FF70" s="347"/>
      <c r="FG70" s="347"/>
      <c r="FH70" s="347"/>
      <c r="FI70" s="347"/>
      <c r="FJ70" s="347"/>
      <c r="FK70" s="347"/>
      <c r="FL70" s="347"/>
      <c r="FM70" s="347"/>
      <c r="FN70" s="347"/>
      <c r="FO70" s="347"/>
      <c r="FP70" s="347"/>
      <c r="FQ70" s="347"/>
      <c r="FR70" s="347"/>
      <c r="FS70" s="347"/>
      <c r="FT70" s="347"/>
      <c r="FU70" s="347"/>
      <c r="FV70" s="347"/>
    </row>
    <row r="71" spans="1:178">
      <c r="F71" s="323"/>
      <c r="G71" s="323"/>
      <c r="H71" s="323"/>
      <c r="I71" s="323"/>
      <c r="J71" s="323"/>
      <c r="K71" s="323"/>
      <c r="L71" s="323"/>
      <c r="M71" s="323"/>
      <c r="N71" s="323"/>
      <c r="O71" s="323"/>
      <c r="P71" s="323"/>
      <c r="Q71" s="323"/>
      <c r="R71" s="323"/>
      <c r="S71" s="352"/>
      <c r="T71" s="352"/>
      <c r="U71" s="352"/>
      <c r="V71" s="352"/>
      <c r="W71" s="352"/>
      <c r="X71" s="352"/>
      <c r="Y71" s="352"/>
      <c r="Z71" s="352"/>
      <c r="AA71" s="352"/>
      <c r="AB71" s="352"/>
      <c r="AC71" s="352"/>
      <c r="AD71" s="352"/>
      <c r="AE71" s="352"/>
      <c r="AF71" s="352"/>
      <c r="AG71" s="352"/>
      <c r="AH71" s="352"/>
      <c r="AI71" s="352"/>
      <c r="AJ71" s="352"/>
      <c r="AK71" s="352"/>
      <c r="AL71" s="352"/>
      <c r="AM71" s="352"/>
      <c r="AN71" s="352"/>
      <c r="AO71" s="352"/>
      <c r="AP71" s="352"/>
      <c r="AQ71" s="352"/>
      <c r="AR71" s="352"/>
      <c r="AS71" s="352"/>
      <c r="AT71" s="353"/>
      <c r="AU71" s="973"/>
      <c r="AV71" s="973"/>
      <c r="AW71" s="973"/>
      <c r="AX71" s="973"/>
      <c r="AY71" s="973"/>
      <c r="AZ71" s="973"/>
      <c r="BA71" s="973"/>
      <c r="BB71" s="973"/>
      <c r="BC71" s="973"/>
      <c r="BD71" s="973"/>
      <c r="BE71" s="973"/>
      <c r="BF71" s="973"/>
      <c r="BG71" s="973"/>
      <c r="BH71" s="973"/>
      <c r="BI71" s="973"/>
      <c r="BJ71" s="973"/>
      <c r="BK71" s="973"/>
      <c r="BL71" s="973"/>
      <c r="BM71" s="973"/>
      <c r="BN71" s="973"/>
      <c r="BO71" s="973"/>
      <c r="BP71" s="973"/>
      <c r="BQ71" s="973"/>
      <c r="BR71" s="973"/>
      <c r="BS71" s="973"/>
      <c r="BT71" s="973"/>
      <c r="BU71" s="973"/>
      <c r="BV71" s="973"/>
      <c r="BW71" s="973"/>
      <c r="BX71" s="973"/>
      <c r="BY71" s="973"/>
      <c r="BZ71" s="973"/>
      <c r="CA71" s="973"/>
      <c r="CB71" s="973"/>
      <c r="CC71" s="973"/>
      <c r="CD71" s="973"/>
      <c r="CE71" s="973"/>
      <c r="CF71" s="973"/>
      <c r="CG71" s="973"/>
      <c r="CH71" s="973"/>
      <c r="CI71" s="973"/>
      <c r="CJ71" s="973"/>
      <c r="CK71" s="973"/>
      <c r="CL71" s="973"/>
      <c r="CM71" s="356"/>
    </row>
    <row r="72" spans="1:178">
      <c r="F72" s="359" t="s">
        <v>270</v>
      </c>
      <c r="G72" s="359">
        <v>93308.112500000003</v>
      </c>
      <c r="H72" s="359">
        <v>89338.57</v>
      </c>
      <c r="I72" s="359">
        <v>84521.437916666662</v>
      </c>
      <c r="J72" s="359">
        <v>72138.256250000006</v>
      </c>
      <c r="K72" s="359">
        <v>69542.803749999992</v>
      </c>
      <c r="L72" s="359">
        <v>77202.935599999997</v>
      </c>
      <c r="M72" s="359">
        <v>85561.224749999994</v>
      </c>
      <c r="N72" s="359">
        <v>87810.504000000001</v>
      </c>
      <c r="O72" s="359">
        <v>82223.356874999998</v>
      </c>
      <c r="P72" s="359">
        <v>81008.455999999991</v>
      </c>
      <c r="Q72" s="359">
        <v>77755.603250000015</v>
      </c>
      <c r="R72" s="359">
        <v>75270.07650000001</v>
      </c>
      <c r="S72" s="521">
        <v>79308</v>
      </c>
      <c r="T72" s="521">
        <v>87844.5</v>
      </c>
      <c r="U72" s="521">
        <v>84301.2</v>
      </c>
      <c r="V72" s="521">
        <v>71658</v>
      </c>
      <c r="W72" s="521">
        <v>73467</v>
      </c>
      <c r="X72" s="521">
        <v>79317</v>
      </c>
      <c r="Y72" s="521">
        <v>83124</v>
      </c>
      <c r="Z72" s="521">
        <v>80424</v>
      </c>
      <c r="AA72" s="521">
        <v>78174</v>
      </c>
      <c r="AB72" s="521">
        <v>79992</v>
      </c>
      <c r="AC72" s="521">
        <v>80892</v>
      </c>
      <c r="AD72" s="521">
        <v>80892</v>
      </c>
      <c r="AE72" s="521">
        <v>79920</v>
      </c>
      <c r="AF72" s="521">
        <v>79920</v>
      </c>
      <c r="AG72" s="521">
        <v>79020</v>
      </c>
      <c r="AH72" s="521">
        <v>80838</v>
      </c>
      <c r="AI72" s="521">
        <v>80838</v>
      </c>
      <c r="AJ72" s="521">
        <v>81738</v>
      </c>
      <c r="AK72" s="521">
        <v>80838</v>
      </c>
      <c r="AL72" s="521">
        <v>80838</v>
      </c>
      <c r="AM72" s="521">
        <v>80838</v>
      </c>
      <c r="AN72" s="521">
        <v>80478</v>
      </c>
      <c r="AO72" s="521">
        <v>73638</v>
      </c>
      <c r="AP72" s="521">
        <v>73638</v>
      </c>
      <c r="AQ72" s="521">
        <v>73638</v>
      </c>
      <c r="AR72" s="521">
        <v>75069</v>
      </c>
      <c r="AS72" s="521">
        <v>74097</v>
      </c>
      <c r="AT72" s="522">
        <v>77120</v>
      </c>
      <c r="AU72" s="523">
        <v>78330</v>
      </c>
      <c r="AV72" s="523">
        <v>78330</v>
      </c>
      <c r="AW72" s="523">
        <v>79710</v>
      </c>
      <c r="AX72" s="523">
        <v>81840</v>
      </c>
      <c r="AY72" s="523">
        <v>82290</v>
      </c>
      <c r="AZ72" s="523">
        <v>81605</v>
      </c>
      <c r="BA72" s="523">
        <v>80450</v>
      </c>
      <c r="BB72" s="523">
        <v>82290</v>
      </c>
      <c r="BC72" s="523">
        <v>84860</v>
      </c>
      <c r="BD72" s="523">
        <v>82790</v>
      </c>
      <c r="BE72" s="523">
        <v>75410</v>
      </c>
      <c r="BF72" s="523">
        <v>75535</v>
      </c>
      <c r="BG72" s="523">
        <v>75515</v>
      </c>
      <c r="BH72" s="523">
        <v>76895</v>
      </c>
      <c r="BI72" s="523">
        <v>76895</v>
      </c>
      <c r="BJ72" s="523">
        <v>73118.75</v>
      </c>
      <c r="BK72" s="523">
        <v>69505.666666666672</v>
      </c>
      <c r="BL72" s="523">
        <v>68825</v>
      </c>
      <c r="BM72" s="523">
        <v>69518</v>
      </c>
      <c r="BN72" s="523">
        <v>66726.666666666672</v>
      </c>
      <c r="BO72" s="523">
        <v>68260</v>
      </c>
      <c r="BP72" s="523">
        <v>65340</v>
      </c>
      <c r="BQ72" s="523">
        <v>64110</v>
      </c>
      <c r="BR72" s="523">
        <v>65725</v>
      </c>
      <c r="BS72" s="523">
        <v>66420</v>
      </c>
      <c r="BT72" s="523">
        <v>66430</v>
      </c>
      <c r="BU72" s="523">
        <v>62745</v>
      </c>
      <c r="BV72" s="523">
        <v>59985</v>
      </c>
      <c r="BW72" s="523">
        <v>63743.333333333336</v>
      </c>
      <c r="BX72" s="523">
        <v>67265</v>
      </c>
      <c r="BY72" s="523">
        <v>67680</v>
      </c>
      <c r="BZ72" s="523">
        <v>68533.333333333328</v>
      </c>
      <c r="CA72" s="523">
        <v>71170</v>
      </c>
      <c r="CB72" s="523">
        <v>74566.666666666672</v>
      </c>
      <c r="CC72" s="523">
        <v>80425</v>
      </c>
      <c r="CD72" s="523">
        <v>79965</v>
      </c>
      <c r="CE72" s="523">
        <v>83513.333333333328</v>
      </c>
      <c r="CF72" s="523">
        <v>94750</v>
      </c>
      <c r="CG72" s="523">
        <v>97356.666666666672</v>
      </c>
      <c r="CH72" s="523">
        <v>88703.333333333328</v>
      </c>
      <c r="CI72" s="523">
        <v>85010</v>
      </c>
      <c r="CJ72" s="523">
        <v>87430</v>
      </c>
      <c r="CK72" s="523">
        <v>92103.333333333328</v>
      </c>
      <c r="CL72" s="523">
        <v>94270</v>
      </c>
      <c r="CM72" s="524">
        <f t="shared" si="81"/>
        <v>77898.572865773807</v>
      </c>
    </row>
    <row r="73" spans="1:178">
      <c r="F73" s="357" t="s">
        <v>271</v>
      </c>
      <c r="G73" s="357">
        <v>94825.01304374999</v>
      </c>
      <c r="H73" s="357">
        <v>89531.853532499998</v>
      </c>
      <c r="I73" s="357">
        <v>85012.567467500005</v>
      </c>
      <c r="J73" s="357">
        <v>73145.637585937497</v>
      </c>
      <c r="K73" s="357">
        <v>69337.815106875001</v>
      </c>
      <c r="L73" s="357">
        <v>76428.891031799998</v>
      </c>
      <c r="M73" s="357">
        <v>85421.754279000001</v>
      </c>
      <c r="N73" s="357">
        <v>87695.729944499995</v>
      </c>
      <c r="O73" s="357">
        <v>84411.261556875004</v>
      </c>
      <c r="P73" s="357">
        <v>83437.817375999992</v>
      </c>
      <c r="Q73" s="357">
        <v>79078.185913500012</v>
      </c>
      <c r="R73" s="357">
        <v>76465.631594250022</v>
      </c>
      <c r="S73" s="525">
        <v>81045</v>
      </c>
      <c r="T73" s="525">
        <v>88461.9</v>
      </c>
      <c r="U73" s="525">
        <v>84411.9</v>
      </c>
      <c r="V73" s="525">
        <v>73836</v>
      </c>
      <c r="W73" s="525">
        <v>75195</v>
      </c>
      <c r="X73" s="525">
        <v>78795</v>
      </c>
      <c r="Y73" s="525">
        <v>81990</v>
      </c>
      <c r="Z73" s="525">
        <v>80190</v>
      </c>
      <c r="AA73" s="525">
        <v>78840</v>
      </c>
      <c r="AB73" s="525">
        <v>80235</v>
      </c>
      <c r="AC73" s="525">
        <v>80235</v>
      </c>
      <c r="AD73" s="525">
        <v>80235</v>
      </c>
      <c r="AE73" s="525">
        <v>78345</v>
      </c>
      <c r="AF73" s="525">
        <v>78345</v>
      </c>
      <c r="AG73" s="525">
        <v>76545</v>
      </c>
      <c r="AH73" s="525">
        <v>78399</v>
      </c>
      <c r="AI73" s="525">
        <v>78399</v>
      </c>
      <c r="AJ73" s="525">
        <v>78399</v>
      </c>
      <c r="AK73" s="525">
        <v>77499</v>
      </c>
      <c r="AL73" s="525">
        <v>77499</v>
      </c>
      <c r="AM73" s="525">
        <v>77499</v>
      </c>
      <c r="AN73" s="525">
        <v>74799</v>
      </c>
      <c r="AO73" s="525">
        <v>71199</v>
      </c>
      <c r="AP73" s="525">
        <v>71199</v>
      </c>
      <c r="AQ73" s="525">
        <v>72549</v>
      </c>
      <c r="AR73" s="525">
        <v>73008</v>
      </c>
      <c r="AS73" s="525">
        <v>74358</v>
      </c>
      <c r="AT73" s="526">
        <v>80539.58795362903</v>
      </c>
      <c r="AU73" s="527">
        <v>86934.170866935485</v>
      </c>
      <c r="AV73" s="527">
        <v>89341.653225806454</v>
      </c>
      <c r="AW73" s="527">
        <v>91140.766129032243</v>
      </c>
      <c r="AX73" s="527">
        <v>96099.868951612909</v>
      </c>
      <c r="AY73" s="527">
        <v>97828.508064516122</v>
      </c>
      <c r="AZ73" s="527">
        <v>97836.572580645152</v>
      </c>
      <c r="BA73" s="527">
        <v>97190.645161290318</v>
      </c>
      <c r="BB73" s="527">
        <v>97364.107862903213</v>
      </c>
      <c r="BC73" s="527">
        <v>98086.408770161288</v>
      </c>
      <c r="BD73" s="527">
        <v>93706.549059139783</v>
      </c>
      <c r="BE73" s="527">
        <v>83380.277217741939</v>
      </c>
      <c r="BF73" s="527">
        <v>81038.145161290318</v>
      </c>
      <c r="BG73" s="527">
        <v>79961.224798387091</v>
      </c>
      <c r="BH73" s="527">
        <v>79961.224798387091</v>
      </c>
      <c r="BI73" s="527">
        <v>79961.224798387091</v>
      </c>
      <c r="BJ73" s="527">
        <v>77660.846774193546</v>
      </c>
      <c r="BK73" s="527">
        <v>72853.889616935485</v>
      </c>
      <c r="BL73" s="527">
        <v>70820.866935483864</v>
      </c>
      <c r="BM73" s="527">
        <v>71429.147177419349</v>
      </c>
      <c r="BN73" s="527">
        <v>70584.057459677424</v>
      </c>
      <c r="BO73" s="527">
        <v>70105.042002688162</v>
      </c>
      <c r="BP73" s="527">
        <v>67182.930947580651</v>
      </c>
      <c r="BQ73" s="527">
        <v>66724.662298387091</v>
      </c>
      <c r="BR73" s="527">
        <v>67824.059979838712</v>
      </c>
      <c r="BS73" s="527">
        <v>68500.904737903227</v>
      </c>
      <c r="BT73" s="527">
        <v>68724.480846774197</v>
      </c>
      <c r="BU73" s="527">
        <v>66429.480846774182</v>
      </c>
      <c r="BV73" s="527">
        <v>63588.351814516129</v>
      </c>
      <c r="BW73" s="527">
        <v>66402.384072580651</v>
      </c>
      <c r="BX73" s="527">
        <v>70905.260416666657</v>
      </c>
      <c r="BY73" s="527">
        <v>72930.645161290318</v>
      </c>
      <c r="BZ73" s="527">
        <v>74167.31182795699</v>
      </c>
      <c r="CA73" s="527">
        <v>76190.645161290318</v>
      </c>
      <c r="CB73" s="527">
        <v>78563.440860215051</v>
      </c>
      <c r="CC73" s="527">
        <v>82576.774193548394</v>
      </c>
      <c r="CD73" s="527">
        <v>83057.285786290318</v>
      </c>
      <c r="CE73" s="527">
        <v>87461.036626344096</v>
      </c>
      <c r="CF73" s="527">
        <v>95744.682459677424</v>
      </c>
      <c r="CG73" s="527">
        <v>100247.4932795699</v>
      </c>
      <c r="CH73" s="527">
        <v>93822.923387096787</v>
      </c>
      <c r="CI73" s="527">
        <v>89059.213709677409</v>
      </c>
      <c r="CJ73" s="527">
        <v>89672.547043010738</v>
      </c>
      <c r="CK73" s="527">
        <v>92655.342741935485</v>
      </c>
      <c r="CL73" s="527">
        <v>93595.342741935485</v>
      </c>
      <c r="CM73" s="528">
        <f t="shared" si="81"/>
        <v>80549.463627852514</v>
      </c>
    </row>
    <row r="74" spans="1:178">
      <c r="F74" s="358" t="s">
        <v>272</v>
      </c>
      <c r="G74" s="358">
        <v>91404.880812874995</v>
      </c>
      <c r="H74" s="358">
        <v>87094.764578674993</v>
      </c>
      <c r="I74" s="358">
        <v>77256.38140569166</v>
      </c>
      <c r="J74" s="358">
        <v>61325.996379656252</v>
      </c>
      <c r="K74" s="358">
        <v>64119.948843824997</v>
      </c>
      <c r="L74" s="358">
        <v>77013.163535779997</v>
      </c>
      <c r="M74" s="358">
        <v>83162.763292252494</v>
      </c>
      <c r="N74" s="358">
        <v>86773.900204894991</v>
      </c>
      <c r="O74" s="358">
        <v>81044.034106035004</v>
      </c>
      <c r="P74" s="358">
        <v>74891.803732367989</v>
      </c>
      <c r="Q74" s="358">
        <v>68413.046297037508</v>
      </c>
      <c r="R74" s="358">
        <v>66765.586722307518</v>
      </c>
      <c r="S74" s="529">
        <v>73130.399999999994</v>
      </c>
      <c r="T74" s="529">
        <v>75137.399999999994</v>
      </c>
      <c r="U74" s="529">
        <v>70196.399999999994</v>
      </c>
      <c r="V74" s="529">
        <v>67642.2</v>
      </c>
      <c r="W74" s="529">
        <v>66744</v>
      </c>
      <c r="X74" s="529">
        <v>71694.899999999994</v>
      </c>
      <c r="Y74" s="529">
        <v>73773</v>
      </c>
      <c r="Z74" s="529">
        <v>70695</v>
      </c>
      <c r="AA74" s="529">
        <v>66735</v>
      </c>
      <c r="AB74" s="529">
        <v>72495</v>
      </c>
      <c r="AC74" s="529">
        <v>71613</v>
      </c>
      <c r="AD74" s="529">
        <v>71172</v>
      </c>
      <c r="AE74" s="529">
        <v>69300</v>
      </c>
      <c r="AF74" s="529">
        <v>71055</v>
      </c>
      <c r="AG74" s="529">
        <v>71055</v>
      </c>
      <c r="AH74" s="529">
        <v>75069</v>
      </c>
      <c r="AI74" s="529">
        <v>75069</v>
      </c>
      <c r="AJ74" s="529">
        <v>78147</v>
      </c>
      <c r="AK74" s="529">
        <v>74601</v>
      </c>
      <c r="AL74" s="529">
        <v>73314</v>
      </c>
      <c r="AM74" s="529">
        <v>73314</v>
      </c>
      <c r="AN74" s="529">
        <v>71992.800000000003</v>
      </c>
      <c r="AO74" s="529">
        <v>74170.8</v>
      </c>
      <c r="AP74" s="529">
        <v>75970.8</v>
      </c>
      <c r="AQ74" s="529">
        <v>79579.8</v>
      </c>
      <c r="AR74" s="529">
        <v>78679.8</v>
      </c>
      <c r="AS74" s="529">
        <v>78679.8</v>
      </c>
      <c r="AT74" s="530">
        <v>82316.144548146898</v>
      </c>
      <c r="AU74" s="531">
        <v>87120.247838398529</v>
      </c>
      <c r="AV74" s="531">
        <v>88230.55929702321</v>
      </c>
      <c r="AW74" s="531">
        <v>88137.702676638582</v>
      </c>
      <c r="AX74" s="531">
        <v>90726.081075997456</v>
      </c>
      <c r="AY74" s="531">
        <v>93640.936364928682</v>
      </c>
      <c r="AZ74" s="531">
        <v>92952.565226764884</v>
      </c>
      <c r="BA74" s="531">
        <v>90410.936364928682</v>
      </c>
      <c r="BB74" s="531">
        <v>92250.936364928682</v>
      </c>
      <c r="BC74" s="531">
        <v>94825.936364928682</v>
      </c>
      <c r="BD74" s="531">
        <v>91827.603031595354</v>
      </c>
      <c r="BE74" s="531">
        <v>79800.936364928682</v>
      </c>
      <c r="BF74" s="531">
        <v>79925.936364928668</v>
      </c>
      <c r="BG74" s="531">
        <v>82092.565226764898</v>
      </c>
      <c r="BH74" s="531">
        <v>83705.936364928682</v>
      </c>
      <c r="BI74" s="531">
        <v>86337.244991853178</v>
      </c>
      <c r="BJ74" s="531">
        <v>88343.09322299331</v>
      </c>
      <c r="BK74" s="531">
        <v>84371.0867978694</v>
      </c>
      <c r="BL74" s="531">
        <v>82533.667556645247</v>
      </c>
      <c r="BM74" s="531">
        <v>83915.296418481477</v>
      </c>
      <c r="BN74" s="531">
        <v>85998.353851846667</v>
      </c>
      <c r="BO74" s="531">
        <v>83680.839372426868</v>
      </c>
      <c r="BP74" s="531">
        <v>78296.420131202744</v>
      </c>
      <c r="BQ74" s="531">
        <v>74908.667556645261</v>
      </c>
      <c r="BR74" s="531">
        <v>75368.667556645261</v>
      </c>
      <c r="BS74" s="531">
        <v>74755.334223311933</v>
      </c>
      <c r="BT74" s="531">
        <v>71698.667556645261</v>
      </c>
      <c r="BU74" s="531">
        <v>67093.667556645261</v>
      </c>
      <c r="BV74" s="531">
        <v>66173.667556645261</v>
      </c>
      <c r="BW74" s="531">
        <v>70296.297866503111</v>
      </c>
      <c r="BX74" s="531">
        <v>73811.225510968739</v>
      </c>
      <c r="BY74" s="531">
        <v>73104.932138219243</v>
      </c>
      <c r="BZ74" s="531">
        <v>73109.932138219243</v>
      </c>
      <c r="CA74" s="531">
        <v>76518.265471552571</v>
      </c>
      <c r="CB74" s="531">
        <v>82074.932138219243</v>
      </c>
      <c r="CC74" s="531">
        <v>90244.932138219243</v>
      </c>
      <c r="CD74" s="531">
        <v>93047.449038505991</v>
      </c>
      <c r="CE74" s="531">
        <v>98603.920574120828</v>
      </c>
      <c r="CF74" s="531">
        <v>112597.05572119531</v>
      </c>
      <c r="CG74" s="531">
        <v>112518.32981716725</v>
      </c>
      <c r="CH74" s="531">
        <v>106216.66315050058</v>
      </c>
      <c r="CI74" s="531">
        <v>98978.114255042339</v>
      </c>
      <c r="CJ74" s="531">
        <v>99434.349797459188</v>
      </c>
      <c r="CK74" s="531">
        <v>103781.54397226339</v>
      </c>
      <c r="CL74" s="531">
        <v>105181.5439722634</v>
      </c>
      <c r="CM74" s="532">
        <f t="shared" si="81"/>
        <v>80729.185183779831</v>
      </c>
    </row>
    <row r="75" spans="1:178">
      <c r="F75" s="348"/>
      <c r="G75" s="349"/>
      <c r="H75" s="349"/>
      <c r="I75" s="349"/>
      <c r="J75" s="349"/>
      <c r="K75" s="349"/>
      <c r="L75" s="349"/>
      <c r="M75" s="349"/>
      <c r="N75" s="349"/>
      <c r="O75" s="349"/>
      <c r="P75" s="349"/>
      <c r="Q75" s="349"/>
      <c r="R75" s="349"/>
      <c r="S75" s="349"/>
      <c r="T75" s="349"/>
      <c r="U75" s="349"/>
      <c r="V75" s="349"/>
      <c r="W75" s="349"/>
      <c r="X75" s="349"/>
      <c r="Y75" s="349"/>
      <c r="Z75" s="349"/>
      <c r="AA75" s="349"/>
      <c r="AB75" s="349"/>
      <c r="AC75" s="349"/>
      <c r="AD75" s="349"/>
      <c r="AE75" s="349"/>
      <c r="AF75" s="349"/>
      <c r="AG75" s="349"/>
      <c r="AH75" s="349"/>
      <c r="AI75" s="349"/>
      <c r="AJ75" s="349"/>
      <c r="AK75" s="349"/>
      <c r="AL75" s="349"/>
      <c r="AM75" s="349"/>
      <c r="AN75" s="349"/>
      <c r="AO75" s="349"/>
      <c r="AP75" s="349"/>
      <c r="AQ75" s="349"/>
      <c r="AR75" s="349"/>
      <c r="AS75" s="349"/>
      <c r="AT75" s="326"/>
      <c r="AU75" s="843"/>
      <c r="AV75" s="843"/>
      <c r="AW75" s="843"/>
      <c r="AX75" s="843"/>
      <c r="AY75" s="843"/>
      <c r="AZ75" s="843"/>
      <c r="BA75" s="843"/>
      <c r="BB75" s="843"/>
      <c r="BC75" s="843"/>
      <c r="BD75" s="843"/>
      <c r="BE75" s="843"/>
      <c r="BF75" s="843"/>
      <c r="BG75" s="843"/>
      <c r="BH75" s="843"/>
      <c r="BI75" s="843"/>
      <c r="BJ75" s="843"/>
      <c r="BK75" s="843"/>
      <c r="BL75" s="843"/>
      <c r="BM75" s="843"/>
      <c r="BN75" s="843"/>
      <c r="BO75" s="843"/>
      <c r="BP75" s="843"/>
      <c r="BQ75" s="843"/>
      <c r="BR75" s="843"/>
      <c r="BS75" s="843"/>
      <c r="BT75" s="843"/>
      <c r="BU75" s="843"/>
      <c r="BV75" s="843"/>
      <c r="BW75" s="843"/>
      <c r="BX75" s="843"/>
      <c r="BY75" s="843"/>
      <c r="BZ75" s="843"/>
      <c r="CA75" s="843"/>
      <c r="CB75" s="843"/>
      <c r="CC75" s="843"/>
      <c r="CD75" s="843"/>
      <c r="CE75" s="843"/>
      <c r="CF75" s="843"/>
      <c r="CG75" s="843"/>
      <c r="CH75" s="843"/>
      <c r="CI75" s="843"/>
      <c r="CJ75" s="843"/>
      <c r="CK75" s="843"/>
      <c r="CL75" s="843"/>
      <c r="CM75" s="315"/>
    </row>
  </sheetData>
  <mergeCells count="12">
    <mergeCell ref="A59:E68"/>
    <mergeCell ref="A2:A6"/>
    <mergeCell ref="A7:A11"/>
    <mergeCell ref="A12:A15"/>
    <mergeCell ref="E12:E15"/>
    <mergeCell ref="A16:A22"/>
    <mergeCell ref="E16:E22"/>
    <mergeCell ref="A23:A33"/>
    <mergeCell ref="A34:A40"/>
    <mergeCell ref="E34:E40"/>
    <mergeCell ref="A42:A43"/>
    <mergeCell ref="A56:A57"/>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L30"/>
  <sheetViews>
    <sheetView showGridLines="0" zoomScale="110" zoomScaleNormal="110" workbookViewId="0">
      <pane ySplit="8" topLeftCell="A18" activePane="bottomLeft" state="frozen"/>
      <selection activeCell="D41" sqref="D41"/>
      <selection pane="bottomLeft" activeCell="E28" sqref="E28"/>
    </sheetView>
  </sheetViews>
  <sheetFormatPr defaultRowHeight="11.25"/>
  <cols>
    <col min="1" max="1" width="45.85546875" style="191" bestFit="1" customWidth="1"/>
    <col min="2" max="2" width="18.5703125" style="191" bestFit="1" customWidth="1"/>
    <col min="3" max="3" width="13.140625" style="191" customWidth="1"/>
    <col min="4" max="4" width="14.7109375" style="191" customWidth="1"/>
    <col min="5" max="5" width="14.28515625" style="191" customWidth="1"/>
    <col min="6" max="6" width="13.28515625" style="191" customWidth="1"/>
    <col min="7" max="7" width="16.5703125" style="191" customWidth="1"/>
    <col min="8" max="8" width="12.85546875" style="191" customWidth="1"/>
    <col min="9" max="9" width="13" style="191" customWidth="1"/>
    <col min="10" max="10" width="13.85546875" style="191" customWidth="1"/>
    <col min="11" max="11" width="11.42578125" style="191" customWidth="1"/>
    <col min="12" max="12" width="21" style="191" bestFit="1" customWidth="1"/>
    <col min="13" max="13" width="9.140625" style="191"/>
    <col min="14" max="14" width="17.7109375" style="191" bestFit="1" customWidth="1"/>
    <col min="15" max="15" width="25" style="191" bestFit="1" customWidth="1"/>
    <col min="16" max="16" width="9.140625" style="191"/>
    <col min="17" max="17" width="17.7109375" style="191" bestFit="1" customWidth="1"/>
    <col min="18" max="18" width="21" style="191" bestFit="1" customWidth="1"/>
    <col min="19" max="19" width="9.140625" style="191"/>
    <col min="20" max="20" width="17.7109375" style="191" bestFit="1" customWidth="1"/>
    <col min="21" max="21" width="24" style="191" bestFit="1" customWidth="1"/>
    <col min="22" max="16384" width="9.140625" style="191"/>
  </cols>
  <sheetData>
    <row r="1" spans="1:11" s="188" customFormat="1" ht="16.5" customHeight="1">
      <c r="A1" s="193"/>
      <c r="B1" s="194" t="s">
        <v>165</v>
      </c>
      <c r="C1" s="195" t="s">
        <v>2</v>
      </c>
      <c r="D1" s="194" t="s">
        <v>8</v>
      </c>
      <c r="E1" s="194" t="s">
        <v>3</v>
      </c>
      <c r="F1" s="194" t="s">
        <v>176</v>
      </c>
      <c r="G1" s="194" t="s">
        <v>177</v>
      </c>
      <c r="H1" s="194" t="s">
        <v>9</v>
      </c>
      <c r="I1" s="194" t="s">
        <v>178</v>
      </c>
      <c r="J1" s="194" t="s">
        <v>10</v>
      </c>
      <c r="K1" s="194" t="s">
        <v>179</v>
      </c>
    </row>
    <row r="2" spans="1:11">
      <c r="A2" s="188" t="s">
        <v>189</v>
      </c>
      <c r="B2" s="190">
        <f>Feed!C11</f>
        <v>1098.4700000000003</v>
      </c>
      <c r="C2" s="190">
        <f>Feed!C12</f>
        <v>399.96999999999991</v>
      </c>
      <c r="D2" s="190">
        <f>Feed!C13</f>
        <v>59.343000000000004</v>
      </c>
      <c r="E2" s="190">
        <f>Feed!C14</f>
        <v>131.04179999999997</v>
      </c>
      <c r="F2" s="190">
        <f>Feed!C15</f>
        <v>115.28470750000001</v>
      </c>
      <c r="G2" s="190">
        <f>Feed!C16</f>
        <v>147.42202499999999</v>
      </c>
      <c r="H2" s="190">
        <f>Feed!C17</f>
        <v>56.827141999999995</v>
      </c>
      <c r="I2" s="190">
        <f>Feed!C18</f>
        <v>1.5378579999999995</v>
      </c>
      <c r="J2" s="190">
        <f>Feed!C19</f>
        <v>44.2266075</v>
      </c>
      <c r="K2" s="190">
        <f>Feed!C20</f>
        <v>378.78300000000002</v>
      </c>
    </row>
    <row r="3" spans="1:11">
      <c r="A3" s="188" t="s">
        <v>574</v>
      </c>
      <c r="B3" s="190"/>
      <c r="C3" s="190">
        <v>340</v>
      </c>
      <c r="D3" s="190"/>
      <c r="E3" s="190"/>
      <c r="F3" s="190"/>
      <c r="G3" s="190"/>
      <c r="H3" s="190"/>
      <c r="I3" s="190"/>
      <c r="J3" s="190"/>
      <c r="K3" s="190"/>
    </row>
    <row r="4" spans="1:11">
      <c r="A4" s="188" t="s">
        <v>190</v>
      </c>
      <c r="B4" s="190">
        <v>161.19999999999999</v>
      </c>
      <c r="C4" s="190">
        <v>102</v>
      </c>
      <c r="D4" s="190"/>
      <c r="E4" s="190">
        <v>42.958200000000033</v>
      </c>
      <c r="F4" s="190"/>
      <c r="G4" s="190"/>
      <c r="H4" s="190"/>
      <c r="I4" s="190"/>
      <c r="J4" s="190"/>
      <c r="K4" s="190"/>
    </row>
    <row r="5" spans="1:11">
      <c r="A5" s="196" t="s">
        <v>172</v>
      </c>
      <c r="B5" s="190">
        <f>B4+B2</f>
        <v>1259.6700000000003</v>
      </c>
      <c r="C5" s="190">
        <f t="shared" ref="C5:K5" si="0">C4+C2</f>
        <v>501.96999999999991</v>
      </c>
      <c r="D5" s="190">
        <f t="shared" si="0"/>
        <v>59.343000000000004</v>
      </c>
      <c r="E5" s="190">
        <f t="shared" si="0"/>
        <v>174</v>
      </c>
      <c r="F5" s="190">
        <f t="shared" si="0"/>
        <v>115.28470750000001</v>
      </c>
      <c r="G5" s="190">
        <f t="shared" si="0"/>
        <v>147.42202499999999</v>
      </c>
      <c r="H5" s="190">
        <f t="shared" si="0"/>
        <v>56.827141999999995</v>
      </c>
      <c r="I5" s="190">
        <f t="shared" si="0"/>
        <v>1.5378579999999995</v>
      </c>
      <c r="J5" s="190">
        <f t="shared" si="0"/>
        <v>44.2266075</v>
      </c>
      <c r="K5" s="190">
        <f t="shared" si="0"/>
        <v>378.78300000000002</v>
      </c>
    </row>
    <row r="6" spans="1:11">
      <c r="A6" s="188"/>
      <c r="B6" s="190"/>
      <c r="C6" s="190"/>
      <c r="D6" s="190"/>
      <c r="E6" s="190"/>
      <c r="F6" s="190"/>
      <c r="G6" s="190"/>
      <c r="H6" s="190"/>
      <c r="I6" s="190"/>
      <c r="J6" s="190"/>
      <c r="K6" s="190"/>
    </row>
    <row r="7" spans="1:11">
      <c r="A7" s="188" t="s">
        <v>191</v>
      </c>
      <c r="B7" s="189">
        <f>Feed!B11</f>
        <v>0.44418520016174701</v>
      </c>
      <c r="C7" s="189">
        <f>Feed!B12</f>
        <v>0.16173473513950665</v>
      </c>
      <c r="D7" s="189">
        <f>Feed!B13</f>
        <v>2.3996360695511525E-2</v>
      </c>
      <c r="E7" s="189">
        <f>Feed!B14</f>
        <v>5.2989001213101482E-2</v>
      </c>
      <c r="F7" s="189">
        <f>Feed!B15</f>
        <v>4.6617350384148812E-2</v>
      </c>
      <c r="G7" s="189">
        <f>Feed!B16</f>
        <v>5.9612626364739178E-2</v>
      </c>
      <c r="H7" s="189">
        <f>Feed!B17</f>
        <v>2.2979030327537401E-2</v>
      </c>
      <c r="I7" s="189">
        <f>Feed!B18</f>
        <v>6.2185928022644545E-4</v>
      </c>
      <c r="J7" s="189">
        <f>Feed!B19</f>
        <v>1.7883787909421755E-2</v>
      </c>
      <c r="K7" s="189">
        <f>Feed!B20</f>
        <v>0.15316740800646989</v>
      </c>
    </row>
    <row r="8" spans="1:11">
      <c r="A8" s="188" t="s">
        <v>186</v>
      </c>
      <c r="B8" s="190">
        <f>B7*Feed!$B$8</f>
        <v>1098.4700000000003</v>
      </c>
      <c r="C8" s="190">
        <f>C7*Feed!$B$8</f>
        <v>399.96999999999991</v>
      </c>
      <c r="D8" s="190">
        <f>D7*Feed!$B$8</f>
        <v>59.343000000000004</v>
      </c>
      <c r="E8" s="190">
        <f>E7*Feed!$B$8</f>
        <v>131.04179999999997</v>
      </c>
      <c r="F8" s="190">
        <f>F7*Feed!$B$8</f>
        <v>115.28470750000001</v>
      </c>
      <c r="G8" s="190">
        <f>G7*Feed!$B$8</f>
        <v>147.42202499999999</v>
      </c>
      <c r="H8" s="190">
        <f>H7*Feed!$B$8</f>
        <v>56.827141999999995</v>
      </c>
      <c r="I8" s="190">
        <f>I7*Feed!$B$8</f>
        <v>1.5378579999999995</v>
      </c>
      <c r="J8" s="190">
        <f>J7*Feed!$B$8</f>
        <v>44.2266075</v>
      </c>
      <c r="K8" s="190">
        <f>K7*Feed!$B$8</f>
        <v>378.78300000000002</v>
      </c>
    </row>
    <row r="9" spans="1:11">
      <c r="B9" s="189">
        <v>1000</v>
      </c>
      <c r="C9" s="189">
        <f>C8*$B$9/$B$8</f>
        <v>364.11554252733333</v>
      </c>
      <c r="D9" s="189">
        <f t="shared" ref="D9:K9" si="1">D8*$B$9/$B$8</f>
        <v>54.023323349750093</v>
      </c>
      <c r="E9" s="189">
        <f t="shared" si="1"/>
        <v>119.29483736469811</v>
      </c>
      <c r="F9" s="189">
        <f t="shared" si="1"/>
        <v>104.95025581035438</v>
      </c>
      <c r="G9" s="189">
        <f t="shared" si="1"/>
        <v>134.20669203528541</v>
      </c>
      <c r="H9" s="189">
        <f t="shared" si="1"/>
        <v>51.732994073575043</v>
      </c>
      <c r="I9" s="189">
        <f t="shared" si="1"/>
        <v>1.3999999999999992</v>
      </c>
      <c r="J9" s="189">
        <f t="shared" si="1"/>
        <v>40.26200761058562</v>
      </c>
      <c r="K9" s="189">
        <f t="shared" si="1"/>
        <v>344.82780594827341</v>
      </c>
    </row>
    <row r="10" spans="1:11">
      <c r="A10" s="1414" t="s">
        <v>185</v>
      </c>
      <c r="B10" s="1414"/>
      <c r="C10" s="1414"/>
      <c r="D10" s="1414"/>
      <c r="E10" s="1414"/>
      <c r="F10" s="1414"/>
      <c r="G10" s="1414"/>
      <c r="H10" s="1414"/>
      <c r="I10" s="1414"/>
      <c r="J10" s="1414"/>
      <c r="K10" s="1414"/>
    </row>
    <row r="11" spans="1:11">
      <c r="A11" s="191" t="s">
        <v>175</v>
      </c>
      <c r="B11" s="189">
        <v>0.44727242552485269</v>
      </c>
      <c r="C11" s="189">
        <v>0.17143299311260476</v>
      </c>
      <c r="D11" s="189">
        <v>2.2352070367604348E-2</v>
      </c>
      <c r="E11" s="189">
        <v>4.7020184217077404E-2</v>
      </c>
      <c r="F11" s="189">
        <v>4.1174129698780183E-2</v>
      </c>
      <c r="G11" s="189">
        <v>5.2897707244212104E-2</v>
      </c>
      <c r="H11" s="189">
        <v>2.1811367355406192E-2</v>
      </c>
      <c r="I11" s="189">
        <v>6.2618139573479374E-4</v>
      </c>
      <c r="J11" s="189">
        <v>1.5869312173263629E-2</v>
      </c>
      <c r="K11" s="189">
        <v>0.16039014189693798</v>
      </c>
    </row>
    <row r="12" spans="1:11">
      <c r="A12" s="188" t="s">
        <v>186</v>
      </c>
      <c r="B12" s="190">
        <f>B11*Feed!$F$8</f>
        <v>1347.6318181063812</v>
      </c>
      <c r="C12" s="190">
        <f>C11*Feed!$F$8</f>
        <v>516.52760824827817</v>
      </c>
      <c r="D12" s="190">
        <f>D11*Feed!$F$8</f>
        <v>67.346788017591905</v>
      </c>
      <c r="E12" s="190">
        <f>E11*Feed!$F$8</f>
        <v>141.67181504605421</v>
      </c>
      <c r="F12" s="190">
        <f>F11*Feed!$F$8</f>
        <v>124.0576527824247</v>
      </c>
      <c r="G12" s="190">
        <f>G11*Feed!$F$8</f>
        <v>159.38079192681107</v>
      </c>
      <c r="H12" s="190">
        <f>H11*Feed!$F$8</f>
        <v>65.717649841838863</v>
      </c>
      <c r="I12" s="190">
        <f>I11*Feed!$F$8</f>
        <v>1.8866845453489336</v>
      </c>
      <c r="J12" s="190">
        <f>J11*Feed!$F$8</f>
        <v>47.814237578043311</v>
      </c>
      <c r="K12" s="190">
        <f>K11*Feed!$F$8</f>
        <v>483.25549753547415</v>
      </c>
    </row>
    <row r="13" spans="1:11">
      <c r="A13" s="191" t="s">
        <v>187</v>
      </c>
      <c r="B13" s="189">
        <f t="shared" ref="B13:K13" si="2">B12-B8</f>
        <v>249.16181810638091</v>
      </c>
      <c r="C13" s="189">
        <f t="shared" si="2"/>
        <v>116.55760824827826</v>
      </c>
      <c r="D13" s="189">
        <f t="shared" si="2"/>
        <v>8.0037880175919014</v>
      </c>
      <c r="E13" s="189">
        <f t="shared" si="2"/>
        <v>10.63001504605424</v>
      </c>
      <c r="F13" s="189">
        <f t="shared" si="2"/>
        <v>8.7729452824246863</v>
      </c>
      <c r="G13" s="189">
        <f t="shared" si="2"/>
        <v>11.95876692681108</v>
      </c>
      <c r="H13" s="189">
        <f t="shared" si="2"/>
        <v>8.8905078418388683</v>
      </c>
      <c r="I13" s="189">
        <f t="shared" si="2"/>
        <v>0.34882654534893409</v>
      </c>
      <c r="J13" s="189">
        <f t="shared" si="2"/>
        <v>3.5876300780433112</v>
      </c>
      <c r="K13" s="189">
        <f t="shared" si="2"/>
        <v>104.47249753547413</v>
      </c>
    </row>
    <row r="14" spans="1:11">
      <c r="A14" s="191" t="s">
        <v>188</v>
      </c>
      <c r="B14" s="192">
        <f t="shared" ref="B14:K14" si="3">(B13/B8)</f>
        <v>0.22682623841013486</v>
      </c>
      <c r="C14" s="192">
        <f t="shared" si="3"/>
        <v>0.29141587681145659</v>
      </c>
      <c r="D14" s="192">
        <f t="shared" si="3"/>
        <v>0.13487332992251658</v>
      </c>
      <c r="E14" s="192">
        <f t="shared" si="3"/>
        <v>8.1119269164909538E-2</v>
      </c>
      <c r="F14" s="192">
        <f t="shared" si="3"/>
        <v>7.6098083368296571E-2</v>
      </c>
      <c r="G14" s="192">
        <f t="shared" si="3"/>
        <v>8.1119269164909927E-2</v>
      </c>
      <c r="H14" s="192">
        <f t="shared" si="3"/>
        <v>0.1564482662499351</v>
      </c>
      <c r="I14" s="192">
        <f t="shared" si="3"/>
        <v>0.22682623841013552</v>
      </c>
      <c r="J14" s="192">
        <f t="shared" si="3"/>
        <v>8.1119269164909635E-2</v>
      </c>
      <c r="K14" s="192">
        <f t="shared" si="3"/>
        <v>0.27581094593863537</v>
      </c>
    </row>
    <row r="15" spans="1:11">
      <c r="A15" s="188" t="s">
        <v>184</v>
      </c>
      <c r="B15" s="190">
        <f t="shared" ref="B15:K15" si="4">B12-B5</f>
        <v>87.961818106380861</v>
      </c>
      <c r="C15" s="190">
        <f>C12-C5</f>
        <v>14.557608248278257</v>
      </c>
      <c r="D15" s="190">
        <f t="shared" si="4"/>
        <v>8.0037880175919014</v>
      </c>
      <c r="E15" s="190">
        <f t="shared" si="4"/>
        <v>-32.328184953945794</v>
      </c>
      <c r="F15" s="190">
        <f t="shared" si="4"/>
        <v>8.7729452824246863</v>
      </c>
      <c r="G15" s="190">
        <f t="shared" si="4"/>
        <v>11.95876692681108</v>
      </c>
      <c r="H15" s="190">
        <f t="shared" si="4"/>
        <v>8.8905078418388683</v>
      </c>
      <c r="I15" s="190">
        <f t="shared" si="4"/>
        <v>0.34882654534893409</v>
      </c>
      <c r="J15" s="190">
        <f t="shared" si="4"/>
        <v>3.5876300780433112</v>
      </c>
      <c r="K15" s="190">
        <f t="shared" si="4"/>
        <v>104.47249753547413</v>
      </c>
    </row>
    <row r="18" spans="1:12">
      <c r="A18" s="1414" t="s">
        <v>596</v>
      </c>
      <c r="B18" s="1414"/>
      <c r="C18" s="1414"/>
      <c r="D18" s="1414"/>
      <c r="E18" s="1414"/>
      <c r="F18" s="1414"/>
      <c r="G18" s="1414"/>
      <c r="H18" s="1414"/>
      <c r="I18" s="1414"/>
      <c r="J18" s="1414"/>
      <c r="K18" s="1414"/>
      <c r="L18" s="191" t="s">
        <v>358</v>
      </c>
    </row>
    <row r="19" spans="1:12">
      <c r="A19" s="191" t="s">
        <v>175</v>
      </c>
      <c r="B19" s="189">
        <f>Feed!B11</f>
        <v>0.44418520016174701</v>
      </c>
      <c r="C19" s="189">
        <f>Feed!B12</f>
        <v>0.16173473513950665</v>
      </c>
      <c r="D19" s="189">
        <f>Feed!B13</f>
        <v>2.3996360695511525E-2</v>
      </c>
      <c r="E19" s="189">
        <f>Feed!B14</f>
        <v>5.2989001213101482E-2</v>
      </c>
      <c r="F19" s="189">
        <f>Feed!B15</f>
        <v>4.6617350384148812E-2</v>
      </c>
      <c r="G19" s="189">
        <f>Feed!B16</f>
        <v>5.9612626364739178E-2</v>
      </c>
      <c r="H19" s="189">
        <f>Feed!B17</f>
        <v>2.2979030327537401E-2</v>
      </c>
      <c r="I19" s="189">
        <f>Feed!B18</f>
        <v>6.2185928022644545E-4</v>
      </c>
      <c r="J19" s="189">
        <f>Feed!B19</f>
        <v>1.7883787909421755E-2</v>
      </c>
      <c r="K19" s="189">
        <f>Feed!B20</f>
        <v>0.15316740800646989</v>
      </c>
    </row>
    <row r="20" spans="1:12">
      <c r="A20" s="188" t="s">
        <v>186</v>
      </c>
      <c r="B20" s="190">
        <f>B19*Feed!$D$8</f>
        <v>1167.1243750000003</v>
      </c>
      <c r="C20" s="190">
        <f>C19*Feed!$D$8</f>
        <v>424.96812499999993</v>
      </c>
      <c r="D20" s="190">
        <f>D19*Feed!$D$8</f>
        <v>63.051937500000001</v>
      </c>
      <c r="E20" s="190">
        <f>E19*Feed!$D$8</f>
        <v>139.23191249999996</v>
      </c>
      <c r="F20" s="190">
        <f>F19*Feed!$D$8</f>
        <v>122.49000171875001</v>
      </c>
      <c r="G20" s="190">
        <f>G19*Feed!$D$8</f>
        <v>156.63590156249998</v>
      </c>
      <c r="H20" s="190">
        <f>H19*Feed!$D$8</f>
        <v>60.378838374999994</v>
      </c>
      <c r="I20" s="190">
        <f>I19*Feed!$D$8</f>
        <v>1.6339741249999995</v>
      </c>
      <c r="J20" s="190">
        <f>J19*Feed!$D$8</f>
        <v>46.99077046875</v>
      </c>
      <c r="K20" s="190">
        <f>K19*Feed!$D$8</f>
        <v>402.45693750000004</v>
      </c>
    </row>
    <row r="21" spans="1:12">
      <c r="A21" s="191" t="s">
        <v>187</v>
      </c>
      <c r="B21" s="189">
        <f t="shared" ref="B21:K21" si="5">B20-B2</f>
        <v>68.654375000000073</v>
      </c>
      <c r="C21" s="189">
        <f t="shared" si="5"/>
        <v>24.998125000000016</v>
      </c>
      <c r="D21" s="189">
        <f t="shared" si="5"/>
        <v>3.7089374999999976</v>
      </c>
      <c r="E21" s="189">
        <f t="shared" si="5"/>
        <v>8.1901124999999979</v>
      </c>
      <c r="F21" s="189">
        <f t="shared" si="5"/>
        <v>7.205294218749998</v>
      </c>
      <c r="G21" s="189">
        <f t="shared" si="5"/>
        <v>9.2138765624999905</v>
      </c>
      <c r="H21" s="189">
        <f t="shared" si="5"/>
        <v>3.5516963749999988</v>
      </c>
      <c r="I21" s="189">
        <f t="shared" si="5"/>
        <v>9.6116124999999997E-2</v>
      </c>
      <c r="J21" s="189">
        <f t="shared" si="5"/>
        <v>2.76416296875</v>
      </c>
      <c r="K21" s="189">
        <f t="shared" si="5"/>
        <v>23.673937500000022</v>
      </c>
    </row>
    <row r="22" spans="1:12">
      <c r="A22" s="191" t="s">
        <v>188</v>
      </c>
      <c r="B22" s="192">
        <f t="shared" ref="B22:K22" si="6">B21/B8</f>
        <v>6.2500000000000056E-2</v>
      </c>
      <c r="C22" s="192">
        <f t="shared" si="6"/>
        <v>6.2500000000000056E-2</v>
      </c>
      <c r="D22" s="192">
        <f t="shared" si="6"/>
        <v>6.2499999999999958E-2</v>
      </c>
      <c r="E22" s="192">
        <f t="shared" si="6"/>
        <v>6.25E-2</v>
      </c>
      <c r="F22" s="192">
        <f t="shared" si="6"/>
        <v>6.2499999999999979E-2</v>
      </c>
      <c r="G22" s="192">
        <f t="shared" si="6"/>
        <v>6.2499999999999938E-2</v>
      </c>
      <c r="H22" s="192">
        <f t="shared" si="6"/>
        <v>6.2499999999999986E-2</v>
      </c>
      <c r="I22" s="192">
        <f t="shared" si="6"/>
        <v>6.2500000000000014E-2</v>
      </c>
      <c r="J22" s="192">
        <f t="shared" si="6"/>
        <v>6.25E-2</v>
      </c>
      <c r="K22" s="192">
        <f t="shared" si="6"/>
        <v>6.2500000000000056E-2</v>
      </c>
    </row>
    <row r="23" spans="1:12">
      <c r="A23" s="188" t="s">
        <v>560</v>
      </c>
      <c r="B23" s="190">
        <f>B20-(B2+B4*0.8)</f>
        <v>-60.305624999999964</v>
      </c>
      <c r="C23" s="190">
        <f>C20-(C3+C4*0.8)</f>
        <v>3.3681249999999068</v>
      </c>
      <c r="D23" s="190">
        <f>D20-D5</f>
        <v>3.7089374999999976</v>
      </c>
      <c r="E23" s="190">
        <f>E20-(E5*0.8)</f>
        <v>3.1912499999947386E-2</v>
      </c>
      <c r="F23" s="190">
        <f t="shared" ref="F23:K23" si="7">F20-F5</f>
        <v>7.205294218749998</v>
      </c>
      <c r="G23" s="190">
        <f t="shared" si="7"/>
        <v>9.2138765624999905</v>
      </c>
      <c r="H23" s="190">
        <f t="shared" si="7"/>
        <v>3.5516963749999988</v>
      </c>
      <c r="I23" s="190">
        <f t="shared" si="7"/>
        <v>9.6116124999999997E-2</v>
      </c>
      <c r="J23" s="190">
        <f t="shared" si="7"/>
        <v>2.76416296875</v>
      </c>
      <c r="K23" s="190">
        <f t="shared" si="7"/>
        <v>23.673937500000022</v>
      </c>
    </row>
    <row r="25" spans="1:12">
      <c r="A25" s="1414" t="s">
        <v>599</v>
      </c>
      <c r="B25" s="1414"/>
      <c r="C25" s="1414"/>
      <c r="D25" s="1414"/>
      <c r="E25" s="1414"/>
      <c r="F25" s="1414"/>
      <c r="G25" s="1414"/>
      <c r="H25" s="1414"/>
      <c r="I25" s="1414"/>
      <c r="J25" s="1414"/>
      <c r="K25" s="1414"/>
    </row>
    <row r="26" spans="1:12">
      <c r="A26" s="1167" t="s">
        <v>175</v>
      </c>
      <c r="B26" s="189">
        <v>0.54227804107424959</v>
      </c>
      <c r="C26" s="189">
        <v>0.13512796208530806</v>
      </c>
      <c r="D26" s="189">
        <v>1.792298578199052E-2</v>
      </c>
      <c r="E26" s="189">
        <v>3.8885260663507115E-2</v>
      </c>
      <c r="F26" s="189">
        <v>4.1307898894154829E-2</v>
      </c>
      <c r="G26" s="189">
        <v>4.6662312796208534E-2</v>
      </c>
      <c r="H26" s="189">
        <v>3.4588362085308057E-2</v>
      </c>
      <c r="I26" s="189">
        <v>7.5918925750394944E-4</v>
      </c>
      <c r="J26" s="189">
        <v>8.3992163033175353E-3</v>
      </c>
      <c r="K26" s="189">
        <v>0.13600236966824641</v>
      </c>
    </row>
    <row r="27" spans="1:12">
      <c r="A27" s="1167" t="s">
        <v>186</v>
      </c>
      <c r="B27" s="190">
        <v>1373.048</v>
      </c>
      <c r="C27" s="190">
        <v>342.14400000000001</v>
      </c>
      <c r="D27" s="190">
        <v>45.380999999999993</v>
      </c>
      <c r="E27" s="190">
        <v>98.457480000000018</v>
      </c>
      <c r="F27" s="190">
        <v>104.59160000000003</v>
      </c>
      <c r="G27" s="190">
        <v>118.148976</v>
      </c>
      <c r="H27" s="190">
        <v>87.577732799999993</v>
      </c>
      <c r="I27" s="190">
        <v>1.9222672000000001</v>
      </c>
      <c r="J27" s="190">
        <v>21.266815680000001</v>
      </c>
      <c r="K27" s="190">
        <v>344.35799999999995</v>
      </c>
    </row>
    <row r="28" spans="1:12">
      <c r="A28" s="1167" t="s">
        <v>187</v>
      </c>
      <c r="B28" s="189">
        <v>274.57799999999975</v>
      </c>
      <c r="C28" s="189">
        <v>-57.825999999999908</v>
      </c>
      <c r="D28" s="189">
        <v>-13.96200000000001</v>
      </c>
      <c r="E28" s="189">
        <v>-32.584319999999948</v>
      </c>
      <c r="F28" s="189">
        <v>-10.693107499999982</v>
      </c>
      <c r="G28" s="189">
        <v>-29.273048999999986</v>
      </c>
      <c r="H28" s="189">
        <v>30.750590799999998</v>
      </c>
      <c r="I28" s="189">
        <v>0.38440920000000056</v>
      </c>
      <c r="J28" s="189">
        <v>-22.95979182</v>
      </c>
      <c r="K28" s="189">
        <v>-34.425000000000068</v>
      </c>
    </row>
    <row r="29" spans="1:12">
      <c r="A29" s="1167" t="s">
        <v>188</v>
      </c>
      <c r="B29" s="192">
        <v>0.24996404089324212</v>
      </c>
      <c r="C29" s="192">
        <v>-0.14457584318823891</v>
      </c>
      <c r="D29" s="192">
        <v>-0.23527627521358896</v>
      </c>
      <c r="E29" s="192">
        <v>-0.24865592505597417</v>
      </c>
      <c r="F29" s="192">
        <v>-9.2753911007667528E-2</v>
      </c>
      <c r="G29" s="192">
        <v>-0.19856632005970606</v>
      </c>
      <c r="H29" s="192">
        <v>0.54112506309045072</v>
      </c>
      <c r="I29" s="192">
        <v>0.24996404089324287</v>
      </c>
      <c r="J29" s="192">
        <v>-0.51913979203582372</v>
      </c>
      <c r="K29" s="192">
        <v>-9.088317057523719E-2</v>
      </c>
    </row>
    <row r="30" spans="1:12">
      <c r="A30" s="1167" t="s">
        <v>184</v>
      </c>
      <c r="B30" s="190">
        <v>113.3779999999997</v>
      </c>
      <c r="C30" s="190">
        <v>-159.82599999999991</v>
      </c>
      <c r="D30" s="190">
        <v>-13.96200000000001</v>
      </c>
      <c r="E30" s="190">
        <v>-75.542519999999982</v>
      </c>
      <c r="F30" s="190">
        <v>-10.693107499999982</v>
      </c>
      <c r="G30" s="190">
        <v>-29.273048999999986</v>
      </c>
      <c r="H30" s="190">
        <v>30.750590799999998</v>
      </c>
      <c r="I30" s="190">
        <v>0.38440920000000056</v>
      </c>
      <c r="J30" s="190">
        <v>-22.95979182</v>
      </c>
      <c r="K30" s="190">
        <v>-34.425000000000068</v>
      </c>
    </row>
  </sheetData>
  <mergeCells count="3">
    <mergeCell ref="A10:K10"/>
    <mergeCell ref="A18:K18"/>
    <mergeCell ref="A25:K25"/>
  </mergeCells>
  <conditionalFormatting sqref="B28:K30">
    <cfRule type="cellIs" dxfId="2" priority="3" operator="lessThan">
      <formula>0</formula>
    </cfRule>
  </conditionalFormatting>
  <conditionalFormatting sqref="B13:K15">
    <cfRule type="cellIs" dxfId="1" priority="2" operator="lessThan">
      <formula>0</formula>
    </cfRule>
  </conditionalFormatting>
  <conditionalFormatting sqref="B21:K23">
    <cfRule type="cellIs" dxfId="0" priority="1" operator="lessThan">
      <formula>0</formula>
    </cfRule>
  </conditionalFormatting>
  <pageMargins left="0.7" right="0.7" top="0.75" bottom="0.75" header="0.3" footer="0.3"/>
  <pageSetup paperSize="9" orientation="portrait" r:id="rId1"/>
  <ignoredErrors>
    <ignoredError sqref="C23 E23"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2"/>
  <dimension ref="A1:AY10"/>
  <sheetViews>
    <sheetView showGridLines="0" workbookViewId="0">
      <selection activeCell="AM20" sqref="AM19:AM20"/>
    </sheetView>
  </sheetViews>
  <sheetFormatPr defaultRowHeight="12.75"/>
  <cols>
    <col min="1" max="1" width="57.42578125" style="108" bestFit="1" customWidth="1"/>
    <col min="2" max="2" width="16.140625" style="108" customWidth="1"/>
    <col min="3" max="3" width="12.5703125" style="108" customWidth="1"/>
    <col min="4" max="4" width="11" style="108" customWidth="1"/>
    <col min="5" max="46" width="12.5703125" style="108" customWidth="1"/>
    <col min="47" max="47" width="24" style="108" customWidth="1"/>
    <col min="48" max="49" width="10.42578125" style="108" bestFit="1" customWidth="1"/>
    <col min="50" max="16384" width="9.140625" style="108"/>
  </cols>
  <sheetData>
    <row r="1" spans="1:51">
      <c r="A1" s="197" t="s">
        <v>325</v>
      </c>
      <c r="B1" s="198">
        <v>43101</v>
      </c>
      <c r="C1" s="198">
        <v>43132</v>
      </c>
      <c r="D1" s="198">
        <v>43160</v>
      </c>
      <c r="E1" s="198">
        <v>43191</v>
      </c>
      <c r="F1" s="198">
        <v>43221</v>
      </c>
      <c r="G1" s="198">
        <v>43252</v>
      </c>
      <c r="H1" s="198">
        <v>43282</v>
      </c>
      <c r="I1" s="198">
        <v>43313</v>
      </c>
      <c r="J1" s="198">
        <v>43344</v>
      </c>
      <c r="K1" s="198">
        <v>43374</v>
      </c>
      <c r="L1" s="198">
        <v>43405</v>
      </c>
      <c r="M1" s="198">
        <v>43435</v>
      </c>
      <c r="N1" s="198">
        <v>43466</v>
      </c>
      <c r="O1" s="198">
        <v>43497</v>
      </c>
      <c r="P1" s="198">
        <v>43525</v>
      </c>
      <c r="Q1" s="198">
        <v>43556</v>
      </c>
      <c r="R1" s="198">
        <v>43586</v>
      </c>
      <c r="S1" s="198">
        <v>43617</v>
      </c>
      <c r="T1" s="198">
        <v>43647</v>
      </c>
      <c r="U1" s="198">
        <v>43678</v>
      </c>
      <c r="V1" s="198">
        <v>43709</v>
      </c>
      <c r="W1" s="198">
        <v>43739</v>
      </c>
      <c r="X1" s="198">
        <v>43770</v>
      </c>
      <c r="Y1" s="198">
        <v>43800</v>
      </c>
      <c r="Z1" s="198">
        <v>43831</v>
      </c>
      <c r="AA1" s="198">
        <v>43862</v>
      </c>
      <c r="AB1" s="198">
        <v>43891</v>
      </c>
      <c r="AC1" s="198">
        <v>43922</v>
      </c>
      <c r="AD1" s="198">
        <v>43952</v>
      </c>
      <c r="AE1" s="198">
        <v>43983</v>
      </c>
      <c r="AF1" s="198">
        <v>44013</v>
      </c>
      <c r="AG1" s="198">
        <v>44044</v>
      </c>
      <c r="AH1" s="198">
        <v>44075</v>
      </c>
      <c r="AI1" s="198">
        <v>44105</v>
      </c>
      <c r="AJ1" s="198">
        <v>44136</v>
      </c>
      <c r="AK1" s="198">
        <v>44166</v>
      </c>
      <c r="AL1" s="198">
        <v>44197</v>
      </c>
      <c r="AM1" s="198">
        <v>44228</v>
      </c>
      <c r="AN1" s="198">
        <v>44256</v>
      </c>
      <c r="AO1" s="198">
        <v>44287</v>
      </c>
      <c r="AP1" s="198">
        <v>44317</v>
      </c>
      <c r="AQ1" s="198">
        <v>44348</v>
      </c>
      <c r="AR1" s="198">
        <v>44378</v>
      </c>
      <c r="AS1" s="198">
        <v>44409</v>
      </c>
      <c r="AT1" s="198">
        <v>44440</v>
      </c>
      <c r="AU1" s="26"/>
    </row>
    <row r="2" spans="1:51">
      <c r="A2" s="199" t="s">
        <v>142</v>
      </c>
      <c r="B2" s="199">
        <v>57152</v>
      </c>
      <c r="C2" s="199">
        <v>58526</v>
      </c>
      <c r="D2" s="199">
        <v>58277</v>
      </c>
      <c r="E2" s="199">
        <v>55909</v>
      </c>
      <c r="F2" s="199">
        <v>55303</v>
      </c>
      <c r="G2" s="199">
        <v>58424</v>
      </c>
      <c r="H2" s="199">
        <v>56706</v>
      </c>
      <c r="I2" s="199">
        <v>57565</v>
      </c>
      <c r="J2" s="199">
        <v>61481</v>
      </c>
      <c r="K2" s="199">
        <v>61877</v>
      </c>
      <c r="L2" s="199">
        <v>61367</v>
      </c>
      <c r="M2" s="199">
        <v>49658</v>
      </c>
      <c r="N2" s="199">
        <v>41296</v>
      </c>
      <c r="O2" s="199">
        <v>39412</v>
      </c>
      <c r="P2" s="199">
        <v>42670</v>
      </c>
      <c r="Q2" s="199">
        <v>42621</v>
      </c>
      <c r="R2" s="199">
        <v>43930</v>
      </c>
      <c r="S2" s="199">
        <v>44300</v>
      </c>
      <c r="T2" s="199">
        <v>44000</v>
      </c>
      <c r="U2" s="199">
        <v>46900</v>
      </c>
      <c r="V2" s="199">
        <v>48100</v>
      </c>
      <c r="W2" s="199">
        <v>52100</v>
      </c>
      <c r="X2" s="199">
        <v>48600</v>
      </c>
      <c r="Y2" s="199">
        <v>47000</v>
      </c>
      <c r="Z2" s="199">
        <v>52400</v>
      </c>
      <c r="AA2" s="199">
        <v>52900</v>
      </c>
      <c r="AB2" s="199">
        <v>48400</v>
      </c>
      <c r="AC2" s="200">
        <v>37400</v>
      </c>
      <c r="AD2" s="200">
        <v>24900</v>
      </c>
      <c r="AE2" s="200">
        <v>30300</v>
      </c>
      <c r="AF2" s="200">
        <v>33900</v>
      </c>
      <c r="AG2" s="200">
        <v>33100</v>
      </c>
      <c r="AH2" s="200">
        <v>34400</v>
      </c>
      <c r="AI2" s="200">
        <v>32600</v>
      </c>
      <c r="AJ2" s="200">
        <v>32500</v>
      </c>
      <c r="AK2" s="200">
        <v>40800</v>
      </c>
      <c r="AL2" s="200">
        <v>47900</v>
      </c>
      <c r="AM2" s="200">
        <v>48900</v>
      </c>
      <c r="AN2" s="200">
        <v>57200</v>
      </c>
      <c r="AO2" s="200">
        <v>62200</v>
      </c>
      <c r="AP2" s="200">
        <v>70100</v>
      </c>
      <c r="AQ2" s="200">
        <v>75100</v>
      </c>
      <c r="AR2" s="200">
        <v>71430</v>
      </c>
      <c r="AS2" s="200">
        <v>78990</v>
      </c>
      <c r="AT2" s="200">
        <v>72940</v>
      </c>
      <c r="AU2" s="201">
        <f>AVERAGE(B2:AT2)</f>
        <v>50478.533333333333</v>
      </c>
      <c r="AV2" s="202">
        <f>AVERAGE(B2:AT2)</f>
        <v>50478.533333333333</v>
      </c>
      <c r="AW2" s="202" t="s">
        <v>268</v>
      </c>
      <c r="AX2" s="108">
        <v>57220</v>
      </c>
      <c r="AY2" s="108">
        <f>AU2*60/45</f>
        <v>67304.711111111115</v>
      </c>
    </row>
    <row r="3" spans="1:51">
      <c r="A3" s="199" t="s">
        <v>141</v>
      </c>
      <c r="B3" s="199">
        <v>40278</v>
      </c>
      <c r="C3" s="199">
        <v>40825</v>
      </c>
      <c r="D3" s="199">
        <v>39651</v>
      </c>
      <c r="E3" s="199">
        <v>40745</v>
      </c>
      <c r="F3" s="199">
        <v>43210</v>
      </c>
      <c r="G3" s="199">
        <v>49220</v>
      </c>
      <c r="H3" s="199">
        <v>47166</v>
      </c>
      <c r="I3" s="199">
        <v>48765</v>
      </c>
      <c r="J3" s="199">
        <v>49461</v>
      </c>
      <c r="K3" s="199">
        <v>53775</v>
      </c>
      <c r="L3" s="199">
        <v>54370</v>
      </c>
      <c r="M3" s="199">
        <v>41640</v>
      </c>
      <c r="N3" s="199">
        <v>37117</v>
      </c>
      <c r="O3" s="199">
        <v>37203</v>
      </c>
      <c r="P3" s="199">
        <v>40633</v>
      </c>
      <c r="Q3" s="199">
        <v>41946</v>
      </c>
      <c r="R3" s="199">
        <v>44260</v>
      </c>
      <c r="S3" s="199">
        <v>46500</v>
      </c>
      <c r="T3" s="199">
        <v>40900</v>
      </c>
      <c r="U3" s="199">
        <v>43100</v>
      </c>
      <c r="V3" s="199">
        <v>41200</v>
      </c>
      <c r="W3" s="199">
        <v>43200</v>
      </c>
      <c r="X3" s="199">
        <v>43200</v>
      </c>
      <c r="Y3" s="199">
        <v>45400</v>
      </c>
      <c r="Z3" s="199">
        <v>48300</v>
      </c>
      <c r="AA3" s="199">
        <v>47500</v>
      </c>
      <c r="AB3" s="199">
        <v>43200</v>
      </c>
      <c r="AC3" s="200">
        <v>30300</v>
      </c>
      <c r="AD3" s="200">
        <v>20000</v>
      </c>
      <c r="AE3" s="200">
        <v>25600</v>
      </c>
      <c r="AF3" s="200">
        <v>36800</v>
      </c>
      <c r="AG3" s="200">
        <v>39400</v>
      </c>
      <c r="AH3" s="200">
        <v>39300</v>
      </c>
      <c r="AI3" s="200">
        <v>38800</v>
      </c>
      <c r="AJ3" s="200">
        <v>38500</v>
      </c>
      <c r="AK3" s="200">
        <v>34300</v>
      </c>
      <c r="AL3" s="200">
        <v>37200</v>
      </c>
      <c r="AM3" s="200">
        <v>42600</v>
      </c>
      <c r="AN3" s="200">
        <v>46400</v>
      </c>
      <c r="AO3" s="200">
        <v>47800</v>
      </c>
      <c r="AP3" s="200">
        <v>47000</v>
      </c>
      <c r="AQ3" s="200">
        <v>49100</v>
      </c>
      <c r="AR3" s="200">
        <v>52210</v>
      </c>
      <c r="AS3" s="200">
        <v>56230</v>
      </c>
      <c r="AT3" s="200">
        <v>53120</v>
      </c>
      <c r="AU3" s="201">
        <f>AVERAGE(B3:AT3)</f>
        <v>42831.666666666664</v>
      </c>
      <c r="AW3" s="202"/>
    </row>
    <row r="4" spans="1:51">
      <c r="A4" s="199" t="s">
        <v>140</v>
      </c>
      <c r="B4" s="199">
        <v>22284</v>
      </c>
      <c r="C4" s="199">
        <v>23133</v>
      </c>
      <c r="D4" s="199">
        <v>21818</v>
      </c>
      <c r="E4" s="199">
        <v>22281</v>
      </c>
      <c r="F4" s="199">
        <v>24177</v>
      </c>
      <c r="G4" s="199">
        <v>28071</v>
      </c>
      <c r="H4" s="199">
        <v>28045</v>
      </c>
      <c r="I4" s="199">
        <v>29524</v>
      </c>
      <c r="J4" s="199">
        <v>28439</v>
      </c>
      <c r="K4" s="199">
        <v>30668</v>
      </c>
      <c r="L4" s="199">
        <v>33226</v>
      </c>
      <c r="M4" s="199">
        <v>28437</v>
      </c>
      <c r="N4" s="199">
        <v>23915</v>
      </c>
      <c r="O4" s="199">
        <v>25268</v>
      </c>
      <c r="P4" s="199">
        <v>28957</v>
      </c>
      <c r="Q4" s="199">
        <v>29150</v>
      </c>
      <c r="R4" s="199">
        <v>30044</v>
      </c>
      <c r="S4" s="199">
        <v>28400</v>
      </c>
      <c r="T4" s="199">
        <v>25400</v>
      </c>
      <c r="U4" s="199">
        <v>26700</v>
      </c>
      <c r="V4" s="199">
        <v>22400</v>
      </c>
      <c r="W4" s="199">
        <v>24500</v>
      </c>
      <c r="X4" s="199">
        <v>21200</v>
      </c>
      <c r="Y4" s="199">
        <v>18600</v>
      </c>
      <c r="Z4" s="199">
        <v>21400</v>
      </c>
      <c r="AA4" s="199">
        <v>22400</v>
      </c>
      <c r="AB4" s="199">
        <v>23100</v>
      </c>
      <c r="AC4" s="200">
        <v>14400</v>
      </c>
      <c r="AD4" s="200">
        <v>10800</v>
      </c>
      <c r="AE4" s="200">
        <v>14100</v>
      </c>
      <c r="AF4" s="200">
        <v>18300</v>
      </c>
      <c r="AG4" s="200">
        <v>20100</v>
      </c>
      <c r="AH4" s="200">
        <v>21300</v>
      </c>
      <c r="AI4" s="200">
        <v>20000</v>
      </c>
      <c r="AJ4" s="200">
        <v>20600</v>
      </c>
      <c r="AK4" s="200">
        <v>21500</v>
      </c>
      <c r="AL4" s="200">
        <v>23400</v>
      </c>
      <c r="AM4" s="200">
        <v>24700</v>
      </c>
      <c r="AN4" s="200">
        <v>27200</v>
      </c>
      <c r="AO4" s="200">
        <v>28300</v>
      </c>
      <c r="AP4" s="200">
        <v>29000</v>
      </c>
      <c r="AQ4" s="200">
        <v>29700</v>
      </c>
      <c r="AR4" s="200">
        <v>31350</v>
      </c>
      <c r="AS4" s="200">
        <v>30470</v>
      </c>
      <c r="AT4" s="200">
        <v>31250</v>
      </c>
      <c r="AU4" s="201">
        <f>AVERAGE(B4:AT4)</f>
        <v>24622.37777777778</v>
      </c>
      <c r="AW4" s="202"/>
    </row>
    <row r="5" spans="1:51">
      <c r="A5" s="199" t="s">
        <v>139</v>
      </c>
      <c r="B5" s="199" t="s">
        <v>626</v>
      </c>
      <c r="C5" s="199">
        <v>35648</v>
      </c>
      <c r="D5" s="199">
        <v>34823</v>
      </c>
      <c r="E5" s="199">
        <v>35869</v>
      </c>
      <c r="F5" s="199">
        <v>38900</v>
      </c>
      <c r="G5" s="199">
        <v>48637</v>
      </c>
      <c r="H5" s="199">
        <v>46484</v>
      </c>
      <c r="I5" s="199">
        <v>48182</v>
      </c>
      <c r="J5" s="199">
        <v>48880</v>
      </c>
      <c r="K5" s="199">
        <v>53437</v>
      </c>
      <c r="L5" s="199">
        <v>53976</v>
      </c>
      <c r="M5" s="199">
        <v>40000</v>
      </c>
      <c r="N5" s="199">
        <v>35076</v>
      </c>
      <c r="O5" s="199">
        <v>35172</v>
      </c>
      <c r="P5" s="199">
        <v>38937</v>
      </c>
      <c r="Q5" s="199">
        <v>40545</v>
      </c>
      <c r="R5" s="199">
        <v>43117</v>
      </c>
      <c r="S5" s="199">
        <v>41200</v>
      </c>
      <c r="T5" s="199">
        <v>35000</v>
      </c>
      <c r="U5" s="199">
        <v>37500</v>
      </c>
      <c r="V5" s="199">
        <v>35100</v>
      </c>
      <c r="W5" s="199">
        <v>37300</v>
      </c>
      <c r="X5" s="199">
        <v>37300</v>
      </c>
      <c r="Y5" s="199">
        <v>39700</v>
      </c>
      <c r="Z5" s="199">
        <v>41700</v>
      </c>
      <c r="AA5" s="199">
        <v>40900</v>
      </c>
      <c r="AB5" s="199">
        <v>38000</v>
      </c>
      <c r="AC5" s="200">
        <v>25000</v>
      </c>
      <c r="AD5" s="200">
        <v>19100</v>
      </c>
      <c r="AE5" s="200">
        <v>25000</v>
      </c>
      <c r="AF5" s="200">
        <v>31800</v>
      </c>
      <c r="AG5" s="200">
        <v>33800</v>
      </c>
      <c r="AH5" s="200">
        <v>35100</v>
      </c>
      <c r="AI5" s="200">
        <v>36000</v>
      </c>
      <c r="AJ5" s="200">
        <v>35700</v>
      </c>
      <c r="AK5" s="200">
        <v>35700</v>
      </c>
      <c r="AL5" s="200">
        <v>39300</v>
      </c>
      <c r="AM5" s="200">
        <v>42500</v>
      </c>
      <c r="AN5" s="200">
        <v>46600</v>
      </c>
      <c r="AO5" s="200">
        <v>48300</v>
      </c>
      <c r="AP5" s="200">
        <v>44700</v>
      </c>
      <c r="AQ5" s="200">
        <v>47100</v>
      </c>
      <c r="AR5" s="200">
        <v>50610</v>
      </c>
      <c r="AS5" s="200">
        <v>50620</v>
      </c>
      <c r="AT5" s="200">
        <v>44350</v>
      </c>
      <c r="AU5" s="201">
        <f>AVERAGE(B5:AT5)</f>
        <v>39833.25</v>
      </c>
      <c r="AW5" s="202"/>
    </row>
    <row r="6" spans="1:51">
      <c r="A6" s="199"/>
      <c r="B6" s="199"/>
      <c r="C6" s="199"/>
      <c r="D6" s="199"/>
      <c r="E6" s="199"/>
      <c r="F6" s="199"/>
      <c r="G6" s="199"/>
      <c r="H6" s="199"/>
      <c r="I6" s="199"/>
      <c r="J6" s="199"/>
      <c r="K6" s="199"/>
      <c r="L6" s="199"/>
      <c r="M6" s="199"/>
      <c r="N6" s="199"/>
      <c r="O6" s="199"/>
      <c r="P6" s="199"/>
      <c r="Q6" s="199"/>
      <c r="R6" s="199"/>
      <c r="S6" s="199"/>
      <c r="T6" s="199"/>
      <c r="U6" s="199"/>
      <c r="V6" s="199"/>
      <c r="W6" s="199"/>
      <c r="X6" s="199"/>
      <c r="Y6" s="199"/>
      <c r="Z6" s="199"/>
      <c r="AA6" s="199"/>
      <c r="AB6" s="199"/>
      <c r="AC6" s="203"/>
      <c r="AD6" s="203"/>
      <c r="AE6" s="203"/>
      <c r="AF6" s="203"/>
      <c r="AG6" s="203"/>
      <c r="AH6" s="203"/>
      <c r="AI6" s="203"/>
      <c r="AJ6" s="203"/>
      <c r="AK6" s="203"/>
      <c r="AU6" s="26"/>
      <c r="AW6" s="202"/>
    </row>
    <row r="7" spans="1:51">
      <c r="AU7" s="26"/>
    </row>
    <row r="8" spans="1:51">
      <c r="A8" s="108" t="s">
        <v>138</v>
      </c>
      <c r="B8" s="204">
        <v>28994.924777010401</v>
      </c>
      <c r="C8" s="204">
        <v>29083.53795837006</v>
      </c>
      <c r="D8" s="204">
        <v>34366.504780699324</v>
      </c>
      <c r="E8" s="204">
        <v>33560.84076592559</v>
      </c>
      <c r="F8" s="204">
        <v>26218.900621677058</v>
      </c>
      <c r="G8" s="204">
        <v>35995.3751249493</v>
      </c>
      <c r="H8" s="204">
        <v>40427.168047868036</v>
      </c>
      <c r="I8" s="204">
        <v>41802.471042837584</v>
      </c>
      <c r="J8" s="204">
        <v>42113.614300327099</v>
      </c>
      <c r="K8" s="204">
        <v>25996.232831627069</v>
      </c>
      <c r="L8" s="204">
        <v>23233.174449043679</v>
      </c>
      <c r="M8" s="204">
        <v>23262.637969758925</v>
      </c>
      <c r="N8" s="204">
        <v>23907.7292329458</v>
      </c>
      <c r="O8" s="204">
        <v>23317.963262738322</v>
      </c>
      <c r="P8" s="204">
        <v>23383.118785073329</v>
      </c>
      <c r="Q8" s="204">
        <v>24651.246231346595</v>
      </c>
      <c r="R8" s="204">
        <v>24557.925586871806</v>
      </c>
      <c r="S8" s="204">
        <v>24829.484559121953</v>
      </c>
      <c r="T8" s="204">
        <v>25055.43026719796</v>
      </c>
      <c r="U8" s="204">
        <v>25788.630012426867</v>
      </c>
      <c r="V8" s="204">
        <v>24643.230588247261</v>
      </c>
      <c r="W8" s="204">
        <v>22952.67731483098</v>
      </c>
      <c r="X8" s="204">
        <v>22947.88884116093</v>
      </c>
      <c r="Y8" s="204">
        <v>23317.24351414209</v>
      </c>
      <c r="Z8" s="204">
        <v>23890.571956586806</v>
      </c>
      <c r="AA8" s="204">
        <v>24228.610372014118</v>
      </c>
      <c r="AB8" s="204">
        <v>23541.978231953181</v>
      </c>
      <c r="AC8" s="204">
        <v>20644.541889138898</v>
      </c>
      <c r="AD8" s="204">
        <v>20890.304335565754</v>
      </c>
      <c r="AE8" s="204">
        <v>21374.533561952143</v>
      </c>
      <c r="AF8" s="204">
        <v>20823.815492546022</v>
      </c>
      <c r="AG8" s="204">
        <v>21262.530692823591</v>
      </c>
      <c r="AH8" s="204">
        <v>21999.186981115297</v>
      </c>
      <c r="AI8" s="204">
        <v>19071.183854484243</v>
      </c>
      <c r="AJ8" s="204">
        <v>18416.612908296738</v>
      </c>
      <c r="AK8" s="204">
        <v>19631.38584711331</v>
      </c>
      <c r="AL8" s="204">
        <v>18862.12739731725</v>
      </c>
      <c r="AM8" s="204">
        <v>19417.545218868301</v>
      </c>
      <c r="AN8" s="204">
        <v>19573.277993613043</v>
      </c>
      <c r="AO8" s="204">
        <v>19181.382115766464</v>
      </c>
      <c r="AP8" s="204">
        <v>19438.661485292767</v>
      </c>
      <c r="AQ8" s="204">
        <v>19349.709140187424</v>
      </c>
      <c r="AR8" s="204">
        <v>19586.01839165475</v>
      </c>
      <c r="AS8" s="204">
        <v>18872.315054019989</v>
      </c>
      <c r="AT8" s="204">
        <v>18949.614134508891</v>
      </c>
      <c r="AU8" s="201">
        <f>AVERAGE(B8:AT8)</f>
        <v>24520.30795380038</v>
      </c>
    </row>
    <row r="9" spans="1:51">
      <c r="A9" s="108" t="s">
        <v>137</v>
      </c>
      <c r="B9" s="204">
        <v>39267.73976152447</v>
      </c>
      <c r="C9" s="204">
        <v>35320.99284552411</v>
      </c>
      <c r="D9" s="204">
        <v>32642.643561859699</v>
      </c>
      <c r="E9" s="204">
        <v>32591.713857151481</v>
      </c>
      <c r="F9" s="204">
        <v>35322.25032773053</v>
      </c>
      <c r="G9" s="204">
        <v>39703.969071957552</v>
      </c>
      <c r="H9" s="204">
        <v>39873.279388030664</v>
      </c>
      <c r="I9" s="204">
        <v>42186.838343884381</v>
      </c>
      <c r="J9" s="204">
        <v>45353.692547267237</v>
      </c>
      <c r="K9" s="204">
        <v>50421.563709397698</v>
      </c>
      <c r="L9" s="204">
        <v>40583.378652357023</v>
      </c>
      <c r="M9" s="204">
        <v>32948.17063043618</v>
      </c>
      <c r="N9" s="204">
        <v>31831.243798285665</v>
      </c>
      <c r="O9" s="204">
        <v>32775.625890130817</v>
      </c>
      <c r="P9" s="204">
        <v>35603.026406517805</v>
      </c>
      <c r="Q9" s="204">
        <v>37413.346401247443</v>
      </c>
      <c r="R9" s="204">
        <v>38313.43145419551</v>
      </c>
      <c r="S9" s="204">
        <v>31229.255203616198</v>
      </c>
      <c r="T9" s="204">
        <v>26987.793742556612</v>
      </c>
      <c r="U9" s="204">
        <v>27502.94958707604</v>
      </c>
      <c r="V9" s="204">
        <v>26129.656129075174</v>
      </c>
      <c r="W9" s="204">
        <v>31204.144072500429</v>
      </c>
      <c r="X9" s="204">
        <v>32130.775456387943</v>
      </c>
      <c r="Y9" s="204">
        <v>32763.935287141259</v>
      </c>
      <c r="Z9" s="204">
        <v>42146.917092812088</v>
      </c>
      <c r="AA9" s="204">
        <v>37776.741118253449</v>
      </c>
      <c r="AB9" s="204">
        <v>33392.157412302018</v>
      </c>
      <c r="AC9" s="204">
        <v>18333.270191784217</v>
      </c>
      <c r="AD9" s="204">
        <v>26907.499996889728</v>
      </c>
      <c r="AE9" s="204">
        <v>27733.582571128205</v>
      </c>
      <c r="AF9" s="204">
        <v>28238.348704213</v>
      </c>
      <c r="AG9" s="204">
        <v>28510.385603307008</v>
      </c>
      <c r="AH9" s="204">
        <v>28060.277302456198</v>
      </c>
      <c r="AI9" s="204">
        <v>28820.536895295158</v>
      </c>
      <c r="AJ9" s="204">
        <v>33404.388819080297</v>
      </c>
      <c r="AK9" s="204">
        <v>34644.168688458158</v>
      </c>
      <c r="AL9" s="204">
        <v>42078.873462612726</v>
      </c>
      <c r="AM9" s="204">
        <v>46073.542822435593</v>
      </c>
      <c r="AN9" s="204">
        <v>47621.606524213996</v>
      </c>
      <c r="AO9" s="204">
        <v>43640.112363280605</v>
      </c>
      <c r="AP9" s="204">
        <v>37985.33224426135</v>
      </c>
      <c r="AQ9" s="204">
        <v>40810.0621081149</v>
      </c>
      <c r="AR9" s="204">
        <v>48277.341437526047</v>
      </c>
      <c r="AS9" s="204">
        <v>51157.210854820602</v>
      </c>
      <c r="AT9" s="204">
        <v>51107.125769928265</v>
      </c>
      <c r="AU9" s="201">
        <f>AVERAGE(B9:AT9)</f>
        <v>36151.575513533899</v>
      </c>
    </row>
    <row r="10" spans="1:51">
      <c r="A10" s="108" t="s">
        <v>136</v>
      </c>
      <c r="B10" s="204">
        <v>37468.917824886834</v>
      </c>
      <c r="C10" s="204">
        <v>34979.7952647251</v>
      </c>
      <c r="D10" s="204">
        <v>36995.226789598193</v>
      </c>
      <c r="E10" s="204">
        <v>38411.434700802383</v>
      </c>
      <c r="F10" s="204">
        <v>43077.696672195132</v>
      </c>
      <c r="G10" s="204">
        <v>42339.113972658684</v>
      </c>
      <c r="H10" s="204">
        <v>44176.800315880733</v>
      </c>
      <c r="I10" s="204">
        <v>45449.873001355765</v>
      </c>
      <c r="J10" s="204">
        <v>48374.835244225556</v>
      </c>
      <c r="K10" s="204">
        <v>49736.488507928807</v>
      </c>
      <c r="L10" s="204">
        <v>36558.702058330193</v>
      </c>
      <c r="M10" s="204">
        <v>31387.522192377604</v>
      </c>
      <c r="N10" s="204">
        <v>31954.700264411553</v>
      </c>
      <c r="O10" s="204">
        <v>35488.590056570771</v>
      </c>
      <c r="P10" s="204">
        <v>37151.720463657031</v>
      </c>
      <c r="Q10" s="204">
        <v>40224.487971509581</v>
      </c>
      <c r="R10" s="204">
        <v>39776.808056372938</v>
      </c>
      <c r="S10" s="204">
        <v>32806.091323106572</v>
      </c>
      <c r="T10" s="204">
        <v>34852.034397102398</v>
      </c>
      <c r="U10" s="204">
        <v>32743.412011815777</v>
      </c>
      <c r="V10" s="204">
        <v>33941.49447086802</v>
      </c>
      <c r="W10" s="204">
        <v>36161.070807658274</v>
      </c>
      <c r="X10" s="204">
        <v>36208.29768815585</v>
      </c>
      <c r="Y10" s="204">
        <v>39212.402929615775</v>
      </c>
      <c r="Z10" s="204">
        <v>38005.50999905145</v>
      </c>
      <c r="AA10" s="204">
        <v>33948.919195272174</v>
      </c>
      <c r="AB10" s="204">
        <v>21830.230520384102</v>
      </c>
      <c r="AC10" s="204">
        <v>41618.000025444984</v>
      </c>
      <c r="AD10" s="204">
        <v>36293.110003071568</v>
      </c>
      <c r="AE10" s="204">
        <v>40230.560009202418</v>
      </c>
      <c r="AF10" s="204">
        <v>28984.506728422391</v>
      </c>
      <c r="AG10" s="204">
        <v>29296.224637839514</v>
      </c>
      <c r="AH10" s="204">
        <v>28071.268352741423</v>
      </c>
      <c r="AI10" s="204">
        <v>23219.340304109319</v>
      </c>
      <c r="AJ10" s="204">
        <v>27680.138169883663</v>
      </c>
      <c r="AK10" s="204">
        <v>31896.526510107997</v>
      </c>
      <c r="AL10" s="204">
        <v>36352.617012931434</v>
      </c>
      <c r="AM10" s="204">
        <v>40134.773482798308</v>
      </c>
      <c r="AN10" s="204">
        <v>42943.647213612938</v>
      </c>
      <c r="AO10" s="204">
        <v>41061.486307385807</v>
      </c>
      <c r="AP10" s="204">
        <v>43266.069260132143</v>
      </c>
      <c r="AQ10" s="204">
        <v>46764.427300723</v>
      </c>
      <c r="AR10" s="204">
        <v>49848.163616800543</v>
      </c>
      <c r="AS10" s="204">
        <v>47958.871071535585</v>
      </c>
      <c r="AT10" s="204">
        <v>49198.016422217115</v>
      </c>
      <c r="AU10" s="201">
        <f>AVERAGE(B10:AT10)</f>
        <v>37735.109402877279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dimension ref="A1:U58"/>
  <sheetViews>
    <sheetView showGridLines="0" topLeftCell="Q1" zoomScale="89" zoomScaleNormal="89" workbookViewId="0">
      <selection activeCell="U30" sqref="U30"/>
    </sheetView>
  </sheetViews>
  <sheetFormatPr defaultRowHeight="12.75"/>
  <cols>
    <col min="1" max="1" width="13" style="25" hidden="1" customWidth="1"/>
    <col min="2" max="2" width="31.42578125" style="25" hidden="1" customWidth="1"/>
    <col min="3" max="3" width="22.140625" style="25" hidden="1" customWidth="1"/>
    <col min="4" max="4" width="21.28515625" style="25" hidden="1" customWidth="1"/>
    <col min="5" max="5" width="22.28515625" style="25" hidden="1" customWidth="1"/>
    <col min="6" max="6" width="0" style="25" hidden="1" customWidth="1"/>
    <col min="7" max="7" width="9.140625" style="25"/>
    <col min="8" max="8" width="41.5703125" style="25" customWidth="1"/>
    <col min="9" max="9" width="45.42578125" style="25" customWidth="1"/>
    <col min="10" max="10" width="6.5703125" style="25" customWidth="1"/>
    <col min="11" max="11" width="41.42578125" style="25" bestFit="1" customWidth="1"/>
    <col min="12" max="12" width="48.5703125" style="25" customWidth="1"/>
    <col min="13" max="13" width="6" style="25" customWidth="1"/>
    <col min="14" max="14" width="41.42578125" style="25" bestFit="1" customWidth="1"/>
    <col min="15" max="15" width="63.42578125" style="25" customWidth="1"/>
    <col min="16" max="16" width="8.42578125" style="25" customWidth="1"/>
    <col min="17" max="17" width="41.140625" style="25" customWidth="1"/>
    <col min="18" max="18" width="16.5703125" style="25" customWidth="1"/>
    <col min="19" max="19" width="29" style="25" customWidth="1"/>
    <col min="20" max="20" width="41.140625" style="25" customWidth="1"/>
    <col min="21" max="21" width="38.85546875" style="25" customWidth="1"/>
    <col min="22" max="16384" width="9.140625" style="25"/>
  </cols>
  <sheetData>
    <row r="1" spans="1:21" ht="15.75" customHeight="1">
      <c r="A1" s="1415" t="str">
        <f>Scenario!C1</f>
        <v>Option 1 : Capacity of 200 KTPA Phenol and 123 KTPA Acetone capacity (Propane Furnace Additional)</v>
      </c>
      <c r="B1" s="1416"/>
      <c r="C1" s="1416"/>
      <c r="D1" s="1416"/>
      <c r="E1" s="1416"/>
      <c r="G1" s="1415" t="str">
        <f>Scenario!C1</f>
        <v>Option 1 : Capacity of 200 KTPA Phenol and 123 KTPA Acetone capacity (Propane Furnace Additional)</v>
      </c>
      <c r="H1" s="1416"/>
      <c r="I1" s="1416"/>
      <c r="J1" s="1415" t="s">
        <v>541</v>
      </c>
      <c r="K1" s="1416"/>
      <c r="L1" s="1416"/>
      <c r="M1" s="1415" t="str">
        <f>Scenario!G1</f>
        <v>Option 3 : Capacity for 200 KTPA Phenol + 120 KTPA Acetone, (Propylene - 80 % in house and 20 % external procurement)</v>
      </c>
      <c r="N1" s="1416"/>
      <c r="O1" s="1416"/>
      <c r="P1" s="1415" t="s">
        <v>573</v>
      </c>
      <c r="Q1" s="1416"/>
      <c r="R1" s="1416"/>
      <c r="S1" s="1415" t="s">
        <v>660</v>
      </c>
      <c r="T1" s="1416"/>
      <c r="U1" s="1416"/>
    </row>
    <row r="2" spans="1:21" ht="27" customHeight="1">
      <c r="A2" s="1417"/>
      <c r="B2" s="1418"/>
      <c r="C2" s="1418"/>
      <c r="D2" s="1418"/>
      <c r="E2" s="1418"/>
      <c r="G2" s="1417"/>
      <c r="H2" s="1418"/>
      <c r="I2" s="1418"/>
      <c r="J2" s="1417"/>
      <c r="K2" s="1418"/>
      <c r="L2" s="1418"/>
      <c r="M2" s="1417"/>
      <c r="N2" s="1418"/>
      <c r="O2" s="1418"/>
      <c r="P2" s="1417"/>
      <c r="Q2" s="1418"/>
      <c r="R2" s="1418"/>
      <c r="S2" s="1417"/>
      <c r="T2" s="1418"/>
      <c r="U2" s="1418"/>
    </row>
    <row r="3" spans="1:21">
      <c r="A3" s="1419"/>
      <c r="B3" s="1416"/>
      <c r="C3" s="49" t="s">
        <v>81</v>
      </c>
      <c r="D3" s="49" t="s">
        <v>82</v>
      </c>
      <c r="E3" s="50" t="s">
        <v>83</v>
      </c>
      <c r="G3" s="1419"/>
      <c r="H3" s="1416"/>
      <c r="I3" s="50" t="s">
        <v>83</v>
      </c>
      <c r="J3" s="1419"/>
      <c r="K3" s="1416"/>
      <c r="L3" s="50" t="s">
        <v>83</v>
      </c>
      <c r="M3" s="1419"/>
      <c r="N3" s="1416"/>
      <c r="O3" s="50" t="s">
        <v>83</v>
      </c>
      <c r="P3" s="1419"/>
      <c r="Q3" s="1416"/>
      <c r="R3" s="50" t="s">
        <v>83</v>
      </c>
      <c r="S3" s="1419"/>
      <c r="T3" s="1416"/>
      <c r="U3" s="50" t="s">
        <v>83</v>
      </c>
    </row>
    <row r="4" spans="1:21">
      <c r="A4" s="1420"/>
      <c r="B4" s="1418"/>
      <c r="C4" s="51" t="s">
        <v>84</v>
      </c>
      <c r="D4" s="51" t="s">
        <v>151</v>
      </c>
      <c r="E4" s="52" t="s">
        <v>123</v>
      </c>
      <c r="G4" s="1420"/>
      <c r="H4" s="1418"/>
      <c r="I4" s="52" t="s">
        <v>123</v>
      </c>
      <c r="J4" s="1420"/>
      <c r="K4" s="1418"/>
      <c r="L4" s="52" t="s">
        <v>123</v>
      </c>
      <c r="M4" s="1420"/>
      <c r="N4" s="1418"/>
      <c r="O4" s="52" t="s">
        <v>123</v>
      </c>
      <c r="P4" s="1420"/>
      <c r="Q4" s="1418"/>
      <c r="R4" s="52" t="s">
        <v>123</v>
      </c>
      <c r="S4" s="1420"/>
      <c r="T4" s="1418"/>
      <c r="U4" s="52" t="s">
        <v>123</v>
      </c>
    </row>
    <row r="5" spans="1:21">
      <c r="A5" s="37"/>
      <c r="B5" s="32"/>
      <c r="C5" s="32"/>
      <c r="D5" s="32"/>
      <c r="E5" s="38"/>
      <c r="G5" s="37"/>
      <c r="H5" s="32"/>
      <c r="I5" s="38"/>
      <c r="J5" s="37"/>
      <c r="K5" s="32"/>
      <c r="L5" s="38"/>
      <c r="M5" s="37"/>
      <c r="N5" s="32"/>
      <c r="O5" s="38"/>
      <c r="P5" s="37"/>
      <c r="Q5" s="32"/>
      <c r="R5" s="38"/>
      <c r="S5" s="37"/>
      <c r="T5" s="32"/>
      <c r="U5" s="38"/>
    </row>
    <row r="6" spans="1:21">
      <c r="A6" s="39" t="s">
        <v>59</v>
      </c>
      <c r="B6" s="31" t="s">
        <v>85</v>
      </c>
      <c r="C6" s="32"/>
      <c r="D6" s="32"/>
      <c r="E6" s="38"/>
      <c r="G6" s="39" t="s">
        <v>59</v>
      </c>
      <c r="H6" s="31" t="s">
        <v>85</v>
      </c>
      <c r="I6" s="38"/>
      <c r="J6" s="39" t="s">
        <v>59</v>
      </c>
      <c r="K6" s="31" t="s">
        <v>85</v>
      </c>
      <c r="L6" s="38"/>
      <c r="M6" s="39" t="s">
        <v>59</v>
      </c>
      <c r="N6" s="31" t="s">
        <v>85</v>
      </c>
      <c r="O6" s="38"/>
      <c r="P6" s="39" t="s">
        <v>59</v>
      </c>
      <c r="Q6" s="31" t="s">
        <v>85</v>
      </c>
      <c r="R6" s="38"/>
      <c r="S6" s="39" t="s">
        <v>59</v>
      </c>
      <c r="T6" s="31" t="s">
        <v>85</v>
      </c>
    </row>
    <row r="7" spans="1:21">
      <c r="A7" s="37">
        <v>1</v>
      </c>
      <c r="B7" s="34" t="s">
        <v>104</v>
      </c>
      <c r="C7" s="32"/>
      <c r="D7" s="32"/>
      <c r="E7" s="38"/>
      <c r="G7" s="37">
        <v>1</v>
      </c>
      <c r="H7" s="34" t="s">
        <v>104</v>
      </c>
      <c r="I7" s="38"/>
      <c r="J7" s="37">
        <v>1</v>
      </c>
      <c r="K7" s="34" t="s">
        <v>104</v>
      </c>
      <c r="L7" s="38"/>
      <c r="M7" s="37">
        <v>1</v>
      </c>
      <c r="N7" s="34" t="s">
        <v>104</v>
      </c>
      <c r="O7" s="38"/>
      <c r="P7" s="37">
        <v>1</v>
      </c>
      <c r="Q7" s="34" t="s">
        <v>104</v>
      </c>
      <c r="R7" s="38"/>
      <c r="S7" s="37">
        <v>1</v>
      </c>
      <c r="T7" s="34" t="s">
        <v>104</v>
      </c>
    </row>
    <row r="8" spans="1:21">
      <c r="A8" s="37"/>
      <c r="B8" s="32" t="s">
        <v>2</v>
      </c>
      <c r="C8" s="33">
        <v>91750</v>
      </c>
      <c r="D8" s="33" t="e">
        <f>'Financial Model (84 Months)'!#REF!</f>
        <v>#REF!</v>
      </c>
      <c r="E8" s="44" t="e">
        <f>(C8*D8)/10^7</f>
        <v>#REF!</v>
      </c>
      <c r="G8" s="37"/>
      <c r="H8" s="32" t="s">
        <v>430</v>
      </c>
      <c r="I8" s="320">
        <f>SUM(Scenario!C3*Scenario!D3+Scenario!C4*Scenario!D4)/10^7</f>
        <v>1250.260209571471</v>
      </c>
      <c r="J8" s="37"/>
      <c r="K8" s="32" t="s">
        <v>430</v>
      </c>
      <c r="L8" s="320">
        <f>SUM(Scenario!E3*Scenario!F3+Scenario!E4*Scenario!F4)/10^7</f>
        <v>992.05260325082452</v>
      </c>
      <c r="M8" s="37"/>
      <c r="N8" s="32" t="s">
        <v>430</v>
      </c>
      <c r="O8" s="320">
        <f>((Scenario!G3*Scenario!H3)+(Scenario!G4*Scenario!H4))/10^7</f>
        <v>1327.3817690476189</v>
      </c>
      <c r="P8" s="37"/>
      <c r="Q8" s="32" t="s">
        <v>430</v>
      </c>
      <c r="R8" s="320">
        <f>SUM(Scenario!J3*Scenario!I3+Scenario!I4*Scenario!J4)/10^7</f>
        <v>2321.7624999999998</v>
      </c>
      <c r="S8" s="37"/>
      <c r="T8" s="32" t="s">
        <v>430</v>
      </c>
      <c r="U8" s="38">
        <f>SUM(Scenario!C3*Scenario!D3+Scenario!C4*Scenario!D4)/10^7</f>
        <v>1250.260209571471</v>
      </c>
    </row>
    <row r="9" spans="1:21">
      <c r="A9" s="37"/>
      <c r="B9" s="32" t="s">
        <v>3</v>
      </c>
      <c r="C9" s="33">
        <f>'Products Output'!E5*1000</f>
        <v>174000</v>
      </c>
      <c r="D9" s="33">
        <v>57220</v>
      </c>
      <c r="E9" s="44">
        <f>(C9*D9)/10^7</f>
        <v>995.62800000000004</v>
      </c>
      <c r="G9" s="37">
        <v>2</v>
      </c>
      <c r="H9" s="34" t="s">
        <v>105</v>
      </c>
      <c r="I9" s="319">
        <v>24.52</v>
      </c>
      <c r="J9" s="37">
        <v>2</v>
      </c>
      <c r="K9" s="34" t="s">
        <v>105</v>
      </c>
      <c r="L9" s="319">
        <v>20.05</v>
      </c>
      <c r="M9" s="37">
        <v>2</v>
      </c>
      <c r="N9" s="34" t="s">
        <v>105</v>
      </c>
      <c r="O9" s="319">
        <v>33.61</v>
      </c>
      <c r="P9" s="37">
        <v>2</v>
      </c>
      <c r="Q9" s="34" t="s">
        <v>105</v>
      </c>
      <c r="R9" s="319">
        <v>30.77</v>
      </c>
      <c r="S9" s="37">
        <v>2</v>
      </c>
      <c r="T9" s="34" t="s">
        <v>105</v>
      </c>
      <c r="U9" s="319">
        <v>24.52</v>
      </c>
    </row>
    <row r="10" spans="1:21">
      <c r="A10" s="37"/>
      <c r="B10" s="32" t="s">
        <v>144</v>
      </c>
      <c r="C10" s="33">
        <v>49000</v>
      </c>
      <c r="D10" s="33">
        <v>5550</v>
      </c>
      <c r="E10" s="44">
        <f>(C10*D10)/10^7</f>
        <v>27.195</v>
      </c>
      <c r="G10" s="37">
        <v>3</v>
      </c>
      <c r="H10" s="34" t="s">
        <v>106</v>
      </c>
      <c r="I10" s="319">
        <f>(Scenario!C11*Scenario!D11+Scenario!C12*Scenario!D12+Scenario!C13*Scenario!D13+Scenario!C15*Scenario!D15+Scenario!C18*Scenario!D18+Scenario!C14*Scenario!D14+Scenario!C17*Scenario!D17+Scenario!C16*Scenario!D16)/10^7</f>
        <v>94.028693000000004</v>
      </c>
      <c r="J10" s="37">
        <v>3</v>
      </c>
      <c r="K10" s="34" t="s">
        <v>106</v>
      </c>
      <c r="L10" s="319">
        <f>(Scenario!E11*Scenario!F11+Scenario!E12*Scenario!F12+Scenario!E13*Scenario!F13+Scenario!E15*Scenario!F15+Scenario!E18*Scenario!F18+Scenario!E14*Scenario!F14+Scenario!E17*Scenario!F17+Scenario!E16*Scenario!F16)/10^7</f>
        <v>75.978915999999998</v>
      </c>
      <c r="M10" s="37">
        <v>3</v>
      </c>
      <c r="N10" s="34" t="s">
        <v>106</v>
      </c>
      <c r="O10" s="319">
        <f>(Scenario!G11*Scenario!H11+Scenario!G12*Scenario!H12+Scenario!G13*Scenario!H13+Scenario!G15*Scenario!H15+Scenario!G18*Scenario!H18+Scenario!G14*Scenario!H14+Scenario!G17*Scenario!H17+Scenario!G16*Scenario!H16)/10^7</f>
        <v>94.028693000000004</v>
      </c>
      <c r="P10" s="37">
        <v>3</v>
      </c>
      <c r="Q10" s="34" t="s">
        <v>106</v>
      </c>
      <c r="R10" s="319">
        <f>(Scenario!I11*Scenario!J11+Scenario!I12*Scenario!J12+Scenario!I13*Scenario!J13+Scenario!I15*Scenario!J15+Scenario!I18*Scenario!J18+Scenario!I14*Scenario!J14+Scenario!I17*Scenario!J17+Scenario!I16*Scenario!J16)/10^7</f>
        <v>97.920293000000001</v>
      </c>
      <c r="S10" s="37">
        <v>3</v>
      </c>
      <c r="T10" s="34" t="s">
        <v>106</v>
      </c>
      <c r="U10" s="319">
        <f>(Scenario!C11*Scenario!D11+Scenario!C12*Scenario!D12+Scenario!C13*Scenario!D13+Scenario!C15*Scenario!D15+Scenario!C18*Scenario!D18+Scenario!C14*Scenario!D14+Scenario!C17*Scenario!D17+Scenario!C16*Scenario!D16)/10^7</f>
        <v>94.028693000000004</v>
      </c>
    </row>
    <row r="11" spans="1:21">
      <c r="A11" s="37"/>
      <c r="B11" s="32" t="s">
        <v>86</v>
      </c>
      <c r="C11" s="32"/>
      <c r="D11" s="32"/>
      <c r="E11" s="45" t="e">
        <f>SUM(E8:E10)</f>
        <v>#REF!</v>
      </c>
      <c r="G11" s="37">
        <v>4</v>
      </c>
      <c r="H11" s="34" t="s">
        <v>107</v>
      </c>
      <c r="I11" s="321">
        <f>(Scenario!C5*Scenario!D5+Scenario!C6*Scenario!D6+Scenario!C7*Scenario!D7+Scenario!C8*Scenario!D8+Scenario!C9*Scenario!D9+Scenario!C10*Scenario!D10)/10^7</f>
        <v>174.55493038600002</v>
      </c>
      <c r="J11" s="37">
        <v>4</v>
      </c>
      <c r="K11" s="34" t="s">
        <v>107</v>
      </c>
      <c r="L11" s="321">
        <f>(Scenario!E5*Scenario!F5+Scenario!E6*Scenario!F6+Scenario!E7*Scenario!F7+Scenario!E8*Scenario!F8+Scenario!E9*Scenario!F9+Scenario!E10*Scenario!F10)/10^7</f>
        <v>139.95281492000001</v>
      </c>
      <c r="M11" s="37">
        <v>4</v>
      </c>
      <c r="N11" s="34" t="s">
        <v>107</v>
      </c>
      <c r="O11" s="321">
        <f>(Scenario!H5*Scenario!G5+Scenario!H6*Scenario!G6+Scenario!H7*Scenario!G7+Scenario!H8*Scenario!G8+Scenario!H9*Scenario!G9+Scenario!H10*Scenario!G10)/10^7</f>
        <v>174.55493038600002</v>
      </c>
      <c r="P11" s="37">
        <v>4</v>
      </c>
      <c r="Q11" s="34" t="s">
        <v>107</v>
      </c>
      <c r="R11" s="319">
        <f>(Scenario!I5*Scenario!J5+Scenario!I6*Scenario!J6+Scenario!I7*Scenario!J7+Scenario!I8*Scenario!J8+Scenario!I9*Scenario!J9+Scenario!I10*Scenario!J10)/10^7</f>
        <v>201.95729202000001</v>
      </c>
      <c r="S11" s="37">
        <v>4</v>
      </c>
      <c r="T11" s="34" t="s">
        <v>107</v>
      </c>
      <c r="U11" s="321">
        <f>(Scenario!C5*Scenario!D5+Scenario!C6*Scenario!D6+Scenario!C7*Scenario!D7+Scenario!C8*Scenario!D8+Scenario!C9*Scenario!D9+Scenario!C10*Scenario!D10)/10^7</f>
        <v>174.55493038600002</v>
      </c>
    </row>
    <row r="12" spans="1:21">
      <c r="A12" s="37">
        <v>2</v>
      </c>
      <c r="B12" s="34" t="s">
        <v>105</v>
      </c>
      <c r="C12" s="32"/>
      <c r="D12" s="32"/>
      <c r="E12" s="44" t="e">
        <f>#REF!+I9</f>
        <v>#REF!</v>
      </c>
      <c r="G12" s="39"/>
      <c r="H12" s="31" t="s">
        <v>87</v>
      </c>
      <c r="I12" s="320">
        <f>I8+I9+I10+I11</f>
        <v>1543.363832957471</v>
      </c>
      <c r="J12" s="39"/>
      <c r="K12" s="31" t="s">
        <v>87</v>
      </c>
      <c r="L12" s="320">
        <f>L8+L9+L10+L11</f>
        <v>1228.0343341708244</v>
      </c>
      <c r="M12" s="39"/>
      <c r="N12" s="31" t="s">
        <v>87</v>
      </c>
      <c r="O12" s="320">
        <f>O8+O9+O10+O11</f>
        <v>1629.5753924336188</v>
      </c>
      <c r="P12" s="39"/>
      <c r="Q12" s="31" t="s">
        <v>87</v>
      </c>
      <c r="R12" s="320">
        <f>R8+R9+R10+R11</f>
        <v>2652.4100850199998</v>
      </c>
      <c r="S12" s="39"/>
      <c r="T12" s="31" t="s">
        <v>87</v>
      </c>
      <c r="U12" s="320">
        <f>U8+U9+U10+U11</f>
        <v>1543.363832957471</v>
      </c>
    </row>
    <row r="13" spans="1:21">
      <c r="A13" s="37">
        <v>3</v>
      </c>
      <c r="B13" s="34" t="s">
        <v>106</v>
      </c>
      <c r="C13" s="32"/>
      <c r="D13" s="32"/>
      <c r="E13" s="44" t="e">
        <f>#REF!+I10</f>
        <v>#REF!</v>
      </c>
      <c r="G13" s="37"/>
      <c r="H13" s="32"/>
      <c r="I13" s="319"/>
      <c r="J13" s="37"/>
      <c r="K13" s="32"/>
      <c r="L13" s="319"/>
      <c r="M13" s="37"/>
      <c r="N13" s="32"/>
      <c r="O13" s="319"/>
      <c r="P13" s="37"/>
      <c r="Q13" s="32"/>
      <c r="R13" s="319"/>
      <c r="S13" s="37"/>
      <c r="T13" s="32"/>
      <c r="U13" s="319"/>
    </row>
    <row r="14" spans="1:21">
      <c r="A14" s="37">
        <v>4</v>
      </c>
      <c r="B14" s="34" t="s">
        <v>107</v>
      </c>
      <c r="C14" s="32"/>
      <c r="D14" s="32"/>
      <c r="E14" s="44" t="e">
        <f>#REF!+I11</f>
        <v>#REF!</v>
      </c>
      <c r="G14" s="39" t="s">
        <v>76</v>
      </c>
      <c r="H14" s="31" t="s">
        <v>88</v>
      </c>
      <c r="I14" s="319"/>
      <c r="J14" s="39" t="s">
        <v>76</v>
      </c>
      <c r="K14" s="31" t="s">
        <v>88</v>
      </c>
      <c r="L14" s="319"/>
      <c r="M14" s="39" t="s">
        <v>76</v>
      </c>
      <c r="N14" s="31" t="s">
        <v>88</v>
      </c>
      <c r="O14" s="319"/>
      <c r="P14" s="39" t="s">
        <v>76</v>
      </c>
      <c r="Q14" s="31" t="s">
        <v>88</v>
      </c>
      <c r="R14" s="319"/>
      <c r="S14" s="39" t="s">
        <v>76</v>
      </c>
      <c r="T14" s="31" t="s">
        <v>88</v>
      </c>
      <c r="U14" s="319"/>
    </row>
    <row r="15" spans="1:21">
      <c r="A15" s="39"/>
      <c r="B15" s="31" t="s">
        <v>87</v>
      </c>
      <c r="C15" s="31"/>
      <c r="D15" s="31"/>
      <c r="E15" s="45" t="e">
        <f>E11+E12+E13+E14</f>
        <v>#REF!</v>
      </c>
      <c r="G15" s="37">
        <v>1</v>
      </c>
      <c r="H15" s="34" t="s">
        <v>465</v>
      </c>
      <c r="I15" s="319">
        <f>Capex!D22*0.015</f>
        <v>26.530124999999998</v>
      </c>
      <c r="J15" s="37">
        <v>1</v>
      </c>
      <c r="K15" s="34" t="s">
        <v>465</v>
      </c>
      <c r="L15" s="319">
        <f>Capex!L22*0.015</f>
        <v>23.236574999999998</v>
      </c>
      <c r="M15" s="37">
        <v>1</v>
      </c>
      <c r="N15" s="34" t="s">
        <v>465</v>
      </c>
      <c r="O15" s="319">
        <f>Capex!H22*0.015</f>
        <v>29.060774999999996</v>
      </c>
      <c r="P15" s="37">
        <v>1</v>
      </c>
      <c r="Q15" s="34" t="s">
        <v>465</v>
      </c>
      <c r="R15" s="319">
        <f>O15</f>
        <v>29.060774999999996</v>
      </c>
      <c r="S15" s="37">
        <v>1</v>
      </c>
      <c r="T15" s="34" t="s">
        <v>465</v>
      </c>
      <c r="U15" s="319">
        <f>Capex!D22*0.015</f>
        <v>26.530124999999998</v>
      </c>
    </row>
    <row r="16" spans="1:21">
      <c r="A16" s="37"/>
      <c r="B16" s="32"/>
      <c r="C16" s="32"/>
      <c r="D16" s="32"/>
      <c r="E16" s="38"/>
      <c r="G16" s="37">
        <v>2</v>
      </c>
      <c r="H16" s="34" t="s">
        <v>108</v>
      </c>
      <c r="I16" s="319">
        <f>'Salaries &amp; Wages Calculations'!D10</f>
        <v>26.91</v>
      </c>
      <c r="J16" s="37">
        <v>2</v>
      </c>
      <c r="K16" s="34" t="s">
        <v>108</v>
      </c>
      <c r="L16" s="319">
        <v>25.04</v>
      </c>
      <c r="M16" s="37">
        <v>2</v>
      </c>
      <c r="N16" s="34" t="s">
        <v>108</v>
      </c>
      <c r="O16" s="319">
        <f>I16</f>
        <v>26.91</v>
      </c>
      <c r="P16" s="37">
        <v>2</v>
      </c>
      <c r="Q16" s="34" t="s">
        <v>108</v>
      </c>
      <c r="R16" s="319">
        <f>O16</f>
        <v>26.91</v>
      </c>
      <c r="S16" s="37">
        <v>2</v>
      </c>
      <c r="T16" s="34" t="s">
        <v>108</v>
      </c>
      <c r="U16" s="319">
        <f>'Salaries &amp; Wages Calculations'!D10</f>
        <v>26.91</v>
      </c>
    </row>
    <row r="17" spans="1:21">
      <c r="A17" s="39" t="s">
        <v>76</v>
      </c>
      <c r="B17" s="31" t="s">
        <v>88</v>
      </c>
      <c r="C17" s="32"/>
      <c r="D17" s="32"/>
      <c r="E17" s="38"/>
      <c r="G17" s="37">
        <v>3</v>
      </c>
      <c r="H17" s="34" t="s">
        <v>429</v>
      </c>
      <c r="I17" s="319">
        <f>I16</f>
        <v>26.91</v>
      </c>
      <c r="J17" s="37">
        <v>3</v>
      </c>
      <c r="K17" s="34" t="s">
        <v>429</v>
      </c>
      <c r="L17" s="319">
        <f>L16</f>
        <v>25.04</v>
      </c>
      <c r="M17" s="37">
        <v>3</v>
      </c>
      <c r="N17" s="34" t="s">
        <v>429</v>
      </c>
      <c r="O17" s="319">
        <f>O16</f>
        <v>26.91</v>
      </c>
      <c r="P17" s="37">
        <v>3</v>
      </c>
      <c r="Q17" s="34" t="s">
        <v>429</v>
      </c>
      <c r="R17" s="319">
        <f>R16</f>
        <v>26.91</v>
      </c>
      <c r="S17" s="37">
        <v>3</v>
      </c>
      <c r="T17" s="34" t="s">
        <v>429</v>
      </c>
      <c r="U17" s="319">
        <f>U16</f>
        <v>26.91</v>
      </c>
    </row>
    <row r="18" spans="1:21">
      <c r="A18" s="37">
        <v>1</v>
      </c>
      <c r="B18" s="34" t="s">
        <v>227</v>
      </c>
      <c r="C18" s="32"/>
      <c r="D18" s="32"/>
      <c r="E18" s="44" t="e">
        <f>#REF!+I15</f>
        <v>#REF!</v>
      </c>
      <c r="G18" s="40"/>
      <c r="H18" s="41" t="s">
        <v>89</v>
      </c>
      <c r="I18" s="322">
        <f>SUM(I15:I17)</f>
        <v>80.350124999999991</v>
      </c>
      <c r="J18" s="40"/>
      <c r="K18" s="41" t="s">
        <v>89</v>
      </c>
      <c r="L18" s="322">
        <f>SUM(L15:L17)</f>
        <v>73.316575</v>
      </c>
      <c r="M18" s="40"/>
      <c r="N18" s="41" t="s">
        <v>89</v>
      </c>
      <c r="O18" s="322">
        <f>SUM(O15:O17)</f>
        <v>82.880775</v>
      </c>
      <c r="P18" s="40"/>
      <c r="Q18" s="41" t="s">
        <v>89</v>
      </c>
      <c r="R18" s="322">
        <f>SUM(R15:R17)</f>
        <v>82.880775</v>
      </c>
      <c r="S18" s="40"/>
      <c r="T18" s="41" t="s">
        <v>89</v>
      </c>
      <c r="U18" s="322">
        <f>SUM(U15:U17)</f>
        <v>80.350124999999991</v>
      </c>
    </row>
    <row r="19" spans="1:21">
      <c r="A19" s="37">
        <v>2</v>
      </c>
      <c r="B19" s="34" t="s">
        <v>108</v>
      </c>
      <c r="C19" s="32"/>
      <c r="D19" s="32"/>
      <c r="E19" s="44" t="e">
        <f>#REF!+I16</f>
        <v>#REF!</v>
      </c>
      <c r="I19" s="133"/>
      <c r="O19" s="550"/>
    </row>
    <row r="20" spans="1:21">
      <c r="A20" s="37">
        <v>3</v>
      </c>
      <c r="B20" s="34" t="s">
        <v>109</v>
      </c>
      <c r="C20" s="35">
        <v>1</v>
      </c>
      <c r="D20" s="32"/>
      <c r="E20" s="44" t="e">
        <f>#REF!+I17</f>
        <v>#REF!</v>
      </c>
    </row>
    <row r="21" spans="1:21" ht="19.5" customHeight="1">
      <c r="A21" s="40"/>
      <c r="B21" s="41" t="s">
        <v>89</v>
      </c>
      <c r="C21" s="41"/>
      <c r="D21" s="41"/>
      <c r="E21" s="46" t="e">
        <f>SUM(E18:E20)</f>
        <v>#REF!</v>
      </c>
    </row>
    <row r="22" spans="1:21">
      <c r="E22" s="36"/>
    </row>
    <row r="24" spans="1:21">
      <c r="G24" s="34" t="s">
        <v>533</v>
      </c>
    </row>
    <row r="31" spans="1:21">
      <c r="G31" s="36"/>
    </row>
    <row r="32" spans="1:21">
      <c r="G32" s="36"/>
    </row>
    <row r="33" spans="7:7">
      <c r="G33" s="36"/>
    </row>
    <row r="58" ht="21" customHeight="1"/>
  </sheetData>
  <mergeCells count="18">
    <mergeCell ref="A1:E2"/>
    <mergeCell ref="A3:A4"/>
    <mergeCell ref="B3:B4"/>
    <mergeCell ref="G1:I2"/>
    <mergeCell ref="G3:G4"/>
    <mergeCell ref="H3:H4"/>
    <mergeCell ref="J1:L2"/>
    <mergeCell ref="J3:J4"/>
    <mergeCell ref="K3:K4"/>
    <mergeCell ref="M1:O2"/>
    <mergeCell ref="M3:M4"/>
    <mergeCell ref="N3:N4"/>
    <mergeCell ref="S1:U2"/>
    <mergeCell ref="S3:S4"/>
    <mergeCell ref="T3:T4"/>
    <mergeCell ref="P1:R2"/>
    <mergeCell ref="P3:P4"/>
    <mergeCell ref="Q3:Q4"/>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dimension ref="A1:L46"/>
  <sheetViews>
    <sheetView showGridLines="0" topLeftCell="A7" zoomScale="80" zoomScaleNormal="80" workbookViewId="0">
      <selection activeCell="H17" sqref="H17"/>
    </sheetView>
  </sheetViews>
  <sheetFormatPr defaultRowHeight="15"/>
  <cols>
    <col min="1" max="1" width="14" customWidth="1"/>
    <col min="2" max="2" width="56.140625" customWidth="1"/>
    <col min="3" max="3" width="11" customWidth="1"/>
    <col min="4" max="4" width="21.28515625" customWidth="1"/>
    <col min="5" max="5" width="14.5703125" customWidth="1"/>
    <col min="6" max="6" width="80.85546875" bestFit="1" customWidth="1"/>
    <col min="7" max="7" width="18.28515625" customWidth="1"/>
    <col min="8" max="8" width="32.85546875" customWidth="1"/>
    <col min="10" max="10" width="30.7109375" customWidth="1"/>
    <col min="11" max="11" width="24.85546875" customWidth="1"/>
    <col min="12" max="12" width="43.7109375" customWidth="1"/>
  </cols>
  <sheetData>
    <row r="1" spans="1:12" ht="37.5" customHeight="1">
      <c r="A1" s="1421" t="str">
        <f>Scenario!C1</f>
        <v>Option 1 : Capacity of 200 KTPA Phenol and 123 KTPA Acetone capacity (Propane Furnace Additional)</v>
      </c>
      <c r="B1" s="1422"/>
      <c r="C1" s="1422"/>
      <c r="D1" s="1423"/>
      <c r="E1" s="1421" t="str">
        <f>Scenario!G1</f>
        <v>Option 3 : Capacity for 200 KTPA Phenol + 120 KTPA Acetone, (Propylene - 80 % in house and 20 % external procurement)</v>
      </c>
      <c r="F1" s="1422"/>
      <c r="G1" s="1422"/>
      <c r="H1" s="1423"/>
      <c r="I1" s="1421" t="str">
        <f>Scenario!E1</f>
        <v>Option 2 : Capacity for 200 KTPA Phenol + 123 KTPA Acetone, (with available propylene and benzene)  (80 % phenol plant - DFCU operation ( base case ) considered for 8500 Hrs. operation)</v>
      </c>
      <c r="J1" s="1422"/>
      <c r="K1" s="1422"/>
      <c r="L1" s="1423"/>
    </row>
    <row r="2" spans="1:12">
      <c r="A2" s="20"/>
      <c r="B2" s="21"/>
      <c r="C2" s="22"/>
      <c r="D2" s="57" t="s">
        <v>123</v>
      </c>
      <c r="E2" s="20"/>
      <c r="F2" s="21"/>
      <c r="G2" s="22"/>
      <c r="H2" s="57" t="s">
        <v>123</v>
      </c>
      <c r="I2" s="20"/>
      <c r="J2" s="21"/>
      <c r="K2" s="22"/>
      <c r="L2" s="57" t="s">
        <v>123</v>
      </c>
    </row>
    <row r="3" spans="1:12" ht="25.5">
      <c r="A3" s="23" t="s">
        <v>59</v>
      </c>
      <c r="B3" s="24" t="s">
        <v>60</v>
      </c>
      <c r="C3" s="24" t="s">
        <v>92</v>
      </c>
      <c r="D3" s="58">
        <f>D4+D12</f>
        <v>1567.8</v>
      </c>
      <c r="E3" s="23" t="s">
        <v>59</v>
      </c>
      <c r="F3" s="24" t="s">
        <v>60</v>
      </c>
      <c r="G3" s="24" t="s">
        <v>92</v>
      </c>
      <c r="H3" s="58">
        <f>H4+H12</f>
        <v>1670.7599999999998</v>
      </c>
      <c r="I3" s="23" t="s">
        <v>59</v>
      </c>
      <c r="J3" s="24" t="s">
        <v>60</v>
      </c>
      <c r="K3" s="24" t="s">
        <v>92</v>
      </c>
      <c r="L3" s="58">
        <f>L4+L12</f>
        <v>1392.105</v>
      </c>
    </row>
    <row r="4" spans="1:12" ht="28.5" customHeight="1">
      <c r="A4" s="15" t="s">
        <v>61</v>
      </c>
      <c r="B4" s="12" t="s">
        <v>62</v>
      </c>
      <c r="C4" s="12"/>
      <c r="D4" s="59">
        <f>SUM(D5:D11)</f>
        <v>1132.3</v>
      </c>
      <c r="E4" s="15" t="s">
        <v>61</v>
      </c>
      <c r="F4" s="12" t="s">
        <v>62</v>
      </c>
      <c r="G4" s="12"/>
      <c r="H4" s="59">
        <f>SUM(H5:H11)</f>
        <v>1206.6599999999999</v>
      </c>
      <c r="I4" s="15" t="s">
        <v>61</v>
      </c>
      <c r="J4" s="12" t="s">
        <v>62</v>
      </c>
      <c r="K4" s="12"/>
      <c r="L4" s="59">
        <f>SUM(L5:L11)</f>
        <v>1000.4799999999999</v>
      </c>
    </row>
    <row r="5" spans="1:12" ht="33.75" customHeight="1">
      <c r="A5" s="16">
        <v>1</v>
      </c>
      <c r="B5" s="13" t="s">
        <v>143</v>
      </c>
      <c r="C5" s="14">
        <v>1</v>
      </c>
      <c r="D5" s="60">
        <f>D35+H35</f>
        <v>837.5</v>
      </c>
      <c r="E5" s="16">
        <v>1</v>
      </c>
      <c r="F5" s="13" t="s">
        <v>143</v>
      </c>
      <c r="G5" s="14">
        <v>1</v>
      </c>
      <c r="H5" s="548">
        <f>H35+D35+55</f>
        <v>892.5</v>
      </c>
      <c r="I5" s="16">
        <v>1</v>
      </c>
      <c r="J5" s="13" t="s">
        <v>534</v>
      </c>
      <c r="K5" s="14">
        <v>1</v>
      </c>
      <c r="L5" s="548">
        <v>740</v>
      </c>
    </row>
    <row r="6" spans="1:12" ht="20.25" customHeight="1">
      <c r="A6" s="16">
        <v>2</v>
      </c>
      <c r="B6" s="13" t="s">
        <v>63</v>
      </c>
      <c r="C6" s="14">
        <v>0.15</v>
      </c>
      <c r="D6" s="61">
        <f t="shared" ref="D6:D11" si="0">$D$5*C6</f>
        <v>125.625</v>
      </c>
      <c r="E6" s="16">
        <v>2</v>
      </c>
      <c r="F6" s="13" t="s">
        <v>63</v>
      </c>
      <c r="G6" s="14">
        <v>0.15</v>
      </c>
      <c r="H6" s="549">
        <f t="shared" ref="H6:H11" si="1">$H$5*G6</f>
        <v>133.875</v>
      </c>
      <c r="I6" s="16">
        <v>2</v>
      </c>
      <c r="J6" s="13" t="s">
        <v>63</v>
      </c>
      <c r="K6" s="14">
        <v>0.15</v>
      </c>
      <c r="L6" s="549">
        <f t="shared" ref="L6:L11" si="2">$L$5*K6</f>
        <v>111</v>
      </c>
    </row>
    <row r="7" spans="1:12" ht="25.5">
      <c r="A7" s="16">
        <v>3</v>
      </c>
      <c r="B7" s="13" t="s">
        <v>64</v>
      </c>
      <c r="C7" s="14">
        <v>0.1</v>
      </c>
      <c r="D7" s="61">
        <f t="shared" si="0"/>
        <v>83.75</v>
      </c>
      <c r="E7" s="16">
        <v>3</v>
      </c>
      <c r="F7" s="13" t="s">
        <v>64</v>
      </c>
      <c r="G7" s="14">
        <v>0.1</v>
      </c>
      <c r="H7" s="549">
        <f t="shared" si="1"/>
        <v>89.25</v>
      </c>
      <c r="I7" s="16">
        <v>3</v>
      </c>
      <c r="J7" s="13" t="s">
        <v>64</v>
      </c>
      <c r="K7" s="14">
        <v>0.1</v>
      </c>
      <c r="L7" s="549">
        <f t="shared" si="2"/>
        <v>74</v>
      </c>
    </row>
    <row r="8" spans="1:12">
      <c r="A8" s="16">
        <v>4</v>
      </c>
      <c r="B8" s="13" t="s">
        <v>65</v>
      </c>
      <c r="C8" s="14">
        <v>0.02</v>
      </c>
      <c r="D8" s="61">
        <f t="shared" si="0"/>
        <v>16.75</v>
      </c>
      <c r="E8" s="16">
        <v>4</v>
      </c>
      <c r="F8" s="13" t="s">
        <v>65</v>
      </c>
      <c r="G8" s="14">
        <v>0.02</v>
      </c>
      <c r="H8" s="549">
        <f t="shared" si="1"/>
        <v>17.850000000000001</v>
      </c>
      <c r="I8" s="16">
        <v>4</v>
      </c>
      <c r="J8" s="13" t="s">
        <v>65</v>
      </c>
      <c r="K8" s="14">
        <v>0.02</v>
      </c>
      <c r="L8" s="549">
        <f t="shared" si="2"/>
        <v>14.8</v>
      </c>
    </row>
    <row r="9" spans="1:12">
      <c r="A9" s="16">
        <v>5</v>
      </c>
      <c r="B9" s="13" t="s">
        <v>66</v>
      </c>
      <c r="C9" s="14">
        <v>0.01</v>
      </c>
      <c r="D9" s="61">
        <f t="shared" si="0"/>
        <v>8.375</v>
      </c>
      <c r="E9" s="16">
        <v>5</v>
      </c>
      <c r="F9" s="13" t="s">
        <v>66</v>
      </c>
      <c r="G9" s="14">
        <v>0.01</v>
      </c>
      <c r="H9" s="549">
        <f t="shared" si="1"/>
        <v>8.9250000000000007</v>
      </c>
      <c r="I9" s="16">
        <v>5</v>
      </c>
      <c r="J9" s="13" t="s">
        <v>66</v>
      </c>
      <c r="K9" s="14">
        <v>0.01</v>
      </c>
      <c r="L9" s="549">
        <f t="shared" si="2"/>
        <v>7.4</v>
      </c>
    </row>
    <row r="10" spans="1:12">
      <c r="A10" s="16">
        <v>6</v>
      </c>
      <c r="B10" s="13" t="s">
        <v>67</v>
      </c>
      <c r="C10" s="14">
        <v>2.1999999999999999E-2</v>
      </c>
      <c r="D10" s="61">
        <f t="shared" si="0"/>
        <v>18.424999999999997</v>
      </c>
      <c r="E10" s="16">
        <v>6</v>
      </c>
      <c r="F10" s="13" t="s">
        <v>67</v>
      </c>
      <c r="G10" s="14">
        <v>2.1999999999999999E-2</v>
      </c>
      <c r="H10" s="549">
        <f t="shared" si="1"/>
        <v>19.634999999999998</v>
      </c>
      <c r="I10" s="16">
        <v>6</v>
      </c>
      <c r="J10" s="13" t="s">
        <v>67</v>
      </c>
      <c r="K10" s="14">
        <v>2.1999999999999999E-2</v>
      </c>
      <c r="L10" s="549">
        <f t="shared" si="2"/>
        <v>16.279999999999998</v>
      </c>
    </row>
    <row r="11" spans="1:12">
      <c r="A11" s="16">
        <v>7</v>
      </c>
      <c r="B11" s="13" t="s">
        <v>68</v>
      </c>
      <c r="C11" s="14">
        <v>0.05</v>
      </c>
      <c r="D11" s="61">
        <f t="shared" si="0"/>
        <v>41.875</v>
      </c>
      <c r="E11" s="16">
        <v>7</v>
      </c>
      <c r="F11" s="13" t="s">
        <v>68</v>
      </c>
      <c r="G11" s="14">
        <v>0.05</v>
      </c>
      <c r="H11" s="549">
        <f t="shared" si="1"/>
        <v>44.625</v>
      </c>
      <c r="I11" s="16">
        <v>7</v>
      </c>
      <c r="J11" s="13" t="s">
        <v>68</v>
      </c>
      <c r="K11" s="14">
        <v>0.05</v>
      </c>
      <c r="L11" s="549">
        <f t="shared" si="2"/>
        <v>37</v>
      </c>
    </row>
    <row r="12" spans="1:12" ht="28.5" customHeight="1">
      <c r="A12" s="16" t="s">
        <v>69</v>
      </c>
      <c r="B12" s="12" t="s">
        <v>70</v>
      </c>
      <c r="C12" s="12"/>
      <c r="D12" s="101">
        <f>SUM(D13:D17)</f>
        <v>435.5</v>
      </c>
      <c r="E12" s="16" t="s">
        <v>69</v>
      </c>
      <c r="F12" s="12" t="s">
        <v>70</v>
      </c>
      <c r="G12" s="12"/>
      <c r="H12" s="59">
        <f>SUM(H13:H17)</f>
        <v>464.1</v>
      </c>
      <c r="I12" s="16" t="s">
        <v>69</v>
      </c>
      <c r="J12" s="12" t="s">
        <v>70</v>
      </c>
      <c r="K12" s="12"/>
      <c r="L12" s="59">
        <f>SUM(L13:L17)</f>
        <v>391.625</v>
      </c>
    </row>
    <row r="13" spans="1:12">
      <c r="A13" s="16">
        <v>9</v>
      </c>
      <c r="B13" s="13" t="s">
        <v>71</v>
      </c>
      <c r="C13" s="14">
        <v>0.1</v>
      </c>
      <c r="D13" s="61">
        <f>$D$5*C13</f>
        <v>83.75</v>
      </c>
      <c r="E13" s="16">
        <v>9</v>
      </c>
      <c r="F13" s="13" t="s">
        <v>71</v>
      </c>
      <c r="G13" s="14">
        <v>0.1</v>
      </c>
      <c r="H13" s="549">
        <f>$H$5*G13</f>
        <v>89.25</v>
      </c>
      <c r="I13" s="16">
        <v>9</v>
      </c>
      <c r="J13" s="13" t="s">
        <v>71</v>
      </c>
      <c r="K13" s="14">
        <v>0.1</v>
      </c>
      <c r="L13" s="549">
        <f>$L$5*K13</f>
        <v>74</v>
      </c>
    </row>
    <row r="14" spans="1:12">
      <c r="A14" s="16">
        <v>10</v>
      </c>
      <c r="B14" s="13" t="s">
        <v>72</v>
      </c>
      <c r="C14" s="14">
        <v>0.25</v>
      </c>
      <c r="D14" s="61">
        <f>$D$5*C14</f>
        <v>209.375</v>
      </c>
      <c r="E14" s="16">
        <v>10</v>
      </c>
      <c r="F14" s="13" t="s">
        <v>72</v>
      </c>
      <c r="G14" s="14">
        <v>0.25</v>
      </c>
      <c r="H14" s="549">
        <f>$H$5*G14</f>
        <v>223.125</v>
      </c>
      <c r="I14" s="16">
        <v>10</v>
      </c>
      <c r="J14" s="13" t="s">
        <v>72</v>
      </c>
      <c r="K14" s="14">
        <v>0.25</v>
      </c>
      <c r="L14" s="549">
        <f>$L$5*K14</f>
        <v>185</v>
      </c>
    </row>
    <row r="15" spans="1:12">
      <c r="A15" s="16">
        <v>11</v>
      </c>
      <c r="B15" s="13" t="s">
        <v>73</v>
      </c>
      <c r="C15" s="14">
        <v>0.02</v>
      </c>
      <c r="D15" s="61">
        <f>$D$5*C15</f>
        <v>16.75</v>
      </c>
      <c r="E15" s="16">
        <v>11</v>
      </c>
      <c r="F15" s="13" t="s">
        <v>73</v>
      </c>
      <c r="G15" s="14">
        <v>0.02</v>
      </c>
      <c r="H15" s="549">
        <f>$H$5*G15</f>
        <v>17.850000000000001</v>
      </c>
      <c r="I15" s="16">
        <v>11</v>
      </c>
      <c r="J15" s="13" t="s">
        <v>73</v>
      </c>
      <c r="K15" s="14">
        <v>0.02</v>
      </c>
      <c r="L15" s="549">
        <f>$D$5*K15</f>
        <v>16.75</v>
      </c>
    </row>
    <row r="16" spans="1:12">
      <c r="A16" s="16">
        <v>12</v>
      </c>
      <c r="B16" s="13" t="s">
        <v>74</v>
      </c>
      <c r="C16" s="14">
        <v>0.1</v>
      </c>
      <c r="D16" s="61">
        <f>$D$5*C16</f>
        <v>83.75</v>
      </c>
      <c r="E16" s="16">
        <v>12</v>
      </c>
      <c r="F16" s="13" t="s">
        <v>74</v>
      </c>
      <c r="G16" s="14">
        <v>0.1</v>
      </c>
      <c r="H16" s="549">
        <f>$H$5*G16</f>
        <v>89.25</v>
      </c>
      <c r="I16" s="16">
        <v>12</v>
      </c>
      <c r="J16" s="13" t="s">
        <v>74</v>
      </c>
      <c r="K16" s="14">
        <v>0.1</v>
      </c>
      <c r="L16" s="549">
        <f>$L$5*K16</f>
        <v>74</v>
      </c>
    </row>
    <row r="17" spans="1:12">
      <c r="A17" s="16">
        <v>13</v>
      </c>
      <c r="B17" s="13" t="s">
        <v>75</v>
      </c>
      <c r="C17" s="19">
        <v>0.05</v>
      </c>
      <c r="D17" s="61">
        <f>$D$5*C17</f>
        <v>41.875</v>
      </c>
      <c r="E17" s="16">
        <v>13</v>
      </c>
      <c r="F17" s="13" t="s">
        <v>75</v>
      </c>
      <c r="G17" s="19">
        <v>0.05</v>
      </c>
      <c r="H17" s="549">
        <f>$H$5*G17</f>
        <v>44.625</v>
      </c>
      <c r="I17" s="16">
        <v>13</v>
      </c>
      <c r="J17" s="13" t="s">
        <v>75</v>
      </c>
      <c r="K17" s="19">
        <v>0.05</v>
      </c>
      <c r="L17" s="549">
        <f>$D$5*K17</f>
        <v>41.875</v>
      </c>
    </row>
    <row r="18" spans="1:12">
      <c r="A18" s="15" t="s">
        <v>76</v>
      </c>
      <c r="B18" s="12" t="s">
        <v>77</v>
      </c>
      <c r="C18" s="12"/>
      <c r="D18" s="101">
        <f>SUM(D19)</f>
        <v>41.875</v>
      </c>
      <c r="E18" s="15" t="s">
        <v>76</v>
      </c>
      <c r="F18" s="12" t="s">
        <v>77</v>
      </c>
      <c r="G18" s="12"/>
      <c r="H18" s="59">
        <f>SUM(H19)</f>
        <v>44.625</v>
      </c>
      <c r="I18" s="15" t="s">
        <v>76</v>
      </c>
      <c r="J18" s="12" t="s">
        <v>77</v>
      </c>
      <c r="K18" s="12" t="s">
        <v>93</v>
      </c>
      <c r="L18" s="59">
        <f>SUM(L19)</f>
        <v>37</v>
      </c>
    </row>
    <row r="19" spans="1:12" ht="18" customHeight="1">
      <c r="A19" s="16">
        <v>14</v>
      </c>
      <c r="B19" s="13" t="s">
        <v>78</v>
      </c>
      <c r="C19" s="14">
        <v>0.05</v>
      </c>
      <c r="D19" s="61">
        <f>$D$5*C19</f>
        <v>41.875</v>
      </c>
      <c r="E19" s="16">
        <v>14</v>
      </c>
      <c r="F19" s="13" t="s">
        <v>78</v>
      </c>
      <c r="G19" s="14">
        <v>0.05</v>
      </c>
      <c r="H19" s="549">
        <f>$H$5*G19</f>
        <v>44.625</v>
      </c>
      <c r="I19" s="16">
        <v>14</v>
      </c>
      <c r="J19" s="13" t="s">
        <v>78</v>
      </c>
      <c r="K19" s="14">
        <v>0.05</v>
      </c>
      <c r="L19" s="549">
        <f>$L$5*K19</f>
        <v>37</v>
      </c>
    </row>
    <row r="20" spans="1:12" s="5" customFormat="1" ht="18" customHeight="1">
      <c r="A20" s="15" t="s">
        <v>12</v>
      </c>
      <c r="B20" s="13" t="s">
        <v>510</v>
      </c>
      <c r="C20" s="14"/>
      <c r="D20" s="61">
        <f>D41</f>
        <v>159</v>
      </c>
      <c r="E20" s="15" t="s">
        <v>12</v>
      </c>
      <c r="F20" s="13" t="s">
        <v>510</v>
      </c>
      <c r="G20" s="14"/>
      <c r="H20" s="61">
        <v>175</v>
      </c>
      <c r="I20" s="15" t="s">
        <v>12</v>
      </c>
      <c r="J20" s="13" t="s">
        <v>510</v>
      </c>
      <c r="K20" s="14"/>
      <c r="L20" s="61">
        <v>120</v>
      </c>
    </row>
    <row r="21" spans="1:12" s="5" customFormat="1" ht="39" customHeight="1">
      <c r="A21" s="15"/>
      <c r="B21" s="13"/>
      <c r="C21" s="14"/>
      <c r="D21" s="61"/>
      <c r="E21" s="15" t="s">
        <v>24</v>
      </c>
      <c r="F21" s="13" t="s">
        <v>535</v>
      </c>
      <c r="G21" s="14"/>
      <c r="H21" s="61">
        <v>47</v>
      </c>
      <c r="I21" s="15"/>
      <c r="J21" s="13"/>
      <c r="K21" s="14"/>
      <c r="L21" s="61">
        <v>0</v>
      </c>
    </row>
    <row r="22" spans="1:12">
      <c r="A22" s="17"/>
      <c r="B22" s="18" t="s">
        <v>79</v>
      </c>
      <c r="C22" s="18" t="s">
        <v>94</v>
      </c>
      <c r="D22" s="1013">
        <f>D3+D18+D20</f>
        <v>1768.675</v>
      </c>
      <c r="E22" s="17"/>
      <c r="F22" s="18" t="s">
        <v>79</v>
      </c>
      <c r="G22" s="18" t="s">
        <v>513</v>
      </c>
      <c r="H22" s="547">
        <f>H3+H18+H20+H21</f>
        <v>1937.3849999999998</v>
      </c>
      <c r="I22" s="17"/>
      <c r="J22" s="18" t="s">
        <v>79</v>
      </c>
      <c r="K22" s="18" t="s">
        <v>513</v>
      </c>
      <c r="L22" s="547">
        <f>L3+L18+L20+L21</f>
        <v>1549.105</v>
      </c>
    </row>
    <row r="23" spans="1:12">
      <c r="A23" s="576"/>
      <c r="B23" s="1427" t="str">
        <f>A1</f>
        <v>Option 1 : Capacity of 200 KTPA Phenol and 123 KTPA Acetone capacity (Propane Furnace Additional)</v>
      </c>
      <c r="C23" s="1427"/>
      <c r="D23" s="1427"/>
      <c r="E23" s="1427"/>
      <c r="F23" s="1427"/>
      <c r="G23" s="1427"/>
      <c r="H23" s="1427"/>
    </row>
    <row r="24" spans="1:12">
      <c r="A24" s="1424" t="s">
        <v>505</v>
      </c>
      <c r="B24" s="1425"/>
      <c r="C24" s="1425"/>
      <c r="D24" s="1426"/>
      <c r="E24" s="1424" t="s">
        <v>506</v>
      </c>
      <c r="F24" s="1425"/>
      <c r="G24" s="1425"/>
      <c r="H24" s="1426"/>
    </row>
    <row r="25" spans="1:12">
      <c r="A25" s="577" t="s">
        <v>122</v>
      </c>
      <c r="B25" s="578" t="s">
        <v>121</v>
      </c>
      <c r="C25" s="579" t="s">
        <v>504</v>
      </c>
      <c r="D25" s="577" t="s">
        <v>123</v>
      </c>
      <c r="E25" s="577" t="s">
        <v>122</v>
      </c>
      <c r="F25" s="578" t="s">
        <v>121</v>
      </c>
      <c r="G25" s="579" t="s">
        <v>504</v>
      </c>
      <c r="H25" s="577" t="s">
        <v>123</v>
      </c>
    </row>
    <row r="26" spans="1:12">
      <c r="A26" s="583">
        <v>1</v>
      </c>
      <c r="B26" s="590" t="s">
        <v>192</v>
      </c>
      <c r="C26" s="313">
        <v>14</v>
      </c>
      <c r="D26" s="598">
        <v>35</v>
      </c>
      <c r="E26" s="583">
        <v>1</v>
      </c>
      <c r="F26" s="580" t="s">
        <v>511</v>
      </c>
      <c r="G26" s="601">
        <v>4</v>
      </c>
      <c r="H26" s="314">
        <v>45</v>
      </c>
    </row>
    <row r="27" spans="1:12">
      <c r="A27" s="581">
        <v>2</v>
      </c>
      <c r="B27" s="587" t="s">
        <v>193</v>
      </c>
      <c r="C27" s="8">
        <v>26</v>
      </c>
      <c r="D27" s="356">
        <v>26</v>
      </c>
      <c r="E27" s="581">
        <v>2</v>
      </c>
      <c r="F27" s="582" t="s">
        <v>192</v>
      </c>
      <c r="G27" s="586">
        <v>30</v>
      </c>
      <c r="H27" s="53">
        <v>15</v>
      </c>
    </row>
    <row r="28" spans="1:12">
      <c r="A28" s="581">
        <v>3</v>
      </c>
      <c r="B28" s="587" t="s">
        <v>194</v>
      </c>
      <c r="C28" s="8">
        <v>6</v>
      </c>
      <c r="D28" s="356">
        <v>74</v>
      </c>
      <c r="E28" s="581">
        <v>3</v>
      </c>
      <c r="F28" s="582" t="s">
        <v>193</v>
      </c>
      <c r="G28" s="586">
        <v>21</v>
      </c>
      <c r="H28" s="53">
        <v>20</v>
      </c>
    </row>
    <row r="29" spans="1:12">
      <c r="A29" s="581">
        <v>4</v>
      </c>
      <c r="B29" s="587" t="s">
        <v>195</v>
      </c>
      <c r="C29" s="8">
        <v>36</v>
      </c>
      <c r="D29" s="356">
        <v>28</v>
      </c>
      <c r="E29" s="581">
        <v>4</v>
      </c>
      <c r="F29" s="582" t="s">
        <v>194</v>
      </c>
      <c r="G29" s="586">
        <v>2</v>
      </c>
      <c r="H29" s="53">
        <v>30</v>
      </c>
    </row>
    <row r="30" spans="1:12">
      <c r="A30" s="581">
        <v>5</v>
      </c>
      <c r="B30" s="587" t="s">
        <v>466</v>
      </c>
      <c r="C30" s="8">
        <v>1</v>
      </c>
      <c r="D30" s="356">
        <v>10</v>
      </c>
      <c r="E30" s="581">
        <v>5</v>
      </c>
      <c r="F30" s="582" t="s">
        <v>195</v>
      </c>
      <c r="G30" s="587"/>
      <c r="H30" s="53">
        <v>50</v>
      </c>
    </row>
    <row r="31" spans="1:12">
      <c r="A31" s="581">
        <v>6</v>
      </c>
      <c r="B31" s="587" t="s">
        <v>507</v>
      </c>
      <c r="C31" s="600">
        <v>3</v>
      </c>
      <c r="D31" s="597">
        <v>86</v>
      </c>
      <c r="E31" s="581">
        <v>6</v>
      </c>
      <c r="F31" s="582" t="s">
        <v>512</v>
      </c>
      <c r="G31" s="586">
        <v>15</v>
      </c>
      <c r="H31" s="53">
        <v>75</v>
      </c>
    </row>
    <row r="32" spans="1:12">
      <c r="A32" s="581">
        <v>7</v>
      </c>
      <c r="B32" s="587" t="s">
        <v>508</v>
      </c>
      <c r="C32" s="8">
        <v>13</v>
      </c>
      <c r="D32" s="597">
        <v>15</v>
      </c>
      <c r="E32" s="581">
        <v>7</v>
      </c>
      <c r="F32" s="582" t="s">
        <v>466</v>
      </c>
      <c r="G32" s="587"/>
      <c r="H32" s="53">
        <v>15</v>
      </c>
    </row>
    <row r="33" spans="1:9" s="5" customFormat="1">
      <c r="A33" s="581">
        <v>8</v>
      </c>
      <c r="B33" s="589" t="s">
        <v>509</v>
      </c>
      <c r="C33" s="591"/>
      <c r="D33" s="599">
        <v>15</v>
      </c>
      <c r="E33" s="584">
        <v>8</v>
      </c>
      <c r="F33" s="582" t="s">
        <v>434</v>
      </c>
      <c r="G33" s="603"/>
      <c r="H33" s="67">
        <v>125</v>
      </c>
    </row>
    <row r="34" spans="1:9">
      <c r="A34" s="581">
        <v>9</v>
      </c>
      <c r="B34" s="589" t="s">
        <v>153</v>
      </c>
      <c r="C34" s="591"/>
      <c r="D34" s="599">
        <v>95</v>
      </c>
      <c r="E34" s="584">
        <v>9</v>
      </c>
      <c r="F34" s="604" t="s">
        <v>526</v>
      </c>
      <c r="G34" s="65"/>
      <c r="H34" s="366">
        <v>78.5</v>
      </c>
    </row>
    <row r="35" spans="1:9">
      <c r="A35" s="585">
        <v>10</v>
      </c>
      <c r="B35" s="752" t="s">
        <v>172</v>
      </c>
      <c r="C35" s="750"/>
      <c r="D35" s="751">
        <f>SUM(D26:D34)</f>
        <v>384</v>
      </c>
      <c r="E35" s="602">
        <v>10</v>
      </c>
      <c r="F35" s="756" t="s">
        <v>172</v>
      </c>
      <c r="G35" s="757"/>
      <c r="H35" s="758">
        <f>SUM(H26:H34)</f>
        <v>453.5</v>
      </c>
    </row>
    <row r="36" spans="1:9">
      <c r="A36" s="594" t="s">
        <v>510</v>
      </c>
      <c r="B36" s="3"/>
      <c r="C36" s="592"/>
      <c r="D36" s="65"/>
      <c r="E36" s="596"/>
      <c r="F36" s="361"/>
      <c r="G36" s="361"/>
      <c r="H36" s="361"/>
      <c r="I36" s="361"/>
    </row>
    <row r="37" spans="1:9">
      <c r="A37" s="318">
        <v>9</v>
      </c>
      <c r="B37" s="361" t="s">
        <v>467</v>
      </c>
      <c r="C37" s="582"/>
      <c r="D37" s="67">
        <v>24</v>
      </c>
      <c r="E37" s="596"/>
      <c r="F37" s="361"/>
      <c r="G37" s="361"/>
      <c r="H37" s="361"/>
      <c r="I37" s="361"/>
    </row>
    <row r="38" spans="1:9">
      <c r="A38" s="318">
        <v>10</v>
      </c>
      <c r="B38" s="361" t="s">
        <v>435</v>
      </c>
      <c r="C38" s="582"/>
      <c r="D38" s="67">
        <v>35</v>
      </c>
      <c r="E38" s="596"/>
      <c r="F38" s="361"/>
      <c r="G38" s="361"/>
      <c r="H38" s="361"/>
      <c r="I38" s="361"/>
    </row>
    <row r="39" spans="1:9" s="5" customFormat="1">
      <c r="A39" s="318">
        <v>11</v>
      </c>
      <c r="B39" s="361" t="s">
        <v>436</v>
      </c>
      <c r="C39" s="582"/>
      <c r="D39" s="67">
        <v>50</v>
      </c>
      <c r="E39" s="596"/>
      <c r="F39" s="3"/>
      <c r="G39" s="3"/>
      <c r="H39" s="361"/>
      <c r="I39" s="361"/>
    </row>
    <row r="40" spans="1:9" s="5" customFormat="1">
      <c r="A40" s="595">
        <v>12</v>
      </c>
      <c r="B40" s="361" t="s">
        <v>153</v>
      </c>
      <c r="C40" s="593"/>
      <c r="D40" s="588">
        <v>50</v>
      </c>
      <c r="E40" s="596"/>
    </row>
    <row r="41" spans="1:9">
      <c r="A41" s="595"/>
      <c r="B41" s="753" t="s">
        <v>172</v>
      </c>
      <c r="C41" s="754"/>
      <c r="D41" s="755">
        <f>SUM(D37:D40)</f>
        <v>159</v>
      </c>
      <c r="E41" s="114"/>
    </row>
    <row r="42" spans="1:9" s="5" customFormat="1">
      <c r="E42" s="3"/>
    </row>
    <row r="43" spans="1:9">
      <c r="E43" s="3"/>
    </row>
    <row r="44" spans="1:9" ht="15.75" customHeight="1">
      <c r="E44" s="130"/>
    </row>
    <row r="45" spans="1:9">
      <c r="E45" s="556"/>
    </row>
    <row r="46" spans="1:9">
      <c r="E46" s="130"/>
    </row>
  </sheetData>
  <mergeCells count="6">
    <mergeCell ref="I1:L1"/>
    <mergeCell ref="E1:H1"/>
    <mergeCell ref="A1:D1"/>
    <mergeCell ref="E24:H24"/>
    <mergeCell ref="A24:D24"/>
    <mergeCell ref="B23:H23"/>
  </mergeCells>
  <pageMargins left="0.7" right="0.7" top="0.75" bottom="0.75" header="0.3" footer="0.3"/>
  <pageSetup orientation="portrait" r:id="rId1"/>
  <ignoredErrors>
    <ignoredError sqref="D12 D18 H12" formula="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7"/>
  <dimension ref="A1:W98"/>
  <sheetViews>
    <sheetView showGridLines="0" tabSelected="1" zoomScale="93" zoomScaleNormal="93" workbookViewId="0">
      <selection activeCell="D18" sqref="D18"/>
    </sheetView>
  </sheetViews>
  <sheetFormatPr defaultRowHeight="15"/>
  <cols>
    <col min="1" max="1" width="5.140625" customWidth="1"/>
    <col min="2" max="2" width="55.5703125" bestFit="1" customWidth="1"/>
    <col min="3" max="3" width="24.5703125" customWidth="1"/>
    <col min="4" max="4" width="51.28515625" customWidth="1"/>
    <col min="5" max="12" width="15.7109375" customWidth="1"/>
    <col min="13" max="23" width="9.140625" customWidth="1"/>
  </cols>
  <sheetData>
    <row r="1" spans="1:23">
      <c r="A1" s="1428" t="str">
        <f>Scenario!C1</f>
        <v>Option 1 : Capacity of 200 KTPA Phenol and 123 KTPA Acetone capacity (Propane Furnace Additional)</v>
      </c>
      <c r="B1" s="1428"/>
      <c r="C1" s="1428"/>
      <c r="D1" s="1428"/>
    </row>
    <row r="2" spans="1:23">
      <c r="A2" s="134"/>
      <c r="B2" s="134" t="s">
        <v>431</v>
      </c>
      <c r="C2" s="134"/>
      <c r="D2" s="134" t="s">
        <v>123</v>
      </c>
      <c r="E2" s="711">
        <v>2028</v>
      </c>
      <c r="F2" s="711">
        <v>2029</v>
      </c>
      <c r="G2" s="711">
        <v>2030</v>
      </c>
      <c r="H2" s="711">
        <v>2031</v>
      </c>
      <c r="I2" s="711">
        <v>2032</v>
      </c>
      <c r="J2" s="711">
        <v>2033</v>
      </c>
      <c r="K2" s="711">
        <v>2034</v>
      </c>
      <c r="L2" s="711">
        <v>2035</v>
      </c>
      <c r="M2" s="711">
        <v>2036</v>
      </c>
      <c r="N2" s="711">
        <v>2037</v>
      </c>
      <c r="O2" s="711">
        <v>2038</v>
      </c>
      <c r="P2" s="711">
        <v>2039</v>
      </c>
      <c r="Q2" s="711">
        <v>2040</v>
      </c>
      <c r="R2" s="711">
        <v>2041</v>
      </c>
      <c r="S2" s="711">
        <v>2042</v>
      </c>
      <c r="T2" s="711">
        <v>2043</v>
      </c>
      <c r="U2" s="711">
        <v>2044</v>
      </c>
      <c r="V2" s="711">
        <v>2045</v>
      </c>
      <c r="W2" s="711">
        <v>2046</v>
      </c>
    </row>
    <row r="3" spans="1:23">
      <c r="A3" s="10" t="s">
        <v>12</v>
      </c>
      <c r="B3" s="10" t="s">
        <v>13</v>
      </c>
      <c r="C3" s="10"/>
      <c r="D3" s="135">
        <f>D4+D7+D9+D12</f>
        <v>1600.8119673324711</v>
      </c>
    </row>
    <row r="4" spans="1:23">
      <c r="A4" s="55" t="s">
        <v>14</v>
      </c>
      <c r="B4" s="55" t="s">
        <v>522</v>
      </c>
      <c r="C4" s="55"/>
      <c r="D4" s="132">
        <f>D5+D6</f>
        <v>1344.288902571471</v>
      </c>
      <c r="E4" s="710">
        <f>D4+D4*1.2%</f>
        <v>1360.4203694023286</v>
      </c>
      <c r="F4" s="710">
        <f t="shared" ref="F4:W4" si="0">E4+E4*1.2%</f>
        <v>1376.7454138351566</v>
      </c>
      <c r="G4" s="710">
        <f t="shared" si="0"/>
        <v>1393.2663588011785</v>
      </c>
      <c r="H4" s="710">
        <f t="shared" si="0"/>
        <v>1409.9855551067926</v>
      </c>
      <c r="I4" s="710">
        <f t="shared" si="0"/>
        <v>1426.9053817680742</v>
      </c>
      <c r="J4" s="710">
        <f t="shared" si="0"/>
        <v>1444.0282463492911</v>
      </c>
      <c r="K4" s="710">
        <f t="shared" si="0"/>
        <v>1461.3565853054827</v>
      </c>
      <c r="L4" s="710">
        <f t="shared" si="0"/>
        <v>1478.8928643291486</v>
      </c>
      <c r="M4" s="710">
        <f t="shared" si="0"/>
        <v>1496.6395787010983</v>
      </c>
      <c r="N4" s="710">
        <f t="shared" si="0"/>
        <v>1514.5992536455115</v>
      </c>
      <c r="O4" s="710">
        <f t="shared" si="0"/>
        <v>1532.7744446892575</v>
      </c>
      <c r="P4" s="710">
        <f t="shared" si="0"/>
        <v>1551.1677380255287</v>
      </c>
      <c r="Q4" s="710">
        <f t="shared" si="0"/>
        <v>1569.781750881835</v>
      </c>
      <c r="R4" s="710">
        <f t="shared" si="0"/>
        <v>1588.619131892417</v>
      </c>
      <c r="S4" s="710">
        <f t="shared" si="0"/>
        <v>1607.682561475126</v>
      </c>
      <c r="T4" s="710">
        <f t="shared" si="0"/>
        <v>1626.9747522128275</v>
      </c>
      <c r="U4" s="710">
        <f>T4+T4*1.2%</f>
        <v>1646.4984492393814</v>
      </c>
      <c r="V4" s="710">
        <f t="shared" si="0"/>
        <v>1666.256430630254</v>
      </c>
      <c r="W4" s="710">
        <f t="shared" si="0"/>
        <v>1686.2515077978171</v>
      </c>
    </row>
    <row r="5" spans="1:23">
      <c r="A5" s="9">
        <v>1</v>
      </c>
      <c r="B5" s="9" t="s">
        <v>15</v>
      </c>
      <c r="C5" s="9" t="s">
        <v>16</v>
      </c>
      <c r="D5" s="133">
        <f>'Annual COP'!I8</f>
        <v>1250.260209571471</v>
      </c>
    </row>
    <row r="6" spans="1:23">
      <c r="A6" s="9">
        <v>2</v>
      </c>
      <c r="B6" s="9" t="s">
        <v>17</v>
      </c>
      <c r="C6" s="9"/>
      <c r="D6" s="133">
        <f>'Annual COP'!I10</f>
        <v>94.028693000000004</v>
      </c>
    </row>
    <row r="7" spans="1:23">
      <c r="A7" s="55" t="s">
        <v>5</v>
      </c>
      <c r="B7" s="55" t="s">
        <v>18</v>
      </c>
      <c r="C7" s="55"/>
      <c r="D7" s="132">
        <f>D8</f>
        <v>26.91</v>
      </c>
    </row>
    <row r="8" spans="1:23">
      <c r="A8" s="9">
        <v>3</v>
      </c>
      <c r="B8" s="9" t="s">
        <v>19</v>
      </c>
      <c r="C8" s="9" t="s">
        <v>16</v>
      </c>
      <c r="D8" s="133">
        <f>'Annual COP'!I16</f>
        <v>26.91</v>
      </c>
      <c r="E8" s="2">
        <f>D4+D9+D15</f>
        <v>1623.9116494260518</v>
      </c>
      <c r="F8" s="2">
        <f>D9+D15</f>
        <v>279.62274685458084</v>
      </c>
    </row>
    <row r="9" spans="1:23">
      <c r="A9" s="55" t="s">
        <v>6</v>
      </c>
      <c r="B9" s="55" t="s">
        <v>20</v>
      </c>
      <c r="C9" s="55"/>
      <c r="D9" s="132">
        <f>D11+D10</f>
        <v>199.07493038600003</v>
      </c>
      <c r="E9" s="2">
        <f>D7+D12</f>
        <v>57.448134374999995</v>
      </c>
    </row>
    <row r="10" spans="1:23">
      <c r="A10" s="9">
        <v>4</v>
      </c>
      <c r="B10" s="9" t="s">
        <v>21</v>
      </c>
      <c r="C10" s="9"/>
      <c r="D10" s="133">
        <f>'Annual COP'!I9</f>
        <v>24.52</v>
      </c>
    </row>
    <row r="11" spans="1:23">
      <c r="A11" s="9">
        <v>5</v>
      </c>
      <c r="B11" s="9" t="s">
        <v>22</v>
      </c>
      <c r="C11" s="9"/>
      <c r="D11" s="133">
        <f>'Annual COP'!I11</f>
        <v>174.55493038600002</v>
      </c>
    </row>
    <row r="12" spans="1:23">
      <c r="A12" s="55" t="s">
        <v>7</v>
      </c>
      <c r="B12" s="55" t="s">
        <v>23</v>
      </c>
      <c r="C12" s="55"/>
      <c r="D12" s="132">
        <f>D13+D14</f>
        <v>30.538134374999998</v>
      </c>
    </row>
    <row r="13" spans="1:23" ht="26.25">
      <c r="A13" s="9">
        <v>6</v>
      </c>
      <c r="B13" s="9" t="s">
        <v>463</v>
      </c>
      <c r="C13" s="11">
        <v>1.4999999999999999E-2</v>
      </c>
      <c r="D13" s="133">
        <f>C13*Capex!D22</f>
        <v>26.530124999999998</v>
      </c>
    </row>
    <row r="14" spans="1:23">
      <c r="A14" s="9">
        <v>7</v>
      </c>
      <c r="B14" s="9" t="s">
        <v>90</v>
      </c>
      <c r="C14" s="11">
        <v>7.4999999999999997E-2</v>
      </c>
      <c r="D14" s="42">
        <f>C14*(D13+D8)</f>
        <v>4.0080093749999994</v>
      </c>
    </row>
    <row r="15" spans="1:23">
      <c r="A15" s="55" t="s">
        <v>24</v>
      </c>
      <c r="B15" s="55" t="s">
        <v>25</v>
      </c>
      <c r="C15" s="56"/>
      <c r="D15" s="132">
        <f>D17+D16</f>
        <v>80.54781646858082</v>
      </c>
    </row>
    <row r="16" spans="1:23">
      <c r="A16" s="9">
        <v>9</v>
      </c>
      <c r="B16" s="9" t="s">
        <v>525</v>
      </c>
      <c r="C16" s="11">
        <v>2.5000000000000001E-2</v>
      </c>
      <c r="D16" s="133">
        <f>Sales!E5*C16</f>
        <v>56.535636958593756</v>
      </c>
    </row>
    <row r="17" spans="1:23">
      <c r="A17" s="9">
        <v>10</v>
      </c>
      <c r="B17" s="9" t="s">
        <v>162</v>
      </c>
      <c r="C17" s="11">
        <v>1.4999999999999999E-2</v>
      </c>
      <c r="D17" s="133">
        <f>D3*C17</f>
        <v>24.012179509987067</v>
      </c>
    </row>
    <row r="18" spans="1:23">
      <c r="A18" s="10"/>
      <c r="B18" s="10" t="s">
        <v>34</v>
      </c>
      <c r="C18" s="10"/>
      <c r="D18" s="135">
        <f>D15+D3</f>
        <v>1681.3597838010519</v>
      </c>
    </row>
    <row r="20" spans="1:23">
      <c r="D20" s="2"/>
    </row>
    <row r="21" spans="1:23" ht="48" customHeight="1">
      <c r="A21" s="1429" t="str">
        <f>Scenario!E1</f>
        <v>Option 2 : Capacity for 200 KTPA Phenol + 123 KTPA Acetone, (with available propylene and benzene)  (80 % phenol plant - DFCU operation ( base case ) considered for 8500 Hrs. operation)</v>
      </c>
      <c r="B21" s="1429"/>
      <c r="C21" s="1429"/>
      <c r="D21" s="1429"/>
      <c r="E21" s="5"/>
      <c r="F21" s="5"/>
      <c r="G21" s="5"/>
      <c r="H21" s="5"/>
      <c r="I21" s="5"/>
      <c r="J21" s="5"/>
      <c r="K21" s="5"/>
      <c r="L21" s="5"/>
      <c r="M21" s="5"/>
      <c r="N21" s="5"/>
      <c r="O21" s="5"/>
      <c r="P21" s="5"/>
      <c r="Q21" s="5"/>
      <c r="R21" s="5"/>
      <c r="S21" s="5"/>
      <c r="T21" s="5"/>
      <c r="U21" s="5"/>
      <c r="V21" s="5"/>
      <c r="W21" s="5"/>
    </row>
    <row r="22" spans="1:23">
      <c r="A22" s="134"/>
      <c r="B22" s="134" t="s">
        <v>431</v>
      </c>
      <c r="C22" s="134"/>
      <c r="D22" s="134" t="s">
        <v>123</v>
      </c>
      <c r="E22" s="711">
        <v>2028</v>
      </c>
      <c r="F22" s="711">
        <v>2029</v>
      </c>
      <c r="G22" s="711">
        <v>2030</v>
      </c>
      <c r="H22" s="711">
        <v>2031</v>
      </c>
      <c r="I22" s="711">
        <v>2032</v>
      </c>
      <c r="J22" s="711">
        <v>2033</v>
      </c>
      <c r="K22" s="711">
        <v>2034</v>
      </c>
      <c r="L22" s="711">
        <v>2035</v>
      </c>
      <c r="M22" s="711">
        <v>2036</v>
      </c>
      <c r="N22" s="711">
        <v>2037</v>
      </c>
      <c r="O22" s="711">
        <v>2038</v>
      </c>
      <c r="P22" s="711">
        <v>2039</v>
      </c>
      <c r="Q22" s="711">
        <v>2040</v>
      </c>
      <c r="R22" s="711">
        <v>2041</v>
      </c>
      <c r="S22" s="711">
        <v>2042</v>
      </c>
      <c r="T22" s="711">
        <v>2043</v>
      </c>
      <c r="U22" s="711">
        <v>2044</v>
      </c>
      <c r="V22" s="711">
        <v>2045</v>
      </c>
      <c r="W22" s="711">
        <v>2046</v>
      </c>
    </row>
    <row r="23" spans="1:23">
      <c r="A23" s="10" t="s">
        <v>12</v>
      </c>
      <c r="B23" s="10" t="s">
        <v>13</v>
      </c>
      <c r="C23" s="10"/>
      <c r="D23" s="135">
        <f>D24+D27+D29+D32</f>
        <v>1284.4016522958243</v>
      </c>
      <c r="E23" s="5"/>
      <c r="F23" s="5"/>
      <c r="G23" s="5"/>
      <c r="H23" s="5"/>
      <c r="I23" s="5"/>
      <c r="J23" s="5"/>
      <c r="K23" s="5"/>
      <c r="L23" s="5"/>
      <c r="M23" s="5"/>
      <c r="N23" s="5"/>
      <c r="O23" s="5"/>
      <c r="P23" s="5"/>
      <c r="Q23" s="5"/>
      <c r="R23" s="5"/>
      <c r="S23" s="5"/>
      <c r="T23" s="5"/>
      <c r="U23" s="5"/>
      <c r="V23" s="5"/>
      <c r="W23" s="5"/>
    </row>
    <row r="24" spans="1:23">
      <c r="A24" s="55" t="s">
        <v>14</v>
      </c>
      <c r="B24" s="55" t="s">
        <v>522</v>
      </c>
      <c r="C24" s="55"/>
      <c r="D24" s="132">
        <f>D25+D26</f>
        <v>1068.0315192508244</v>
      </c>
      <c r="E24" s="710">
        <f>D24+D24*1.2%</f>
        <v>1080.8478974818343</v>
      </c>
      <c r="F24" s="710">
        <f t="shared" ref="F24" si="1">E24+E24*1.2%</f>
        <v>1093.8180722516163</v>
      </c>
      <c r="G24" s="710">
        <f t="shared" ref="G24" si="2">F24+F24*1.2%</f>
        <v>1106.9438891186358</v>
      </c>
      <c r="H24" s="710">
        <f t="shared" ref="H24" si="3">G24+G24*1.2%</f>
        <v>1120.2272157880593</v>
      </c>
      <c r="I24" s="710">
        <f t="shared" ref="I24" si="4">H24+H24*1.2%</f>
        <v>1133.669942377516</v>
      </c>
      <c r="J24" s="710">
        <f t="shared" ref="J24" si="5">I24+I24*1.2%</f>
        <v>1147.2739816860462</v>
      </c>
      <c r="K24" s="710">
        <f t="shared" ref="K24" si="6">J24+J24*1.2%</f>
        <v>1161.0412694662789</v>
      </c>
      <c r="L24" s="710">
        <f t="shared" ref="L24" si="7">K24+K24*1.2%</f>
        <v>1174.9737646998742</v>
      </c>
      <c r="M24" s="710">
        <f t="shared" ref="M24" si="8">L24+L24*1.2%</f>
        <v>1189.0734498762727</v>
      </c>
      <c r="N24" s="710">
        <f t="shared" ref="N24" si="9">M24+M24*1.2%</f>
        <v>1203.342331274788</v>
      </c>
      <c r="O24" s="710">
        <f t="shared" ref="O24" si="10">N24+N24*1.2%</f>
        <v>1217.7824392500854</v>
      </c>
      <c r="P24" s="710">
        <f t="shared" ref="P24" si="11">O24+O24*1.2%</f>
        <v>1232.3958285210865</v>
      </c>
      <c r="Q24" s="710">
        <f t="shared" ref="Q24" si="12">P24+P24*1.2%</f>
        <v>1247.1845784633394</v>
      </c>
      <c r="R24" s="710">
        <f t="shared" ref="R24" si="13">Q24+Q24*1.2%</f>
        <v>1262.1507934048996</v>
      </c>
      <c r="S24" s="710">
        <f t="shared" ref="S24" si="14">R24+R24*1.2%</f>
        <v>1277.2966029257584</v>
      </c>
      <c r="T24" s="710">
        <f t="shared" ref="T24" si="15">S24+S24*1.2%</f>
        <v>1292.6241621608674</v>
      </c>
      <c r="U24" s="710">
        <f>T24+T24*1.2%</f>
        <v>1308.1356521067978</v>
      </c>
      <c r="V24" s="710">
        <f t="shared" ref="V24" si="16">U24+U24*1.2%</f>
        <v>1323.8332799320794</v>
      </c>
      <c r="W24" s="710">
        <f t="shared" ref="W24" si="17">V24+V24*1.2%</f>
        <v>1339.7192792912645</v>
      </c>
    </row>
    <row r="25" spans="1:23">
      <c r="A25" s="9">
        <v>1</v>
      </c>
      <c r="B25" s="9" t="s">
        <v>15</v>
      </c>
      <c r="C25" s="9" t="s">
        <v>16</v>
      </c>
      <c r="D25" s="133">
        <f>'Annual COP'!L8</f>
        <v>992.05260325082452</v>
      </c>
      <c r="E25" s="5"/>
      <c r="F25" s="5"/>
      <c r="G25" s="5"/>
      <c r="H25" s="5"/>
      <c r="I25" s="5"/>
      <c r="J25" s="5"/>
      <c r="K25" s="5"/>
      <c r="L25" s="5"/>
      <c r="M25" s="5"/>
      <c r="N25" s="5"/>
      <c r="O25" s="5"/>
      <c r="P25" s="5"/>
      <c r="Q25" s="5"/>
      <c r="R25" s="5"/>
      <c r="S25" s="5"/>
      <c r="T25" s="5"/>
      <c r="U25" s="5"/>
      <c r="V25" s="5"/>
      <c r="W25" s="5"/>
    </row>
    <row r="26" spans="1:23">
      <c r="A26" s="9">
        <v>2</v>
      </c>
      <c r="B26" s="9" t="s">
        <v>17</v>
      </c>
      <c r="C26" s="9"/>
      <c r="D26" s="133">
        <f>'Annual COP'!L10</f>
        <v>75.978915999999998</v>
      </c>
      <c r="E26" s="5"/>
      <c r="F26" s="5"/>
      <c r="G26" s="5"/>
      <c r="H26" s="5"/>
      <c r="I26" s="5"/>
      <c r="J26" s="5"/>
      <c r="K26" s="5"/>
      <c r="L26" s="5"/>
      <c r="M26" s="5"/>
      <c r="N26" s="5"/>
      <c r="O26" s="5"/>
      <c r="P26" s="5"/>
      <c r="Q26" s="5"/>
      <c r="R26" s="5"/>
      <c r="S26" s="5"/>
      <c r="T26" s="5"/>
      <c r="U26" s="5"/>
      <c r="V26" s="5"/>
      <c r="W26" s="5"/>
    </row>
    <row r="27" spans="1:23">
      <c r="A27" s="55" t="s">
        <v>5</v>
      </c>
      <c r="B27" s="55" t="s">
        <v>18</v>
      </c>
      <c r="C27" s="55"/>
      <c r="D27" s="132">
        <f>D28</f>
        <v>25.04</v>
      </c>
      <c r="E27" s="2">
        <f>D24+D29+D35</f>
        <v>1308.3059959138557</v>
      </c>
      <c r="F27" s="2">
        <f>D29+D35</f>
        <v>240.27447666303112</v>
      </c>
      <c r="G27" s="5"/>
      <c r="H27" s="5"/>
      <c r="I27" s="5"/>
      <c r="J27" s="5"/>
      <c r="K27" s="5"/>
      <c r="L27" s="5"/>
      <c r="M27" s="5"/>
      <c r="N27" s="5"/>
      <c r="O27" s="5"/>
      <c r="P27" s="5"/>
      <c r="Q27" s="5"/>
      <c r="R27" s="5"/>
      <c r="S27" s="5"/>
      <c r="T27" s="5"/>
      <c r="U27" s="5"/>
      <c r="V27" s="5"/>
      <c r="W27" s="5"/>
    </row>
    <row r="28" spans="1:23">
      <c r="A28" s="9">
        <v>3</v>
      </c>
      <c r="B28" s="9" t="s">
        <v>19</v>
      </c>
      <c r="C28" s="9" t="s">
        <v>16</v>
      </c>
      <c r="D28" s="133">
        <f>'Annual COP'!L16</f>
        <v>25.04</v>
      </c>
      <c r="E28" s="2">
        <f>D27+D32</f>
        <v>51.897318124999998</v>
      </c>
      <c r="F28" s="5"/>
      <c r="G28" s="5"/>
      <c r="H28" s="5"/>
      <c r="I28" s="5"/>
      <c r="J28" s="5"/>
      <c r="K28" s="5"/>
      <c r="L28" s="5"/>
      <c r="M28" s="5"/>
      <c r="N28" s="5"/>
      <c r="O28" s="5"/>
      <c r="P28" s="5"/>
      <c r="Q28" s="5"/>
      <c r="R28" s="5"/>
      <c r="S28" s="5"/>
      <c r="T28" s="5"/>
      <c r="U28" s="5"/>
      <c r="V28" s="5"/>
      <c r="W28" s="5"/>
    </row>
    <row r="29" spans="1:23">
      <c r="A29" s="55" t="s">
        <v>6</v>
      </c>
      <c r="B29" s="55" t="s">
        <v>20</v>
      </c>
      <c r="C29" s="55"/>
      <c r="D29" s="132">
        <f>D31+D30</f>
        <v>164.47281492000002</v>
      </c>
      <c r="E29" s="5"/>
      <c r="F29" s="5"/>
      <c r="G29" s="5"/>
      <c r="H29" s="5"/>
      <c r="I29" s="5"/>
      <c r="J29" s="5"/>
      <c r="K29" s="5"/>
      <c r="L29" s="5"/>
      <c r="M29" s="5"/>
      <c r="N29" s="5"/>
      <c r="O29" s="5"/>
      <c r="P29" s="5"/>
      <c r="Q29" s="5"/>
      <c r="R29" s="5"/>
      <c r="S29" s="5"/>
      <c r="T29" s="5"/>
      <c r="U29" s="5"/>
      <c r="V29" s="5"/>
      <c r="W29" s="5"/>
    </row>
    <row r="30" spans="1:23">
      <c r="A30" s="9">
        <v>4</v>
      </c>
      <c r="B30" s="9" t="s">
        <v>21</v>
      </c>
      <c r="C30" s="9"/>
      <c r="D30" s="133">
        <f>'Annual COP'!I9</f>
        <v>24.52</v>
      </c>
      <c r="E30" s="5"/>
      <c r="F30" s="5"/>
      <c r="G30" s="5"/>
      <c r="H30" s="5"/>
      <c r="I30" s="5"/>
      <c r="J30" s="5"/>
      <c r="K30" s="5"/>
      <c r="L30" s="5"/>
      <c r="M30" s="5"/>
      <c r="N30" s="5"/>
      <c r="O30" s="5"/>
      <c r="P30" s="5"/>
      <c r="Q30" s="5"/>
      <c r="R30" s="5"/>
      <c r="S30" s="5"/>
      <c r="T30" s="5"/>
      <c r="U30" s="5"/>
      <c r="V30" s="5"/>
      <c r="W30" s="5"/>
    </row>
    <row r="31" spans="1:23">
      <c r="A31" s="9">
        <v>5</v>
      </c>
      <c r="B31" s="9" t="s">
        <v>22</v>
      </c>
      <c r="C31" s="9"/>
      <c r="D31" s="133">
        <f>'Annual COP'!L11</f>
        <v>139.95281492000001</v>
      </c>
      <c r="E31" s="5"/>
      <c r="F31" s="5"/>
      <c r="G31" s="5"/>
      <c r="H31" s="5"/>
      <c r="I31" s="5"/>
      <c r="J31" s="5"/>
      <c r="K31" s="5"/>
      <c r="L31" s="5"/>
      <c r="M31" s="5"/>
      <c r="N31" s="5"/>
      <c r="O31" s="5"/>
      <c r="P31" s="5"/>
      <c r="Q31" s="5"/>
      <c r="R31" s="5"/>
      <c r="S31" s="5"/>
      <c r="T31" s="5"/>
      <c r="U31" s="5"/>
      <c r="V31" s="5"/>
      <c r="W31" s="5"/>
    </row>
    <row r="32" spans="1:23">
      <c r="A32" s="55" t="s">
        <v>7</v>
      </c>
      <c r="B32" s="55" t="s">
        <v>23</v>
      </c>
      <c r="C32" s="55"/>
      <c r="D32" s="132">
        <f>D33+D34</f>
        <v>26.857318124999999</v>
      </c>
      <c r="E32" s="5"/>
      <c r="F32" s="5"/>
      <c r="G32" s="5"/>
      <c r="H32" s="5"/>
      <c r="I32" s="5"/>
      <c r="J32" s="5"/>
      <c r="K32" s="5"/>
      <c r="L32" s="5"/>
      <c r="M32" s="5"/>
      <c r="N32" s="5"/>
      <c r="O32" s="5"/>
      <c r="P32" s="5"/>
      <c r="Q32" s="5"/>
      <c r="R32" s="5"/>
      <c r="S32" s="5"/>
      <c r="T32" s="5"/>
      <c r="U32" s="5"/>
      <c r="V32" s="5"/>
      <c r="W32" s="5"/>
    </row>
    <row r="33" spans="1:23" ht="26.25">
      <c r="A33" s="9">
        <v>6</v>
      </c>
      <c r="B33" s="9" t="s">
        <v>463</v>
      </c>
      <c r="C33" s="11">
        <v>1.4999999999999999E-2</v>
      </c>
      <c r="D33" s="133">
        <f>C33*Capex!L22</f>
        <v>23.236574999999998</v>
      </c>
      <c r="E33" s="5"/>
      <c r="F33" s="5"/>
      <c r="G33" s="5"/>
      <c r="H33" s="5"/>
      <c r="I33" s="5"/>
      <c r="J33" s="5"/>
      <c r="K33" s="5"/>
      <c r="L33" s="5"/>
      <c r="M33" s="5"/>
      <c r="N33" s="5"/>
      <c r="O33" s="5"/>
      <c r="P33" s="5"/>
      <c r="Q33" s="5"/>
      <c r="R33" s="5"/>
      <c r="S33" s="5"/>
      <c r="T33" s="5"/>
      <c r="U33" s="5"/>
      <c r="V33" s="5"/>
      <c r="W33" s="5"/>
    </row>
    <row r="34" spans="1:23">
      <c r="A34" s="9">
        <v>7</v>
      </c>
      <c r="B34" s="9" t="s">
        <v>90</v>
      </c>
      <c r="C34" s="11">
        <v>7.4999999999999997E-2</v>
      </c>
      <c r="D34" s="42">
        <f>C34*(D33+D28)</f>
        <v>3.6207431249999993</v>
      </c>
      <c r="E34" s="5"/>
      <c r="F34" s="5"/>
      <c r="G34" s="5"/>
      <c r="H34" s="5"/>
      <c r="I34" s="5"/>
      <c r="J34" s="5"/>
      <c r="K34" s="5"/>
      <c r="L34" s="5"/>
      <c r="M34" s="5"/>
      <c r="N34" s="5"/>
      <c r="O34" s="5"/>
      <c r="P34" s="5"/>
      <c r="Q34" s="5"/>
      <c r="R34" s="5"/>
      <c r="S34" s="5"/>
      <c r="T34" s="5"/>
      <c r="U34" s="5"/>
      <c r="V34" s="5"/>
      <c r="W34" s="5"/>
    </row>
    <row r="35" spans="1:23">
      <c r="A35" s="55" t="s">
        <v>24</v>
      </c>
      <c r="B35" s="55" t="s">
        <v>25</v>
      </c>
      <c r="C35" s="56"/>
      <c r="D35" s="132">
        <f>D37+D36</f>
        <v>75.801661743031119</v>
      </c>
      <c r="E35" s="5"/>
      <c r="F35" s="5"/>
      <c r="G35" s="5"/>
      <c r="H35" s="5"/>
      <c r="I35" s="5"/>
      <c r="J35" s="5"/>
      <c r="K35" s="5"/>
      <c r="L35" s="5"/>
      <c r="M35" s="5"/>
      <c r="N35" s="5"/>
      <c r="O35" s="5"/>
      <c r="P35" s="5"/>
      <c r="Q35" s="5"/>
      <c r="R35" s="5"/>
      <c r="S35" s="5"/>
      <c r="T35" s="5"/>
      <c r="U35" s="5"/>
      <c r="V35" s="5"/>
      <c r="W35" s="5"/>
    </row>
    <row r="36" spans="1:23">
      <c r="A36" s="9">
        <v>9</v>
      </c>
      <c r="B36" s="9" t="s">
        <v>525</v>
      </c>
      <c r="C36" s="11">
        <v>2.5000000000000001E-2</v>
      </c>
      <c r="D36" s="133">
        <f>Sales!E5*C16</f>
        <v>56.535636958593756</v>
      </c>
      <c r="E36" s="5"/>
      <c r="F36" s="5"/>
      <c r="G36" s="5"/>
      <c r="H36" s="5"/>
      <c r="I36" s="5"/>
      <c r="J36" s="5"/>
      <c r="K36" s="5"/>
      <c r="L36" s="5"/>
      <c r="M36" s="5"/>
      <c r="N36" s="5"/>
      <c r="O36" s="5"/>
      <c r="P36" s="5"/>
      <c r="Q36" s="5"/>
      <c r="R36" s="5"/>
      <c r="S36" s="5"/>
      <c r="T36" s="5"/>
      <c r="U36" s="5"/>
      <c r="V36" s="5"/>
      <c r="W36" s="5"/>
    </row>
    <row r="37" spans="1:23">
      <c r="A37" s="9">
        <v>10</v>
      </c>
      <c r="B37" s="9" t="s">
        <v>162</v>
      </c>
      <c r="C37" s="11">
        <v>1.4999999999999999E-2</v>
      </c>
      <c r="D37" s="133">
        <f>D23*C37</f>
        <v>19.266024784437363</v>
      </c>
      <c r="E37" s="5"/>
      <c r="F37" s="5"/>
      <c r="G37" s="5"/>
      <c r="H37" s="5"/>
      <c r="I37" s="5"/>
      <c r="J37" s="5"/>
      <c r="K37" s="5"/>
      <c r="L37" s="5"/>
      <c r="M37" s="5"/>
      <c r="N37" s="5"/>
      <c r="O37" s="5"/>
      <c r="P37" s="5"/>
      <c r="Q37" s="5"/>
      <c r="R37" s="5"/>
      <c r="S37" s="5"/>
      <c r="T37" s="5"/>
      <c r="U37" s="5"/>
      <c r="V37" s="5"/>
      <c r="W37" s="5"/>
    </row>
    <row r="38" spans="1:23">
      <c r="A38" s="10"/>
      <c r="B38" s="10" t="s">
        <v>34</v>
      </c>
      <c r="C38" s="10"/>
      <c r="D38" s="135">
        <f>D35+D23</f>
        <v>1360.2033140388555</v>
      </c>
      <c r="E38" s="5"/>
      <c r="F38" s="5"/>
      <c r="G38" s="5"/>
      <c r="H38" s="5"/>
      <c r="I38" s="5"/>
      <c r="J38" s="5"/>
      <c r="K38" s="5"/>
      <c r="L38" s="5"/>
      <c r="M38" s="5"/>
      <c r="N38" s="5"/>
      <c r="O38" s="5"/>
      <c r="P38" s="5"/>
      <c r="Q38" s="5"/>
      <c r="R38" s="5"/>
      <c r="S38" s="5"/>
      <c r="T38" s="5"/>
      <c r="U38" s="5"/>
      <c r="V38" s="5"/>
      <c r="W38" s="5"/>
    </row>
    <row r="41" spans="1:23" ht="35.25" customHeight="1">
      <c r="A41" s="1429" t="str">
        <f>Scenario!G1</f>
        <v>Option 3 : Capacity for 200 KTPA Phenol + 120 KTPA Acetone, (Propylene - 80 % in house and 20 % external procurement)</v>
      </c>
      <c r="B41" s="1429"/>
      <c r="C41" s="1429"/>
      <c r="D41" s="1429"/>
      <c r="E41" s="5"/>
      <c r="F41" s="5"/>
      <c r="G41" s="5"/>
      <c r="H41" s="5"/>
      <c r="I41" s="5"/>
      <c r="J41" s="5"/>
      <c r="K41" s="5"/>
      <c r="L41" s="5"/>
      <c r="M41" s="5"/>
      <c r="N41" s="5"/>
      <c r="O41" s="5"/>
      <c r="P41" s="5"/>
      <c r="Q41" s="5"/>
      <c r="R41" s="5"/>
      <c r="S41" s="5"/>
      <c r="T41" s="5"/>
      <c r="U41" s="5"/>
      <c r="V41" s="5"/>
      <c r="W41" s="5"/>
    </row>
    <row r="42" spans="1:23">
      <c r="A42" s="134"/>
      <c r="B42" s="134" t="s">
        <v>431</v>
      </c>
      <c r="C42" s="134"/>
      <c r="D42" s="134" t="s">
        <v>123</v>
      </c>
      <c r="E42" s="711">
        <v>2028</v>
      </c>
      <c r="F42" s="711">
        <v>2029</v>
      </c>
      <c r="G42" s="711">
        <v>2030</v>
      </c>
      <c r="H42" s="711">
        <v>2031</v>
      </c>
      <c r="I42" s="711">
        <v>2032</v>
      </c>
      <c r="J42" s="711">
        <v>2033</v>
      </c>
      <c r="K42" s="711">
        <v>2034</v>
      </c>
      <c r="L42" s="711">
        <v>2035</v>
      </c>
      <c r="M42" s="711">
        <v>2036</v>
      </c>
      <c r="N42" s="711">
        <v>2037</v>
      </c>
      <c r="O42" s="711">
        <v>2038</v>
      </c>
      <c r="P42" s="711">
        <v>2039</v>
      </c>
      <c r="Q42" s="711">
        <v>2040</v>
      </c>
      <c r="R42" s="711">
        <v>2041</v>
      </c>
      <c r="S42" s="711">
        <v>2042</v>
      </c>
      <c r="T42" s="711">
        <v>2043</v>
      </c>
      <c r="U42" s="711">
        <v>2044</v>
      </c>
      <c r="V42" s="711">
        <v>2045</v>
      </c>
      <c r="W42" s="711">
        <v>2046</v>
      </c>
    </row>
    <row r="43" spans="1:23">
      <c r="A43" s="10" t="s">
        <v>12</v>
      </c>
      <c r="B43" s="10" t="s">
        <v>13</v>
      </c>
      <c r="C43" s="10"/>
      <c r="D43" s="135">
        <f>D44+D47+D49+D52</f>
        <v>1685.0132768086191</v>
      </c>
      <c r="E43" s="5"/>
      <c r="F43" s="5"/>
      <c r="G43" s="5"/>
      <c r="H43" s="5"/>
      <c r="I43" s="5"/>
      <c r="J43" s="5"/>
      <c r="K43" s="5"/>
      <c r="L43" s="5"/>
      <c r="M43" s="5"/>
      <c r="N43" s="5"/>
      <c r="O43" s="5"/>
      <c r="P43" s="5"/>
      <c r="Q43" s="5"/>
      <c r="R43" s="5"/>
      <c r="S43" s="5"/>
      <c r="T43" s="5"/>
      <c r="U43" s="5"/>
      <c r="V43" s="5"/>
      <c r="W43" s="5"/>
    </row>
    <row r="44" spans="1:23">
      <c r="A44" s="55" t="s">
        <v>14</v>
      </c>
      <c r="B44" s="55" t="s">
        <v>522</v>
      </c>
      <c r="C44" s="55"/>
      <c r="D44" s="132">
        <f>D45+D46</f>
        <v>1421.4104620476189</v>
      </c>
      <c r="E44" s="710">
        <f>D44+D44*1.2%</f>
        <v>1438.4673875921903</v>
      </c>
      <c r="F44" s="710">
        <f t="shared" ref="F44" si="18">E44+E44*1.2%</f>
        <v>1455.7289962432967</v>
      </c>
      <c r="G44" s="710">
        <f t="shared" ref="G44" si="19">F44+F44*1.2%</f>
        <v>1473.1977441982162</v>
      </c>
      <c r="H44" s="710">
        <f t="shared" ref="H44" si="20">G44+G44*1.2%</f>
        <v>1490.8761171285948</v>
      </c>
      <c r="I44" s="710">
        <f t="shared" ref="I44" si="21">H44+H44*1.2%</f>
        <v>1508.7666305341379</v>
      </c>
      <c r="J44" s="710">
        <f t="shared" ref="J44" si="22">I44+I44*1.2%</f>
        <v>1526.8718301005476</v>
      </c>
      <c r="K44" s="710">
        <f t="shared" ref="K44" si="23">J44+J44*1.2%</f>
        <v>1545.1942920617541</v>
      </c>
      <c r="L44" s="710">
        <f t="shared" ref="L44" si="24">K44+K44*1.2%</f>
        <v>1563.7366235664952</v>
      </c>
      <c r="M44" s="710">
        <f t="shared" ref="M44" si="25">L44+L44*1.2%</f>
        <v>1582.5014630492931</v>
      </c>
      <c r="N44" s="710">
        <f t="shared" ref="N44" si="26">M44+M44*1.2%</f>
        <v>1601.4914806058846</v>
      </c>
      <c r="O44" s="710">
        <f t="shared" ref="O44" si="27">N44+N44*1.2%</f>
        <v>1620.7093783731552</v>
      </c>
      <c r="P44" s="710">
        <f t="shared" ref="P44" si="28">O44+O44*1.2%</f>
        <v>1640.1578909136331</v>
      </c>
      <c r="Q44" s="710">
        <f t="shared" ref="Q44" si="29">P44+P44*1.2%</f>
        <v>1659.8397856045967</v>
      </c>
      <c r="R44" s="710">
        <f t="shared" ref="R44" si="30">Q44+Q44*1.2%</f>
        <v>1679.7578630318519</v>
      </c>
      <c r="S44" s="710">
        <f t="shared" ref="S44" si="31">R44+R44*1.2%</f>
        <v>1699.9149573882341</v>
      </c>
      <c r="T44" s="710">
        <f t="shared" ref="T44" si="32">S44+S44*1.2%</f>
        <v>1720.313936876893</v>
      </c>
      <c r="U44" s="710">
        <f>T44+T44*1.2%</f>
        <v>1740.9577041194157</v>
      </c>
      <c r="V44" s="710">
        <f t="shared" ref="V44" si="33">U44+U44*1.2%</f>
        <v>1761.8491965688486</v>
      </c>
      <c r="W44" s="710">
        <f t="shared" ref="W44" si="34">V44+V44*1.2%</f>
        <v>1782.9913869276747</v>
      </c>
    </row>
    <row r="45" spans="1:23">
      <c r="A45" s="9">
        <v>1</v>
      </c>
      <c r="B45" s="9" t="s">
        <v>15</v>
      </c>
      <c r="C45" s="9" t="s">
        <v>16</v>
      </c>
      <c r="D45" s="133">
        <f>'Annual COP'!O8</f>
        <v>1327.3817690476189</v>
      </c>
      <c r="E45" s="5"/>
      <c r="F45" s="5"/>
      <c r="G45" s="5"/>
      <c r="H45" s="5"/>
      <c r="I45" s="5"/>
      <c r="J45" s="5"/>
      <c r="K45" s="5"/>
      <c r="L45" s="5"/>
      <c r="M45" s="5"/>
      <c r="N45" s="5"/>
      <c r="O45" s="5"/>
      <c r="P45" s="5"/>
      <c r="Q45" s="5"/>
      <c r="R45" s="5"/>
      <c r="S45" s="5"/>
      <c r="T45" s="5"/>
      <c r="U45" s="5"/>
      <c r="V45" s="5"/>
      <c r="W45" s="5"/>
    </row>
    <row r="46" spans="1:23">
      <c r="A46" s="9">
        <v>2</v>
      </c>
      <c r="B46" s="9" t="s">
        <v>17</v>
      </c>
      <c r="C46" s="9"/>
      <c r="D46" s="133">
        <f>'Annual COP'!O10</f>
        <v>94.028693000000004</v>
      </c>
      <c r="E46" s="5"/>
      <c r="F46" s="5"/>
      <c r="G46" s="5"/>
      <c r="H46" s="5"/>
      <c r="I46" s="5"/>
      <c r="J46" s="5"/>
      <c r="K46" s="5"/>
      <c r="L46" s="5"/>
      <c r="M46" s="5"/>
      <c r="N46" s="5"/>
      <c r="O46" s="5"/>
      <c r="P46" s="5"/>
      <c r="Q46" s="5"/>
      <c r="R46" s="5"/>
      <c r="S46" s="5"/>
      <c r="T46" s="5"/>
      <c r="U46" s="5"/>
      <c r="V46" s="5"/>
      <c r="W46" s="5"/>
    </row>
    <row r="47" spans="1:23">
      <c r="A47" s="55" t="s">
        <v>5</v>
      </c>
      <c r="B47" s="55" t="s">
        <v>18</v>
      </c>
      <c r="C47" s="55"/>
      <c r="D47" s="132">
        <f>D48</f>
        <v>25.04</v>
      </c>
      <c r="E47" s="1036">
        <f>D44+D49+D55</f>
        <v>1700.0791011526235</v>
      </c>
      <c r="F47" s="2">
        <f>D49+D55</f>
        <v>278.66863910500433</v>
      </c>
      <c r="G47" s="5"/>
      <c r="H47" s="5"/>
      <c r="I47" s="5"/>
      <c r="J47" s="5"/>
      <c r="K47" s="5"/>
      <c r="L47" s="5"/>
      <c r="M47" s="5"/>
      <c r="N47" s="5"/>
      <c r="O47" s="5"/>
      <c r="P47" s="5"/>
      <c r="Q47" s="5"/>
      <c r="R47" s="5"/>
      <c r="S47" s="5"/>
      <c r="T47" s="5"/>
      <c r="U47" s="5"/>
      <c r="V47" s="5"/>
      <c r="W47" s="5"/>
    </row>
    <row r="48" spans="1:23">
      <c r="A48" s="9">
        <v>3</v>
      </c>
      <c r="B48" s="9" t="s">
        <v>19</v>
      </c>
      <c r="C48" s="9" t="s">
        <v>16</v>
      </c>
      <c r="D48" s="133">
        <f>'Annual COP'!L16</f>
        <v>25.04</v>
      </c>
      <c r="E48" s="2">
        <f>D47+D52</f>
        <v>55.437884374999996</v>
      </c>
      <c r="F48" s="5"/>
      <c r="G48" s="5"/>
      <c r="H48" s="5"/>
      <c r="I48" s="5"/>
      <c r="J48" s="5"/>
      <c r="K48" s="5"/>
      <c r="L48" s="5"/>
      <c r="M48" s="5"/>
      <c r="N48" s="5"/>
      <c r="O48" s="5"/>
      <c r="P48" s="5"/>
      <c r="Q48" s="5"/>
      <c r="R48" s="5"/>
      <c r="S48" s="5"/>
      <c r="T48" s="5"/>
      <c r="U48" s="5"/>
      <c r="V48" s="5"/>
      <c r="W48" s="5"/>
    </row>
    <row r="49" spans="1:23">
      <c r="A49" s="55" t="s">
        <v>6</v>
      </c>
      <c r="B49" s="55" t="s">
        <v>20</v>
      </c>
      <c r="C49" s="55"/>
      <c r="D49" s="132">
        <f>D51+D50</f>
        <v>208.16493038600004</v>
      </c>
      <c r="E49" s="2"/>
      <c r="F49" s="5"/>
      <c r="G49" s="5"/>
      <c r="H49" s="5"/>
      <c r="I49" s="5"/>
      <c r="J49" s="5"/>
      <c r="K49" s="5"/>
      <c r="L49" s="5"/>
      <c r="M49" s="5"/>
      <c r="N49" s="5"/>
      <c r="O49" s="5"/>
      <c r="P49" s="5"/>
      <c r="Q49" s="5"/>
      <c r="R49" s="5"/>
      <c r="S49" s="5"/>
      <c r="T49" s="5"/>
      <c r="U49" s="5"/>
      <c r="V49" s="5"/>
      <c r="W49" s="5"/>
    </row>
    <row r="50" spans="1:23">
      <c r="A50" s="9">
        <v>4</v>
      </c>
      <c r="B50" s="9" t="s">
        <v>21</v>
      </c>
      <c r="C50" s="9"/>
      <c r="D50" s="133">
        <f>'Annual COP'!O9</f>
        <v>33.61</v>
      </c>
      <c r="E50" s="5"/>
      <c r="F50" s="5"/>
      <c r="G50" s="5"/>
      <c r="H50" s="5"/>
      <c r="I50" s="5"/>
      <c r="J50" s="5"/>
      <c r="K50" s="5"/>
      <c r="L50" s="5"/>
      <c r="M50" s="5"/>
      <c r="N50" s="5"/>
      <c r="O50" s="5"/>
      <c r="P50" s="5"/>
      <c r="Q50" s="5"/>
      <c r="R50" s="5"/>
      <c r="S50" s="5"/>
      <c r="T50" s="5"/>
      <c r="U50" s="5"/>
      <c r="V50" s="5"/>
      <c r="W50" s="5"/>
    </row>
    <row r="51" spans="1:23">
      <c r="A51" s="9">
        <v>5</v>
      </c>
      <c r="B51" s="9" t="s">
        <v>22</v>
      </c>
      <c r="C51" s="9"/>
      <c r="D51" s="133">
        <f>'Annual COP'!O11</f>
        <v>174.55493038600002</v>
      </c>
      <c r="E51" s="5"/>
      <c r="F51" s="5"/>
      <c r="G51" s="5"/>
      <c r="H51" s="5"/>
      <c r="I51" s="5"/>
      <c r="J51" s="5"/>
      <c r="K51" s="5"/>
      <c r="L51" s="5"/>
      <c r="M51" s="5"/>
      <c r="N51" s="5"/>
      <c r="O51" s="5"/>
      <c r="P51" s="5"/>
      <c r="Q51" s="5"/>
      <c r="R51" s="5"/>
      <c r="S51" s="5"/>
      <c r="T51" s="5"/>
      <c r="U51" s="5"/>
      <c r="V51" s="5"/>
      <c r="W51" s="5"/>
    </row>
    <row r="52" spans="1:23">
      <c r="A52" s="55" t="s">
        <v>7</v>
      </c>
      <c r="B52" s="55" t="s">
        <v>23</v>
      </c>
      <c r="C52" s="55"/>
      <c r="D52" s="132">
        <f>D53+D54</f>
        <v>30.397884374999997</v>
      </c>
      <c r="E52" s="5"/>
      <c r="F52" s="5"/>
      <c r="G52" s="5"/>
      <c r="H52" s="5"/>
      <c r="I52" s="5"/>
      <c r="J52" s="5"/>
      <c r="K52" s="5"/>
      <c r="L52" s="5"/>
      <c r="M52" s="5"/>
      <c r="N52" s="5"/>
      <c r="O52" s="5"/>
      <c r="P52" s="5"/>
      <c r="Q52" s="5"/>
      <c r="R52" s="5"/>
      <c r="S52" s="5"/>
      <c r="T52" s="5"/>
      <c r="U52" s="5"/>
      <c r="V52" s="5"/>
      <c r="W52" s="5"/>
    </row>
    <row r="53" spans="1:23" ht="26.25">
      <c r="A53" s="9">
        <v>6</v>
      </c>
      <c r="B53" s="9" t="s">
        <v>463</v>
      </c>
      <c r="C53" s="11">
        <v>1.4999999999999999E-2</v>
      </c>
      <c r="D53" s="133">
        <f>C53*Capex!D22</f>
        <v>26.530124999999998</v>
      </c>
      <c r="E53" s="5"/>
      <c r="F53" s="5"/>
      <c r="G53" s="5"/>
      <c r="H53" s="5"/>
      <c r="I53" s="5"/>
      <c r="J53" s="5"/>
      <c r="K53" s="5"/>
      <c r="L53" s="5"/>
      <c r="M53" s="5"/>
      <c r="N53" s="5"/>
      <c r="O53" s="5"/>
      <c r="P53" s="5"/>
      <c r="Q53" s="5"/>
      <c r="R53" s="5"/>
      <c r="S53" s="5"/>
      <c r="T53" s="5"/>
      <c r="U53" s="5"/>
      <c r="V53" s="5"/>
      <c r="W53" s="5"/>
    </row>
    <row r="54" spans="1:23">
      <c r="A54" s="9">
        <v>7</v>
      </c>
      <c r="B54" s="9" t="s">
        <v>90</v>
      </c>
      <c r="C54" s="11">
        <v>7.4999999999999997E-2</v>
      </c>
      <c r="D54" s="42">
        <f>C54*(D53+D48)</f>
        <v>3.8677593749999994</v>
      </c>
      <c r="E54" s="5"/>
      <c r="F54" s="5"/>
      <c r="G54" s="5"/>
      <c r="H54" s="5"/>
      <c r="I54" s="5"/>
      <c r="J54" s="5"/>
      <c r="K54" s="5"/>
      <c r="L54" s="5"/>
      <c r="M54" s="5"/>
      <c r="N54" s="5"/>
      <c r="O54" s="5"/>
      <c r="P54" s="5"/>
      <c r="Q54" s="5"/>
      <c r="R54" s="5"/>
      <c r="S54" s="5"/>
      <c r="T54" s="5"/>
      <c r="U54" s="5"/>
      <c r="V54" s="5"/>
      <c r="W54" s="5"/>
    </row>
    <row r="55" spans="1:23">
      <c r="A55" s="55" t="s">
        <v>24</v>
      </c>
      <c r="B55" s="55" t="s">
        <v>25</v>
      </c>
      <c r="C55" s="56"/>
      <c r="D55" s="132">
        <f>D57+D56</f>
        <v>70.503708719004294</v>
      </c>
      <c r="E55" s="5"/>
      <c r="F55" s="5"/>
      <c r="G55" s="5"/>
      <c r="H55" s="5"/>
      <c r="I55" s="5"/>
      <c r="J55" s="5"/>
      <c r="K55" s="5"/>
      <c r="L55" s="5"/>
      <c r="M55" s="5"/>
      <c r="N55" s="5"/>
      <c r="O55" s="5"/>
      <c r="P55" s="5"/>
      <c r="Q55" s="5"/>
      <c r="R55" s="5"/>
      <c r="S55" s="5"/>
      <c r="T55" s="5"/>
      <c r="U55" s="5"/>
      <c r="V55" s="5"/>
      <c r="W55" s="5"/>
    </row>
    <row r="56" spans="1:23">
      <c r="A56" s="9">
        <v>9</v>
      </c>
      <c r="B56" s="9" t="s">
        <v>525</v>
      </c>
      <c r="C56" s="11">
        <v>2.5000000000000001E-2</v>
      </c>
      <c r="D56" s="133">
        <f>Sales!E5*C56*0.8</f>
        <v>45.228509566875005</v>
      </c>
      <c r="E56" s="5"/>
      <c r="F56" s="5"/>
      <c r="G56" s="5"/>
      <c r="H56" s="5"/>
      <c r="I56" s="5"/>
      <c r="J56" s="5"/>
      <c r="K56" s="5"/>
      <c r="L56" s="5"/>
      <c r="M56" s="5"/>
      <c r="N56" s="5"/>
      <c r="O56" s="5"/>
      <c r="P56" s="5"/>
      <c r="Q56" s="5"/>
      <c r="R56" s="5"/>
      <c r="S56" s="5"/>
      <c r="T56" s="5"/>
      <c r="U56" s="5"/>
      <c r="V56" s="5"/>
      <c r="W56" s="5"/>
    </row>
    <row r="57" spans="1:23">
      <c r="A57" s="9">
        <v>10</v>
      </c>
      <c r="B57" s="9" t="s">
        <v>162</v>
      </c>
      <c r="C57" s="11">
        <v>1.4999999999999999E-2</v>
      </c>
      <c r="D57" s="133">
        <f>D43*C57</f>
        <v>25.275199152129286</v>
      </c>
      <c r="E57" s="5"/>
      <c r="F57" s="5"/>
      <c r="G57" s="5"/>
      <c r="H57" s="5"/>
      <c r="I57" s="5"/>
      <c r="J57" s="5"/>
      <c r="K57" s="5"/>
      <c r="L57" s="5"/>
      <c r="M57" s="5"/>
      <c r="N57" s="5"/>
      <c r="O57" s="5"/>
      <c r="P57" s="5"/>
      <c r="Q57" s="5"/>
      <c r="R57" s="5"/>
      <c r="S57" s="5"/>
      <c r="T57" s="5"/>
      <c r="U57" s="5"/>
      <c r="V57" s="5"/>
      <c r="W57" s="5"/>
    </row>
    <row r="58" spans="1:23">
      <c r="A58" s="10"/>
      <c r="B58" s="10" t="s">
        <v>34</v>
      </c>
      <c r="C58" s="10"/>
      <c r="D58" s="135">
        <f>D55+D43</f>
        <v>1755.5169855276235</v>
      </c>
    </row>
    <row r="60" spans="1:23">
      <c r="A60" s="1428" t="s">
        <v>608</v>
      </c>
      <c r="B60" s="1428"/>
      <c r="C60" s="1428"/>
      <c r="D60" s="1428"/>
      <c r="E60" s="5"/>
      <c r="F60" s="5"/>
      <c r="G60" s="5"/>
      <c r="H60" s="5"/>
      <c r="I60" s="5"/>
      <c r="J60" s="5"/>
      <c r="K60" s="5"/>
      <c r="L60" s="5"/>
      <c r="M60" s="5"/>
      <c r="N60" s="5"/>
      <c r="O60" s="5"/>
      <c r="P60" s="5"/>
      <c r="Q60" s="5"/>
      <c r="R60" s="5"/>
      <c r="S60" s="5"/>
      <c r="T60" s="5"/>
      <c r="U60" s="5"/>
      <c r="V60" s="5"/>
      <c r="W60" s="5"/>
    </row>
    <row r="61" spans="1:23">
      <c r="A61" s="134"/>
      <c r="B61" s="134" t="s">
        <v>431</v>
      </c>
      <c r="C61" s="134"/>
      <c r="D61" s="134" t="s">
        <v>123</v>
      </c>
      <c r="E61" s="711">
        <v>2028</v>
      </c>
      <c r="F61" s="711">
        <v>2029</v>
      </c>
      <c r="G61" s="711">
        <v>2030</v>
      </c>
      <c r="H61" s="711">
        <v>2031</v>
      </c>
      <c r="I61" s="711">
        <v>2032</v>
      </c>
      <c r="J61" s="711">
        <v>2033</v>
      </c>
      <c r="K61" s="711">
        <v>2034</v>
      </c>
      <c r="L61" s="711">
        <v>2035</v>
      </c>
      <c r="M61" s="711">
        <v>2036</v>
      </c>
      <c r="N61" s="711">
        <v>2037</v>
      </c>
      <c r="O61" s="711">
        <v>2038</v>
      </c>
      <c r="P61" s="711">
        <v>2039</v>
      </c>
      <c r="Q61" s="711">
        <v>2040</v>
      </c>
      <c r="R61" s="711">
        <v>2041</v>
      </c>
      <c r="S61" s="711">
        <v>2042</v>
      </c>
      <c r="T61" s="711">
        <v>2043</v>
      </c>
      <c r="U61" s="711">
        <v>2044</v>
      </c>
      <c r="V61" s="711">
        <v>2045</v>
      </c>
      <c r="W61" s="711">
        <v>2046</v>
      </c>
    </row>
    <row r="62" spans="1:23">
      <c r="A62" s="10" t="s">
        <v>12</v>
      </c>
      <c r="B62" s="10" t="s">
        <v>13</v>
      </c>
      <c r="C62" s="10"/>
      <c r="D62" s="135">
        <f>D63+D66+D68+D71</f>
        <v>2709.8582193949997</v>
      </c>
      <c r="E62" s="5"/>
      <c r="F62" s="5"/>
      <c r="G62" s="5"/>
      <c r="H62" s="5"/>
      <c r="I62" s="5"/>
      <c r="J62" s="5"/>
      <c r="K62" s="5"/>
      <c r="L62" s="5"/>
      <c r="M62" s="5"/>
      <c r="N62" s="5"/>
      <c r="O62" s="5"/>
      <c r="P62" s="5"/>
      <c r="Q62" s="5"/>
      <c r="R62" s="5"/>
      <c r="S62" s="5"/>
      <c r="T62" s="5"/>
      <c r="U62" s="5"/>
      <c r="V62" s="5"/>
      <c r="W62" s="5"/>
    </row>
    <row r="63" spans="1:23">
      <c r="A63" s="55" t="s">
        <v>14</v>
      </c>
      <c r="B63" s="55" t="s">
        <v>522</v>
      </c>
      <c r="C63" s="55"/>
      <c r="D63" s="132">
        <f>D64+D65</f>
        <v>2419.6827929999999</v>
      </c>
      <c r="E63" s="710">
        <f>D63+D63*1.2%</f>
        <v>2448.7189865159999</v>
      </c>
      <c r="F63" s="710">
        <f t="shared" ref="F63" si="35">E63+E63*1.2%</f>
        <v>2478.1036143541919</v>
      </c>
      <c r="G63" s="710">
        <f t="shared" ref="G63" si="36">F63+F63*1.2%</f>
        <v>2507.8408577264422</v>
      </c>
      <c r="H63" s="710">
        <f t="shared" ref="H63" si="37">G63+G63*1.2%</f>
        <v>2537.9349480191595</v>
      </c>
      <c r="I63" s="710">
        <f t="shared" ref="I63" si="38">H63+H63*1.2%</f>
        <v>2568.3901673953892</v>
      </c>
      <c r="J63" s="710">
        <f t="shared" ref="J63" si="39">I63+I63*1.2%</f>
        <v>2599.210849404134</v>
      </c>
      <c r="K63" s="710">
        <f t="shared" ref="K63" si="40">J63+J63*1.2%</f>
        <v>2630.4013795969836</v>
      </c>
      <c r="L63" s="710">
        <f t="shared" ref="L63" si="41">K63+K63*1.2%</f>
        <v>2661.9661961521474</v>
      </c>
      <c r="M63" s="710">
        <f t="shared" ref="M63" si="42">L63+L63*1.2%</f>
        <v>2693.909790505973</v>
      </c>
      <c r="N63" s="710">
        <f t="shared" ref="N63" si="43">M63+M63*1.2%</f>
        <v>2726.2367079920446</v>
      </c>
      <c r="O63" s="710">
        <f t="shared" ref="O63" si="44">N63+N63*1.2%</f>
        <v>2758.9515484879489</v>
      </c>
      <c r="P63" s="710">
        <f t="shared" ref="P63" si="45">O63+O63*1.2%</f>
        <v>2792.0589670698041</v>
      </c>
      <c r="Q63" s="710">
        <f t="shared" ref="Q63" si="46">P63+P63*1.2%</f>
        <v>2825.5636746746418</v>
      </c>
      <c r="R63" s="710">
        <f t="shared" ref="R63" si="47">Q63+Q63*1.2%</f>
        <v>2859.4704387707375</v>
      </c>
      <c r="S63" s="710">
        <f t="shared" ref="S63" si="48">R63+R63*1.2%</f>
        <v>2893.7840840359863</v>
      </c>
      <c r="T63" s="710">
        <f t="shared" ref="T63" si="49">S63+S63*1.2%</f>
        <v>2928.5094930444184</v>
      </c>
      <c r="U63" s="710">
        <f>T63+T63*1.2%</f>
        <v>2963.6516069609515</v>
      </c>
      <c r="V63" s="710">
        <f t="shared" ref="V63" si="50">U63+U63*1.2%</f>
        <v>2999.2154262444828</v>
      </c>
      <c r="W63" s="710">
        <f t="shared" ref="W63" si="51">V63+V63*1.2%</f>
        <v>3035.2060113594166</v>
      </c>
    </row>
    <row r="64" spans="1:23">
      <c r="A64" s="9">
        <v>1</v>
      </c>
      <c r="B64" s="9" t="s">
        <v>15</v>
      </c>
      <c r="C64" s="9" t="s">
        <v>16</v>
      </c>
      <c r="D64" s="133">
        <f>'Annual COP'!R8</f>
        <v>2321.7624999999998</v>
      </c>
      <c r="E64" s="5"/>
      <c r="F64" s="5"/>
      <c r="G64" s="5"/>
      <c r="H64" s="5"/>
      <c r="I64" s="5"/>
      <c r="J64" s="5"/>
      <c r="K64" s="5"/>
      <c r="L64" s="5"/>
      <c r="M64" s="5"/>
      <c r="N64" s="5"/>
      <c r="O64" s="5"/>
      <c r="P64" s="5"/>
      <c r="Q64" s="5"/>
      <c r="R64" s="5"/>
      <c r="S64" s="5"/>
      <c r="T64" s="5"/>
      <c r="U64" s="5"/>
      <c r="V64" s="5"/>
      <c r="W64" s="5"/>
    </row>
    <row r="65" spans="1:23">
      <c r="A65" s="9">
        <v>2</v>
      </c>
      <c r="B65" s="9" t="s">
        <v>17</v>
      </c>
      <c r="C65" s="9"/>
      <c r="D65" s="133">
        <f>'Annual COP'!R10</f>
        <v>97.920293000000001</v>
      </c>
      <c r="E65" s="5"/>
      <c r="F65" s="5"/>
      <c r="G65" s="5"/>
      <c r="H65" s="5"/>
      <c r="I65" s="5"/>
      <c r="J65" s="5"/>
      <c r="K65" s="5"/>
      <c r="L65" s="5"/>
      <c r="M65" s="5"/>
      <c r="N65" s="5"/>
      <c r="O65" s="5"/>
      <c r="P65" s="5"/>
      <c r="Q65" s="5"/>
      <c r="R65" s="5"/>
      <c r="S65" s="5"/>
      <c r="T65" s="5"/>
      <c r="U65" s="5"/>
      <c r="V65" s="5"/>
      <c r="W65" s="5"/>
    </row>
    <row r="66" spans="1:23">
      <c r="A66" s="55" t="s">
        <v>5</v>
      </c>
      <c r="B66" s="55" t="s">
        <v>18</v>
      </c>
      <c r="C66" s="55"/>
      <c r="D66" s="132">
        <f>D67</f>
        <v>26.91</v>
      </c>
      <c r="E66" s="5"/>
      <c r="F66" s="5"/>
      <c r="G66" s="5"/>
      <c r="H66" s="5"/>
      <c r="I66" s="5"/>
      <c r="J66" s="5"/>
      <c r="K66" s="5"/>
      <c r="L66" s="5"/>
      <c r="M66" s="5"/>
      <c r="N66" s="5"/>
      <c r="O66" s="5"/>
      <c r="P66" s="5"/>
      <c r="Q66" s="5"/>
      <c r="R66" s="5"/>
      <c r="S66" s="5"/>
      <c r="T66" s="5"/>
      <c r="U66" s="5"/>
      <c r="V66" s="5"/>
      <c r="W66" s="5"/>
    </row>
    <row r="67" spans="1:23">
      <c r="A67" s="9">
        <v>3</v>
      </c>
      <c r="B67" s="9" t="s">
        <v>19</v>
      </c>
      <c r="C67" s="9" t="s">
        <v>16</v>
      </c>
      <c r="D67" s="133">
        <f>'Annual COP'!R16</f>
        <v>26.91</v>
      </c>
      <c r="E67" s="5"/>
      <c r="F67" s="5"/>
      <c r="G67" s="5"/>
      <c r="H67" s="5"/>
      <c r="I67" s="5"/>
      <c r="J67" s="5"/>
      <c r="K67" s="5"/>
      <c r="L67" s="5"/>
      <c r="M67" s="5"/>
      <c r="N67" s="5"/>
      <c r="O67" s="5"/>
      <c r="P67" s="5"/>
      <c r="Q67" s="5"/>
      <c r="R67" s="5"/>
      <c r="S67" s="5"/>
      <c r="T67" s="5"/>
      <c r="U67" s="5"/>
      <c r="V67" s="5"/>
      <c r="W67" s="5"/>
    </row>
    <row r="68" spans="1:23">
      <c r="A68" s="55" t="s">
        <v>6</v>
      </c>
      <c r="B68" s="55" t="s">
        <v>20</v>
      </c>
      <c r="C68" s="55"/>
      <c r="D68" s="132">
        <f>D70+D69</f>
        <v>232.72729202000002</v>
      </c>
      <c r="E68" s="5"/>
      <c r="F68" s="5"/>
      <c r="G68" s="5"/>
      <c r="H68" s="5"/>
      <c r="I68" s="5"/>
      <c r="J68" s="5"/>
      <c r="K68" s="5"/>
      <c r="L68" s="5"/>
      <c r="M68" s="5"/>
      <c r="N68" s="5"/>
      <c r="O68" s="5"/>
      <c r="P68" s="5"/>
      <c r="Q68" s="5"/>
      <c r="R68" s="5"/>
      <c r="S68" s="5"/>
      <c r="T68" s="5"/>
      <c r="U68" s="5"/>
      <c r="V68" s="5"/>
      <c r="W68" s="5"/>
    </row>
    <row r="69" spans="1:23">
      <c r="A69" s="9">
        <v>4</v>
      </c>
      <c r="B69" s="9" t="s">
        <v>21</v>
      </c>
      <c r="C69" s="9"/>
      <c r="D69" s="133">
        <f>'Annual COP'!R9</f>
        <v>30.77</v>
      </c>
      <c r="E69" s="5"/>
      <c r="F69" s="5"/>
      <c r="G69" s="5"/>
      <c r="H69" s="5"/>
      <c r="I69" s="5"/>
      <c r="J69" s="5"/>
      <c r="K69" s="5"/>
      <c r="L69" s="5"/>
      <c r="M69" s="5"/>
      <c r="N69" s="5"/>
      <c r="O69" s="5"/>
      <c r="P69" s="5"/>
      <c r="Q69" s="5"/>
      <c r="R69" s="5"/>
      <c r="S69" s="5"/>
      <c r="T69" s="5"/>
      <c r="U69" s="5"/>
      <c r="V69" s="5"/>
      <c r="W69" s="5"/>
    </row>
    <row r="70" spans="1:23">
      <c r="A70" s="9">
        <v>5</v>
      </c>
      <c r="B70" s="9" t="s">
        <v>22</v>
      </c>
      <c r="C70" s="9"/>
      <c r="D70" s="133">
        <f>'Annual COP'!R11</f>
        <v>201.95729202000001</v>
      </c>
      <c r="E70" s="5"/>
      <c r="F70" s="5"/>
      <c r="G70" s="5"/>
      <c r="H70" s="5"/>
      <c r="I70" s="5"/>
      <c r="J70" s="5"/>
      <c r="K70" s="5"/>
      <c r="L70" s="5"/>
      <c r="M70" s="5"/>
      <c r="N70" s="5"/>
      <c r="O70" s="5"/>
      <c r="P70" s="5"/>
      <c r="Q70" s="5"/>
      <c r="R70" s="5"/>
      <c r="S70" s="5"/>
      <c r="T70" s="5"/>
      <c r="U70" s="5"/>
      <c r="V70" s="5"/>
      <c r="W70" s="5"/>
    </row>
    <row r="71" spans="1:23">
      <c r="A71" s="55" t="s">
        <v>7</v>
      </c>
      <c r="B71" s="55" t="s">
        <v>23</v>
      </c>
      <c r="C71" s="55"/>
      <c r="D71" s="132">
        <f>D72+D73</f>
        <v>30.538134374999998</v>
      </c>
      <c r="E71" s="5"/>
      <c r="F71" s="5"/>
      <c r="G71" s="5"/>
      <c r="H71" s="5"/>
      <c r="I71" s="5"/>
      <c r="J71" s="5"/>
      <c r="K71" s="5"/>
      <c r="L71" s="5"/>
      <c r="M71" s="5"/>
      <c r="N71" s="5"/>
      <c r="O71" s="5"/>
      <c r="P71" s="5"/>
      <c r="Q71" s="5"/>
      <c r="R71" s="5"/>
      <c r="S71" s="5"/>
      <c r="T71" s="5"/>
      <c r="U71" s="5"/>
      <c r="V71" s="5"/>
      <c r="W71" s="5"/>
    </row>
    <row r="72" spans="1:23" ht="26.25">
      <c r="A72" s="9">
        <v>6</v>
      </c>
      <c r="B72" s="9" t="s">
        <v>463</v>
      </c>
      <c r="C72" s="11">
        <v>1.4999999999999999E-2</v>
      </c>
      <c r="D72" s="133">
        <f>D13</f>
        <v>26.530124999999998</v>
      </c>
      <c r="E72" s="5"/>
      <c r="F72" s="5"/>
      <c r="G72" s="5"/>
      <c r="H72" s="5"/>
      <c r="I72" s="5"/>
      <c r="J72" s="5"/>
      <c r="K72" s="5"/>
      <c r="L72" s="5"/>
      <c r="M72" s="5"/>
      <c r="N72" s="5"/>
      <c r="O72" s="5"/>
      <c r="P72" s="5"/>
      <c r="Q72" s="5"/>
      <c r="R72" s="5"/>
      <c r="S72" s="5"/>
      <c r="T72" s="5"/>
      <c r="U72" s="5"/>
      <c r="V72" s="5"/>
      <c r="W72" s="5"/>
    </row>
    <row r="73" spans="1:23">
      <c r="A73" s="9">
        <v>7</v>
      </c>
      <c r="B73" s="9" t="s">
        <v>90</v>
      </c>
      <c r="C73" s="11">
        <v>7.4999999999999997E-2</v>
      </c>
      <c r="D73" s="42">
        <f>C73*(D72+D67)</f>
        <v>4.0080093749999994</v>
      </c>
      <c r="E73" s="5"/>
      <c r="F73" s="5"/>
      <c r="G73" s="5"/>
      <c r="H73" s="5"/>
      <c r="I73" s="5"/>
      <c r="J73" s="5"/>
      <c r="K73" s="5"/>
      <c r="L73" s="5"/>
      <c r="M73" s="5"/>
      <c r="N73" s="5"/>
      <c r="O73" s="5"/>
      <c r="P73" s="5"/>
      <c r="Q73" s="5"/>
      <c r="R73" s="5"/>
      <c r="S73" s="5"/>
      <c r="T73" s="5"/>
      <c r="U73" s="5"/>
      <c r="V73" s="5"/>
      <c r="W73" s="5"/>
    </row>
    <row r="74" spans="1:23">
      <c r="A74" s="55" t="s">
        <v>24</v>
      </c>
      <c r="B74" s="55" t="s">
        <v>25</v>
      </c>
      <c r="C74" s="56"/>
      <c r="D74" s="132">
        <f>D76+D75</f>
        <v>153.7191472081125</v>
      </c>
      <c r="E74" s="5"/>
      <c r="F74" s="5"/>
      <c r="G74" s="5"/>
      <c r="H74" s="5"/>
      <c r="I74" s="5"/>
      <c r="J74" s="5"/>
      <c r="K74" s="5"/>
      <c r="L74" s="5"/>
      <c r="M74" s="5"/>
      <c r="N74" s="5"/>
      <c r="O74" s="5"/>
      <c r="P74" s="5"/>
      <c r="Q74" s="5"/>
      <c r="R74" s="5"/>
      <c r="S74" s="5"/>
      <c r="T74" s="5"/>
      <c r="U74" s="5"/>
      <c r="V74" s="5"/>
      <c r="W74" s="5"/>
    </row>
    <row r="75" spans="1:23">
      <c r="A75" s="9">
        <v>9</v>
      </c>
      <c r="B75" s="9" t="s">
        <v>525</v>
      </c>
      <c r="C75" s="11">
        <v>2.5000000000000001E-2</v>
      </c>
      <c r="D75" s="133">
        <f>D16*2</f>
        <v>113.07127391718751</v>
      </c>
      <c r="E75" s="5"/>
      <c r="F75" s="5"/>
      <c r="G75" s="5"/>
      <c r="H75" s="5"/>
      <c r="I75" s="5"/>
      <c r="J75" s="5"/>
      <c r="K75" s="5"/>
      <c r="L75" s="5"/>
      <c r="M75" s="5"/>
      <c r="N75" s="5"/>
      <c r="O75" s="5"/>
      <c r="P75" s="5"/>
      <c r="Q75" s="5"/>
      <c r="R75" s="5"/>
      <c r="S75" s="5"/>
      <c r="T75" s="5"/>
      <c r="U75" s="5"/>
      <c r="V75" s="5"/>
      <c r="W75" s="5"/>
    </row>
    <row r="76" spans="1:23">
      <c r="A76" s="9">
        <v>10</v>
      </c>
      <c r="B76" s="9" t="s">
        <v>162</v>
      </c>
      <c r="C76" s="11">
        <v>1.4999999999999999E-2</v>
      </c>
      <c r="D76" s="133">
        <f>D62*C76</f>
        <v>40.647873290924991</v>
      </c>
      <c r="E76" s="5"/>
      <c r="F76" s="5"/>
      <c r="G76" s="5"/>
      <c r="H76" s="5"/>
      <c r="I76" s="5"/>
      <c r="J76" s="5"/>
      <c r="K76" s="5"/>
      <c r="L76" s="5"/>
      <c r="M76" s="5"/>
      <c r="N76" s="5"/>
      <c r="O76" s="5"/>
      <c r="P76" s="5"/>
      <c r="Q76" s="5"/>
      <c r="R76" s="5"/>
      <c r="S76" s="5"/>
      <c r="T76" s="5"/>
      <c r="U76" s="5"/>
      <c r="V76" s="5"/>
      <c r="W76" s="5"/>
    </row>
    <row r="77" spans="1:23">
      <c r="A77" s="10"/>
      <c r="B77" s="10" t="s">
        <v>34</v>
      </c>
      <c r="C77" s="10"/>
      <c r="D77" s="135">
        <f>D74+D62</f>
        <v>2863.5773666031123</v>
      </c>
      <c r="E77" s="5"/>
      <c r="F77" s="5"/>
      <c r="G77" s="5"/>
      <c r="H77" s="5"/>
      <c r="I77" s="5"/>
      <c r="J77" s="5"/>
      <c r="K77" s="5"/>
      <c r="L77" s="5"/>
      <c r="M77" s="5"/>
      <c r="N77" s="5"/>
      <c r="O77" s="5"/>
      <c r="P77" s="5"/>
      <c r="Q77" s="5"/>
      <c r="R77" s="5"/>
      <c r="S77" s="5"/>
      <c r="T77" s="5"/>
      <c r="U77" s="5"/>
      <c r="V77" s="5"/>
      <c r="W77" s="5"/>
    </row>
    <row r="78" spans="1:23" hidden="1"/>
    <row r="79" spans="1:23" s="5" customFormat="1" hidden="1">
      <c r="A79" s="1428">
        <f>Scenario!C79</f>
        <v>0</v>
      </c>
      <c r="B79" s="1428"/>
      <c r="C79" s="1428"/>
      <c r="D79" s="1428"/>
    </row>
    <row r="80" spans="1:23" s="5" customFormat="1" hidden="1">
      <c r="A80" s="134"/>
      <c r="B80" s="134" t="s">
        <v>431</v>
      </c>
      <c r="C80" s="134"/>
      <c r="D80" s="134" t="s">
        <v>123</v>
      </c>
      <c r="E80" s="711">
        <v>2028</v>
      </c>
      <c r="F80" s="711">
        <v>2029</v>
      </c>
      <c r="G80" s="711">
        <v>2030</v>
      </c>
      <c r="H80" s="711">
        <v>2031</v>
      </c>
      <c r="I80" s="711">
        <v>2032</v>
      </c>
      <c r="J80" s="711">
        <v>2033</v>
      </c>
      <c r="K80" s="711">
        <v>2034</v>
      </c>
      <c r="L80" s="711">
        <v>2035</v>
      </c>
      <c r="M80" s="711">
        <v>2036</v>
      </c>
      <c r="N80" s="711">
        <v>2037</v>
      </c>
      <c r="O80" s="711">
        <v>2038</v>
      </c>
      <c r="P80" s="711">
        <v>2039</v>
      </c>
      <c r="Q80" s="711">
        <v>2040</v>
      </c>
      <c r="R80" s="711">
        <v>2041</v>
      </c>
      <c r="S80" s="711">
        <v>2042</v>
      </c>
      <c r="T80" s="711">
        <v>2043</v>
      </c>
      <c r="U80" s="711">
        <v>2044</v>
      </c>
      <c r="V80" s="711">
        <v>2045</v>
      </c>
      <c r="W80" s="711">
        <v>2046</v>
      </c>
    </row>
    <row r="81" spans="1:23" s="5" customFormat="1" hidden="1">
      <c r="A81" s="10" t="s">
        <v>12</v>
      </c>
      <c r="B81" s="10" t="s">
        <v>13</v>
      </c>
      <c r="C81" s="10"/>
      <c r="D81" s="135">
        <f>D82+D85+D87+D90</f>
        <v>0</v>
      </c>
    </row>
    <row r="82" spans="1:23" s="5" customFormat="1" hidden="1">
      <c r="A82" s="55" t="s">
        <v>14</v>
      </c>
      <c r="B82" s="55" t="s">
        <v>522</v>
      </c>
      <c r="C82" s="55"/>
      <c r="D82" s="132">
        <f>D83+D84</f>
        <v>0</v>
      </c>
      <c r="E82" s="710">
        <f>D82+D82*1.2%</f>
        <v>0</v>
      </c>
      <c r="F82" s="710">
        <f t="shared" ref="F82" si="52">E82+E82*1.2%</f>
        <v>0</v>
      </c>
      <c r="G82" s="710">
        <f t="shared" ref="G82" si="53">F82+F82*1.2%</f>
        <v>0</v>
      </c>
      <c r="H82" s="710">
        <f t="shared" ref="H82" si="54">G82+G82*1.2%</f>
        <v>0</v>
      </c>
      <c r="I82" s="710">
        <f t="shared" ref="I82" si="55">H82+H82*1.2%</f>
        <v>0</v>
      </c>
      <c r="J82" s="710">
        <f t="shared" ref="J82" si="56">I82+I82*1.2%</f>
        <v>0</v>
      </c>
      <c r="K82" s="710">
        <f t="shared" ref="K82" si="57">J82+J82*1.2%</f>
        <v>0</v>
      </c>
      <c r="L82" s="710">
        <f t="shared" ref="L82" si="58">K82+K82*1.2%</f>
        <v>0</v>
      </c>
      <c r="M82" s="710">
        <f t="shared" ref="M82" si="59">L82+L82*1.2%</f>
        <v>0</v>
      </c>
      <c r="N82" s="710">
        <f t="shared" ref="N82" si="60">M82+M82*1.2%</f>
        <v>0</v>
      </c>
      <c r="O82" s="710">
        <f t="shared" ref="O82" si="61">N82+N82*1.2%</f>
        <v>0</v>
      </c>
      <c r="P82" s="710">
        <f t="shared" ref="P82" si="62">O82+O82*1.2%</f>
        <v>0</v>
      </c>
      <c r="Q82" s="710">
        <f t="shared" ref="Q82" si="63">P82+P82*1.2%</f>
        <v>0</v>
      </c>
      <c r="R82" s="710">
        <f t="shared" ref="R82" si="64">Q82+Q82*1.2%</f>
        <v>0</v>
      </c>
      <c r="S82" s="710">
        <f t="shared" ref="S82" si="65">R82+R82*1.2%</f>
        <v>0</v>
      </c>
      <c r="T82" s="710">
        <f t="shared" ref="T82" si="66">S82+S82*1.2%</f>
        <v>0</v>
      </c>
      <c r="U82" s="710">
        <f>T82+T82*1.2%</f>
        <v>0</v>
      </c>
      <c r="V82" s="710">
        <f t="shared" ref="V82" si="67">U82+U82*1.2%</f>
        <v>0</v>
      </c>
      <c r="W82" s="710">
        <f t="shared" ref="W82" si="68">V82+V82*1.2%</f>
        <v>0</v>
      </c>
    </row>
    <row r="83" spans="1:23" s="5" customFormat="1" hidden="1">
      <c r="A83" s="9">
        <v>1</v>
      </c>
      <c r="B83" s="9" t="s">
        <v>15</v>
      </c>
      <c r="C83" s="9" t="s">
        <v>16</v>
      </c>
      <c r="D83" s="133">
        <f>'Annual COP'!I86</f>
        <v>0</v>
      </c>
    </row>
    <row r="84" spans="1:23" s="5" customFormat="1" hidden="1">
      <c r="A84" s="9">
        <v>2</v>
      </c>
      <c r="B84" s="9" t="s">
        <v>17</v>
      </c>
      <c r="C84" s="9"/>
      <c r="D84" s="133">
        <f>'Annual COP'!I88</f>
        <v>0</v>
      </c>
    </row>
    <row r="85" spans="1:23" s="5" customFormat="1" hidden="1">
      <c r="A85" s="55" t="s">
        <v>5</v>
      </c>
      <c r="B85" s="55" t="s">
        <v>18</v>
      </c>
      <c r="C85" s="55"/>
      <c r="D85" s="132">
        <f>D86</f>
        <v>0</v>
      </c>
    </row>
    <row r="86" spans="1:23" s="5" customFormat="1" hidden="1">
      <c r="A86" s="9">
        <v>3</v>
      </c>
      <c r="B86" s="9" t="s">
        <v>19</v>
      </c>
      <c r="C86" s="9" t="s">
        <v>16</v>
      </c>
      <c r="D86" s="133">
        <f>'Annual COP'!I94</f>
        <v>0</v>
      </c>
    </row>
    <row r="87" spans="1:23" s="5" customFormat="1" hidden="1">
      <c r="A87" s="55" t="s">
        <v>6</v>
      </c>
      <c r="B87" s="55" t="s">
        <v>20</v>
      </c>
      <c r="C87" s="55"/>
      <c r="D87" s="132">
        <f>D89+D88</f>
        <v>0</v>
      </c>
    </row>
    <row r="88" spans="1:23" s="5" customFormat="1" hidden="1">
      <c r="A88" s="9">
        <v>4</v>
      </c>
      <c r="B88" s="9" t="s">
        <v>21</v>
      </c>
      <c r="C88" s="9"/>
      <c r="D88" s="133">
        <f>'Annual COP'!I87</f>
        <v>0</v>
      </c>
    </row>
    <row r="89" spans="1:23" s="5" customFormat="1" hidden="1">
      <c r="A89" s="9">
        <v>5</v>
      </c>
      <c r="B89" s="9" t="s">
        <v>22</v>
      </c>
      <c r="C89" s="9"/>
      <c r="D89" s="133">
        <f>'Annual COP'!I89</f>
        <v>0</v>
      </c>
    </row>
    <row r="90" spans="1:23" s="5" customFormat="1" hidden="1">
      <c r="A90" s="55" t="s">
        <v>7</v>
      </c>
      <c r="B90" s="55" t="s">
        <v>23</v>
      </c>
      <c r="C90" s="55"/>
      <c r="D90" s="132">
        <f>D91+D92</f>
        <v>0</v>
      </c>
    </row>
    <row r="91" spans="1:23" s="5" customFormat="1" ht="26.25" hidden="1">
      <c r="A91" s="9">
        <v>6</v>
      </c>
      <c r="B91" s="9" t="s">
        <v>463</v>
      </c>
      <c r="C91" s="11">
        <v>1.4999999999999999E-2</v>
      </c>
      <c r="D91" s="133">
        <f>C91*Capex!D100</f>
        <v>0</v>
      </c>
    </row>
    <row r="92" spans="1:23" s="5" customFormat="1" hidden="1">
      <c r="A92" s="9">
        <v>7</v>
      </c>
      <c r="B92" s="9" t="s">
        <v>90</v>
      </c>
      <c r="C92" s="11">
        <v>7.4999999999999997E-2</v>
      </c>
      <c r="D92" s="42">
        <f>C92*(D91+D86)</f>
        <v>0</v>
      </c>
    </row>
    <row r="93" spans="1:23" s="5" customFormat="1" hidden="1">
      <c r="A93" s="55" t="s">
        <v>24</v>
      </c>
      <c r="B93" s="55" t="s">
        <v>25</v>
      </c>
      <c r="C93" s="56"/>
      <c r="D93" s="132">
        <f>D95+D94</f>
        <v>0</v>
      </c>
    </row>
    <row r="94" spans="1:23" s="5" customFormat="1" hidden="1">
      <c r="A94" s="9">
        <v>9</v>
      </c>
      <c r="B94" s="9" t="s">
        <v>525</v>
      </c>
      <c r="C94" s="11">
        <v>2.5000000000000001E-2</v>
      </c>
      <c r="D94" s="133">
        <f>Sales!E83*C94</f>
        <v>0</v>
      </c>
    </row>
    <row r="95" spans="1:23" s="5" customFormat="1" hidden="1">
      <c r="A95" s="9">
        <v>10</v>
      </c>
      <c r="B95" s="9" t="s">
        <v>162</v>
      </c>
      <c r="C95" s="11">
        <v>1.4999999999999999E-2</v>
      </c>
      <c r="D95" s="133">
        <f>D81*C95</f>
        <v>0</v>
      </c>
    </row>
    <row r="96" spans="1:23" s="5" customFormat="1" hidden="1">
      <c r="A96" s="10"/>
      <c r="B96" s="10" t="s">
        <v>34</v>
      </c>
      <c r="C96" s="10"/>
      <c r="D96" s="135">
        <f>D93+D81</f>
        <v>0</v>
      </c>
    </row>
    <row r="97" hidden="1"/>
    <row r="98" hidden="1"/>
  </sheetData>
  <mergeCells count="5">
    <mergeCell ref="A1:D1"/>
    <mergeCell ref="A21:D21"/>
    <mergeCell ref="A41:D41"/>
    <mergeCell ref="A60:D60"/>
    <mergeCell ref="A79:D79"/>
  </mergeCells>
  <phoneticPr fontId="45" type="noConversion"/>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
  <dimension ref="A1:XFD73"/>
  <sheetViews>
    <sheetView showGridLines="0" topLeftCell="B1" zoomScale="93" zoomScaleNormal="93" workbookViewId="0">
      <pane ySplit="10" topLeftCell="A11" activePane="bottomLeft" state="frozen"/>
      <selection activeCell="G33" sqref="G33"/>
      <selection pane="bottomLeft" activeCell="K11" sqref="K11"/>
    </sheetView>
  </sheetViews>
  <sheetFormatPr defaultColWidth="8.7109375" defaultRowHeight="12.75"/>
  <cols>
    <col min="1" max="1" width="8.85546875" style="596" bestFit="1" customWidth="1"/>
    <col min="2" max="2" width="76.5703125" style="25" customWidth="1"/>
    <col min="3" max="3" width="15.140625" style="25" customWidth="1"/>
    <col min="4" max="4" width="10.28515625" style="25" customWidth="1"/>
    <col min="5" max="5" width="8.140625" style="25" customWidth="1"/>
    <col min="6" max="6" width="13.7109375" style="25" customWidth="1"/>
    <col min="7" max="7" width="23.42578125" style="25" customWidth="1"/>
    <col min="8" max="8" width="21.140625" style="133" customWidth="1"/>
    <col min="9" max="10" width="14" style="133" customWidth="1"/>
    <col min="11" max="11" width="16" style="133" customWidth="1"/>
    <col min="12" max="12" width="18.5703125" style="133" bestFit="1" customWidth="1"/>
    <col min="13" max="17" width="18.7109375" style="133" bestFit="1" customWidth="1"/>
    <col min="18" max="18" width="15" style="133" customWidth="1"/>
    <col min="19" max="19" width="16.28515625" style="133" customWidth="1"/>
    <col min="20" max="20" width="16.42578125" style="133" customWidth="1"/>
    <col min="21" max="21" width="18" style="133" customWidth="1"/>
    <col min="22" max="22" width="18.7109375" style="133" customWidth="1"/>
    <col min="23" max="23" width="19.140625" style="133" customWidth="1"/>
    <col min="24" max="24" width="20.42578125" style="133" customWidth="1"/>
    <col min="25" max="25" width="19" style="133" customWidth="1"/>
    <col min="26" max="27" width="19.28515625" style="133" customWidth="1"/>
    <col min="28" max="16384" width="8.7109375" style="25"/>
  </cols>
  <sheetData>
    <row r="1" spans="1:27 16384:16384" ht="15" customHeight="1">
      <c r="A1" s="1438" t="str">
        <f>Opex!A1</f>
        <v>Option 1 : Capacity of 200 KTPA Phenol and 123 KTPA Acetone capacity (Propane Furnace Additional)</v>
      </c>
      <c r="B1" s="1439"/>
      <c r="C1" s="1439"/>
      <c r="D1" s="1439"/>
      <c r="E1" s="1439"/>
      <c r="F1" s="1439"/>
      <c r="G1" s="1439"/>
      <c r="H1" s="1439"/>
      <c r="XFD1">
        <v>2023</v>
      </c>
    </row>
    <row r="2" spans="1:27 16384:16384" ht="15">
      <c r="A2" s="1440" t="s">
        <v>457</v>
      </c>
      <c r="B2" s="1441"/>
      <c r="C2" s="723">
        <v>1</v>
      </c>
      <c r="D2" s="723">
        <v>2</v>
      </c>
      <c r="E2" s="723">
        <v>3</v>
      </c>
      <c r="F2" s="723">
        <v>4</v>
      </c>
      <c r="G2" s="723"/>
      <c r="H2" s="723">
        <v>5</v>
      </c>
      <c r="I2" s="723">
        <v>6</v>
      </c>
      <c r="J2" s="723">
        <v>7</v>
      </c>
      <c r="K2" s="723">
        <v>8</v>
      </c>
      <c r="L2" s="723">
        <v>9</v>
      </c>
      <c r="M2" s="723">
        <v>10</v>
      </c>
      <c r="N2" s="723">
        <v>11</v>
      </c>
      <c r="O2" s="723">
        <v>12</v>
      </c>
      <c r="P2" s="723">
        <v>13</v>
      </c>
      <c r="Q2" s="723">
        <v>14</v>
      </c>
      <c r="R2" s="724">
        <v>15</v>
      </c>
      <c r="S2" s="723">
        <v>16</v>
      </c>
      <c r="T2" s="723">
        <v>17</v>
      </c>
      <c r="U2" s="723">
        <v>18</v>
      </c>
      <c r="V2" s="723">
        <v>19</v>
      </c>
      <c r="W2" s="723">
        <v>20</v>
      </c>
      <c r="X2" s="723">
        <v>21</v>
      </c>
      <c r="Y2" s="723">
        <v>22</v>
      </c>
      <c r="Z2" s="723">
        <v>23</v>
      </c>
      <c r="AA2" s="725">
        <v>24</v>
      </c>
      <c r="XFD2">
        <v>2024</v>
      </c>
    </row>
    <row r="3" spans="1:27 16384:16384" ht="12" customHeight="1">
      <c r="A3" s="1442" t="s">
        <v>458</v>
      </c>
      <c r="B3" s="1443"/>
      <c r="C3" s="726"/>
      <c r="D3" s="726"/>
      <c r="E3" s="726"/>
      <c r="F3" s="726"/>
      <c r="G3" s="726"/>
      <c r="H3" s="727">
        <v>0.9</v>
      </c>
      <c r="I3" s="727">
        <v>1</v>
      </c>
      <c r="J3" s="727">
        <v>1</v>
      </c>
      <c r="K3" s="727">
        <v>1</v>
      </c>
      <c r="L3" s="727">
        <v>1</v>
      </c>
      <c r="M3" s="727">
        <v>1</v>
      </c>
      <c r="N3" s="727">
        <v>1</v>
      </c>
      <c r="O3" s="727">
        <v>1</v>
      </c>
      <c r="P3" s="727">
        <v>1</v>
      </c>
      <c r="Q3" s="727">
        <v>1</v>
      </c>
      <c r="R3" s="728">
        <v>1</v>
      </c>
      <c r="S3" s="727">
        <v>1</v>
      </c>
      <c r="T3" s="727">
        <v>1</v>
      </c>
      <c r="U3" s="727">
        <v>1</v>
      </c>
      <c r="V3" s="727">
        <v>1</v>
      </c>
      <c r="W3" s="727">
        <v>1</v>
      </c>
      <c r="X3" s="727">
        <v>1</v>
      </c>
      <c r="Y3" s="727">
        <v>1</v>
      </c>
      <c r="Z3" s="727">
        <v>1</v>
      </c>
      <c r="AA3" s="729">
        <v>1</v>
      </c>
      <c r="XFD3">
        <v>2025</v>
      </c>
    </row>
    <row r="4" spans="1:27 16384:16384" s="730" customFormat="1" ht="15" customHeight="1">
      <c r="A4" s="1444"/>
      <c r="B4" s="621" t="s">
        <v>27</v>
      </c>
      <c r="C4" s="621"/>
      <c r="D4" s="621"/>
      <c r="E4" s="621"/>
      <c r="F4" s="621"/>
      <c r="G4" s="622"/>
      <c r="H4" s="1431" t="s">
        <v>28</v>
      </c>
      <c r="I4" s="1431"/>
      <c r="J4" s="1431"/>
      <c r="K4" s="1431"/>
      <c r="L4" s="1431"/>
      <c r="M4" s="1431"/>
      <c r="N4" s="1431"/>
      <c r="O4" s="1431"/>
      <c r="P4" s="1431"/>
      <c r="Q4" s="1431"/>
      <c r="R4" s="1430" t="s">
        <v>28</v>
      </c>
      <c r="S4" s="1431"/>
      <c r="T4" s="1431"/>
      <c r="U4" s="1431"/>
      <c r="V4" s="1431"/>
      <c r="W4" s="1431"/>
      <c r="X4" s="1431"/>
      <c r="Y4" s="1431"/>
      <c r="Z4" s="1431"/>
      <c r="AA4" s="1432"/>
      <c r="XFD4">
        <v>2026</v>
      </c>
    </row>
    <row r="5" spans="1:27 16384:16384" s="730" customFormat="1" ht="15" customHeight="1">
      <c r="A5" s="1445"/>
      <c r="B5" s="1433" t="s">
        <v>29</v>
      </c>
      <c r="C5" s="623">
        <v>2023</v>
      </c>
      <c r="D5" s="623">
        <v>2024</v>
      </c>
      <c r="E5" s="623">
        <v>2025</v>
      </c>
      <c r="F5" s="623">
        <v>2026</v>
      </c>
      <c r="G5" s="623" t="s">
        <v>172</v>
      </c>
      <c r="H5" s="623">
        <v>2027</v>
      </c>
      <c r="I5" s="623">
        <v>2028</v>
      </c>
      <c r="J5" s="623">
        <v>2029</v>
      </c>
      <c r="K5" s="623">
        <v>2030</v>
      </c>
      <c r="L5" s="623">
        <v>2031</v>
      </c>
      <c r="M5" s="623">
        <v>2032</v>
      </c>
      <c r="N5" s="623">
        <v>2033</v>
      </c>
      <c r="O5" s="623">
        <v>2034</v>
      </c>
      <c r="P5" s="623">
        <v>2035</v>
      </c>
      <c r="Q5" s="623">
        <v>2036</v>
      </c>
      <c r="R5" s="623">
        <v>2037</v>
      </c>
      <c r="S5" s="623">
        <v>2038</v>
      </c>
      <c r="T5" s="623">
        <v>2039</v>
      </c>
      <c r="U5" s="623">
        <v>2040</v>
      </c>
      <c r="V5" s="623">
        <v>2041</v>
      </c>
      <c r="W5" s="623">
        <v>2042</v>
      </c>
      <c r="X5" s="623">
        <v>2043</v>
      </c>
      <c r="Y5" s="623">
        <v>2044</v>
      </c>
      <c r="Z5" s="623">
        <v>2045</v>
      </c>
      <c r="AA5" s="623">
        <v>2046</v>
      </c>
      <c r="XFD5">
        <v>2027</v>
      </c>
    </row>
    <row r="6" spans="1:27 16384:16384" ht="15">
      <c r="A6" s="1446"/>
      <c r="B6" s="1434"/>
      <c r="C6" s="625">
        <v>0.05</v>
      </c>
      <c r="D6" s="625">
        <v>0.25</v>
      </c>
      <c r="E6" s="625">
        <v>0.35</v>
      </c>
      <c r="F6" s="625">
        <v>0.35</v>
      </c>
      <c r="G6" s="626"/>
      <c r="H6" s="627"/>
      <c r="I6" s="627"/>
      <c r="J6" s="627"/>
      <c r="K6" s="627"/>
      <c r="L6" s="627"/>
      <c r="M6" s="627"/>
      <c r="N6" s="628"/>
      <c r="O6" s="627"/>
      <c r="P6" s="628"/>
      <c r="Q6" s="627"/>
      <c r="R6" s="731"/>
      <c r="S6" s="732"/>
      <c r="T6" s="732"/>
      <c r="U6" s="732"/>
      <c r="V6" s="732"/>
      <c r="W6" s="732"/>
      <c r="X6" s="732"/>
      <c r="Y6" s="732"/>
      <c r="Z6" s="732"/>
      <c r="AA6" s="733"/>
      <c r="XFD6">
        <v>2028</v>
      </c>
    </row>
    <row r="7" spans="1:27 16384:16384" ht="15">
      <c r="A7" s="1436" t="s">
        <v>275</v>
      </c>
      <c r="B7" s="1437"/>
      <c r="C7" s="1437"/>
      <c r="D7" s="1437"/>
      <c r="E7" s="1437"/>
      <c r="F7" s="1437"/>
      <c r="G7" s="1437"/>
      <c r="H7" s="635"/>
      <c r="I7" s="635"/>
      <c r="J7" s="635"/>
      <c r="K7" s="635"/>
      <c r="L7" s="629"/>
      <c r="M7" s="629"/>
      <c r="N7" s="630"/>
      <c r="O7" s="629"/>
      <c r="P7" s="630"/>
      <c r="Q7" s="629"/>
      <c r="R7" s="734"/>
      <c r="S7" s="735"/>
      <c r="T7" s="735"/>
      <c r="U7" s="735"/>
      <c r="V7" s="735"/>
      <c r="W7" s="735"/>
      <c r="X7" s="735"/>
      <c r="Y7" s="735"/>
      <c r="Z7" s="735"/>
      <c r="AA7" s="736"/>
      <c r="XFD7">
        <v>2029</v>
      </c>
    </row>
    <row r="8" spans="1:27 16384:16384" ht="15">
      <c r="A8" s="631">
        <v>1</v>
      </c>
      <c r="B8" s="632" t="s">
        <v>273</v>
      </c>
      <c r="C8" s="633">
        <f>ROUND($G8*C$6,2)</f>
        <v>-88.43</v>
      </c>
      <c r="D8" s="633">
        <f>ROUND($G8*D$6,2)</f>
        <v>-442.17</v>
      </c>
      <c r="E8" s="633">
        <f>ROUND($G8*E$6,2)</f>
        <v>-619.04</v>
      </c>
      <c r="F8" s="633">
        <f>ROUND($G8*F$6,2)</f>
        <v>-619.04</v>
      </c>
      <c r="G8" s="1001">
        <f>-Capex!D22</f>
        <v>-1768.675</v>
      </c>
      <c r="H8" s="635"/>
      <c r="I8" s="635"/>
      <c r="J8" s="635"/>
      <c r="K8" s="635"/>
      <c r="L8" s="635"/>
      <c r="M8" s="635"/>
      <c r="N8" s="636"/>
      <c r="O8" s="635"/>
      <c r="P8" s="635"/>
      <c r="Q8" s="635"/>
      <c r="R8" s="737"/>
      <c r="S8" s="738"/>
      <c r="T8" s="738"/>
      <c r="U8" s="738"/>
      <c r="V8" s="738"/>
      <c r="W8" s="738"/>
      <c r="X8" s="738"/>
      <c r="Y8" s="738"/>
      <c r="Z8" s="738"/>
      <c r="AA8" s="739"/>
      <c r="XFD8">
        <v>2030</v>
      </c>
    </row>
    <row r="9" spans="1:27 16384:16384" ht="15">
      <c r="A9" s="637"/>
      <c r="B9" s="638" t="s">
        <v>274</v>
      </c>
      <c r="C9" s="639">
        <f>SUM(C8:C8)</f>
        <v>-88.43</v>
      </c>
      <c r="D9" s="639">
        <f>SUM(D8:D8)</f>
        <v>-442.17</v>
      </c>
      <c r="E9" s="639">
        <f>SUM(E8:E8)</f>
        <v>-619.04</v>
      </c>
      <c r="F9" s="639">
        <f>SUM(F8:F8)</f>
        <v>-619.04</v>
      </c>
      <c r="G9" s="640">
        <f>G8</f>
        <v>-1768.675</v>
      </c>
      <c r="H9" s="740"/>
      <c r="I9" s="740"/>
      <c r="J9" s="740"/>
      <c r="K9" s="740"/>
      <c r="L9" s="740"/>
      <c r="M9" s="740"/>
      <c r="N9" s="641"/>
      <c r="O9" s="641"/>
      <c r="P9" s="641"/>
      <c r="Q9" s="641"/>
      <c r="R9" s="741"/>
      <c r="S9" s="742"/>
      <c r="T9" s="742"/>
      <c r="U9" s="742"/>
      <c r="V9" s="742"/>
      <c r="W9" s="742"/>
      <c r="X9" s="742"/>
      <c r="Y9" s="742"/>
      <c r="Z9" s="742"/>
      <c r="AA9" s="743"/>
      <c r="XFD9">
        <v>2031</v>
      </c>
    </row>
    <row r="10" spans="1:27 16384:16384" ht="15">
      <c r="A10" s="642"/>
      <c r="B10" s="643" t="s">
        <v>253</v>
      </c>
      <c r="C10" s="643"/>
      <c r="D10" s="643"/>
      <c r="E10" s="643"/>
      <c r="F10" s="643"/>
      <c r="G10" s="644"/>
      <c r="H10" s="645">
        <v>0.9</v>
      </c>
      <c r="I10" s="645">
        <v>0.9</v>
      </c>
      <c r="J10" s="645">
        <v>1</v>
      </c>
      <c r="K10" s="645">
        <v>1</v>
      </c>
      <c r="L10" s="645">
        <v>1</v>
      </c>
      <c r="M10" s="645">
        <v>1</v>
      </c>
      <c r="N10" s="645">
        <v>1</v>
      </c>
      <c r="O10" s="645">
        <v>1</v>
      </c>
      <c r="P10" s="645">
        <v>1</v>
      </c>
      <c r="Q10" s="645">
        <v>1</v>
      </c>
      <c r="R10" s="646">
        <v>1</v>
      </c>
      <c r="S10" s="645">
        <v>1</v>
      </c>
      <c r="T10" s="645">
        <v>1</v>
      </c>
      <c r="U10" s="645">
        <v>1</v>
      </c>
      <c r="V10" s="645">
        <v>1</v>
      </c>
      <c r="W10" s="645">
        <v>1</v>
      </c>
      <c r="X10" s="645">
        <v>1</v>
      </c>
      <c r="Y10" s="645">
        <v>1</v>
      </c>
      <c r="Z10" s="645">
        <v>1</v>
      </c>
      <c r="AA10" s="647">
        <v>1</v>
      </c>
      <c r="XFD10">
        <v>2032</v>
      </c>
    </row>
    <row r="11" spans="1:27 16384:16384" s="730" customFormat="1" ht="15">
      <c r="A11" s="648">
        <v>2</v>
      </c>
      <c r="B11" s="649" t="s">
        <v>31</v>
      </c>
      <c r="C11" s="649"/>
      <c r="D11" s="649"/>
      <c r="E11" s="649"/>
      <c r="F11" s="649"/>
      <c r="G11" s="650"/>
      <c r="H11" s="651">
        <f>H12+H13</f>
        <v>2035.2829305093751</v>
      </c>
      <c r="I11" s="651">
        <f>I12+I13</f>
        <v>2393.1580027410423</v>
      </c>
      <c r="J11" s="651">
        <f t="shared" ref="J11:AA11" si="0">J12+J13</f>
        <v>2532.5647444396996</v>
      </c>
      <c r="K11" s="651">
        <f t="shared" si="0"/>
        <v>2680.0928041001916</v>
      </c>
      <c r="L11" s="651">
        <f t="shared" si="0"/>
        <v>2836.215332307238</v>
      </c>
      <c r="M11" s="651">
        <f t="shared" si="0"/>
        <v>3001.4330474494791</v>
      </c>
      <c r="N11" s="651">
        <f t="shared" si="0"/>
        <v>3176.2758420491173</v>
      </c>
      <c r="O11" s="651">
        <f t="shared" si="0"/>
        <v>3361.304482696059</v>
      </c>
      <c r="P11" s="651">
        <f t="shared" si="0"/>
        <v>3557.112409041446</v>
      </c>
      <c r="Q11" s="651">
        <f t="shared" si="0"/>
        <v>3764.3276376234389</v>
      </c>
      <c r="R11" s="652">
        <f t="shared" si="0"/>
        <v>3983.6147766344848</v>
      </c>
      <c r="S11" s="651">
        <f t="shared" si="0"/>
        <v>4215.6771580954173</v>
      </c>
      <c r="T11" s="651">
        <f t="shared" si="0"/>
        <v>4461.2590942785073</v>
      </c>
      <c r="U11" s="651">
        <f t="shared" si="0"/>
        <v>4721.1482656203543</v>
      </c>
      <c r="V11" s="651">
        <f t="shared" si="0"/>
        <v>4996.1782477875067</v>
      </c>
      <c r="W11" s="651">
        <f t="shared" si="0"/>
        <v>5287.2311860043483</v>
      </c>
      <c r="X11" s="651">
        <f t="shared" si="0"/>
        <v>5595.2406252253295</v>
      </c>
      <c r="Y11" s="651">
        <f t="shared" si="0"/>
        <v>5921.1945052339461</v>
      </c>
      <c r="Z11" s="651">
        <f t="shared" si="0"/>
        <v>6266.1383302800223</v>
      </c>
      <c r="AA11" s="653">
        <f t="shared" si="0"/>
        <v>6631.1785234272465</v>
      </c>
      <c r="XFD11">
        <v>2033</v>
      </c>
    </row>
    <row r="12" spans="1:27 16384:16384" ht="15">
      <c r="A12" s="654"/>
      <c r="B12" s="655" t="s">
        <v>147</v>
      </c>
      <c r="C12" s="655"/>
      <c r="D12" s="655"/>
      <c r="E12" s="655"/>
      <c r="F12" s="655"/>
      <c r="G12" s="656"/>
      <c r="H12" s="657">
        <f>IF(H$2&lt;=$H$57,0,Sales!E3*H$3*(1+$H$56)^(H$2-$H$57-1))</f>
        <v>1386.6910392857144</v>
      </c>
      <c r="I12" s="657">
        <f>IF(I$2&lt;=$H$57,0,Sales!F3*I$3*(1+$H$56)^(I$2-$H$57-1))</f>
        <v>1631.0337042469644</v>
      </c>
      <c r="J12" s="657">
        <f>IF(J$2&lt;=$H$57,0,Sales!G3*J$3*(1+$H$56)^(J$2-$H$57-1))</f>
        <v>1726.5878138102726</v>
      </c>
      <c r="K12" s="657">
        <f>IF(K$2&lt;=$H$57,0,Sales!H3*K$3*(1+$H$56)^(K$2-$H$57-1))</f>
        <v>1827.7399608823475</v>
      </c>
      <c r="L12" s="657">
        <f>IF(L$2&lt;=$H$57,0,Sales!I3*L$3*(1+$H$56)^(L$2-$H$57-1))</f>
        <v>1934.8181064906394</v>
      </c>
      <c r="M12" s="657">
        <f>IF(M$2&lt;=$H$57,0,Sales!J3*M$3*(1+$H$56)^(M$2-$H$57-1))</f>
        <v>2048.1694252593934</v>
      </c>
      <c r="N12" s="657">
        <f>IF(N$2&lt;=$H$57,0,Sales!K3*N$3*(1+$H$56)^(N$2-$H$57-1))</f>
        <v>2168.1614310382142</v>
      </c>
      <c r="O12" s="657">
        <f>IF(O$2&lt;=$H$57,0,Sales!L3*O$3*(1+$H$56)^(O$2-$H$57-1))</f>
        <v>2295.1831684755884</v>
      </c>
      <c r="P12" s="657">
        <f>IF(P$2&lt;=$H$57,0,Sales!M3*P$3*(1+$H$56)^(P$2-$H$57-1))</f>
        <v>2429.6464744007299</v>
      </c>
      <c r="Q12" s="657">
        <f>IF(Q$2&lt;=$H$57,0,Sales!N3*Q$3*(1+$H$56)^(Q$2-$H$57-1))</f>
        <v>2571.9873131034965</v>
      </c>
      <c r="R12" s="657">
        <f>IF(R$2&lt;=$H$57,0,Sales!O3*R$3*(1+$H$56)^(R$2-$H$57-1))</f>
        <v>2722.6671898416648</v>
      </c>
      <c r="S12" s="657">
        <f>IF(S$2&lt;=$H$57,0,Sales!P3*S$3*(1+$H$56)^(S$2-$H$57-1))</f>
        <v>2882.1746471585388</v>
      </c>
      <c r="T12" s="657">
        <f>IF(T$2&lt;=$H$57,0,Sales!Q3*T$3*(1+$H$56)^(T$2-$H$57-1))</f>
        <v>3051.026848862321</v>
      </c>
      <c r="U12" s="657">
        <f>IF(U$2&lt;=$H$57,0,Sales!R3*U$3*(1+$H$56)^(U$2-$H$57-1))</f>
        <v>3229.7712568029201</v>
      </c>
      <c r="V12" s="657">
        <f>IF(V$2&lt;=$H$57,0,Sales!S3*V$3*(1+$H$56)^(V$2-$H$57-1))</f>
        <v>3418.9874058827181</v>
      </c>
      <c r="W12" s="657">
        <f>IF(W$2&lt;=$H$57,0,Sales!T3*W$3*(1+$H$56)^(W$2-$H$57-1))</f>
        <v>3619.2887830563573</v>
      </c>
      <c r="X12" s="657">
        <f>IF(X$2&lt;=$H$57,0,Sales!U3*X$3*(1+$H$56)^(X$2-$H$57-1))</f>
        <v>3831.3248164117126</v>
      </c>
      <c r="Y12" s="657">
        <f>IF(Y$2&lt;=$H$57,0,Sales!V3*Y$3*(1+$H$56)^(Y$2-$H$57-1))</f>
        <v>4055.7829807811931</v>
      </c>
      <c r="Z12" s="657">
        <f>IF(Z$2&lt;=$H$57,0,Sales!W3*Z$3*(1+$H$56)^(Z$2-$H$57-1))</f>
        <v>4293.3910267102583</v>
      </c>
      <c r="AA12" s="657">
        <f>IF(AA$2&lt;=$H$57,0,Sales!X3*AA$3*(1+$H$56)^(AA$2-$H$57-1))</f>
        <v>4544.9193400100785</v>
      </c>
      <c r="XFD12">
        <v>2034</v>
      </c>
    </row>
    <row r="13" spans="1:27 16384:16384" ht="15">
      <c r="A13" s="654"/>
      <c r="B13" s="655" t="s">
        <v>11</v>
      </c>
      <c r="C13" s="655"/>
      <c r="D13" s="655"/>
      <c r="E13" s="655"/>
      <c r="F13" s="655"/>
      <c r="G13" s="656"/>
      <c r="H13" s="657">
        <f>IF(H$2&lt;=$H$57,0,Sales!E4*H$3*(1+$H$56)^(H$2-$H$57-1))</f>
        <v>648.5918912236607</v>
      </c>
      <c r="I13" s="657">
        <f>IF(I$2&lt;=$H$57,0,Sales!F4*I$3*(1+$H$56)^(I$2-$H$57-1))</f>
        <v>762.12429849407783</v>
      </c>
      <c r="J13" s="657">
        <f>IF(J$2&lt;=$H$57,0,Sales!G4*J$3*(1+$H$56)^(J$2-$H$57-1))</f>
        <v>805.97693062942699</v>
      </c>
      <c r="K13" s="657">
        <f>IF(K$2&lt;=$H$57,0,Sales!H4*K$3*(1+$H$56)^(K$2-$H$57-1))</f>
        <v>852.35284321784422</v>
      </c>
      <c r="L13" s="657">
        <f>IF(L$2&lt;=$H$57,0,Sales!I4*L$3*(1+$H$56)^(L$2-$H$57-1))</f>
        <v>901.39722581659873</v>
      </c>
      <c r="M13" s="657">
        <f>IF(M$2&lt;=$H$57,0,Sales!J4*M$3*(1+$H$56)^(M$2-$H$57-1))</f>
        <v>953.26362219008581</v>
      </c>
      <c r="N13" s="657">
        <f>IF(N$2&lt;=$H$57,0,Sales!K4*N$3*(1+$H$56)^(N$2-$H$57-1))</f>
        <v>1008.1144110109032</v>
      </c>
      <c r="O13" s="657">
        <f>IF(O$2&lt;=$H$57,0,Sales!L4*O$3*(1+$H$56)^(O$2-$H$57-1))</f>
        <v>1066.1213142204706</v>
      </c>
      <c r="P13" s="657">
        <f>IF(P$2&lt;=$H$57,0,Sales!M4*P$3*(1+$H$56)^(P$2-$H$57-1))</f>
        <v>1127.4659346407161</v>
      </c>
      <c r="Q13" s="657">
        <f>IF(Q$2&lt;=$H$57,0,Sales!N4*Q$3*(1+$H$56)^(Q$2-$H$57-1))</f>
        <v>1192.3403245199427</v>
      </c>
      <c r="R13" s="657">
        <f>IF(R$2&lt;=$H$57,0,Sales!O4*R$3*(1+$H$56)^(R$2-$H$57-1))</f>
        <v>1260.9475867928199</v>
      </c>
      <c r="S13" s="657">
        <f>IF(S$2&lt;=$H$57,0,Sales!P4*S$3*(1+$H$56)^(S$2-$H$57-1))</f>
        <v>1333.5025109368789</v>
      </c>
      <c r="T13" s="657">
        <f>IF(T$2&lt;=$H$57,0,Sales!Q4*T$3*(1+$H$56)^(T$2-$H$57-1))</f>
        <v>1410.2322454161865</v>
      </c>
      <c r="U13" s="657">
        <f>IF(U$2&lt;=$H$57,0,Sales!R4*U$3*(1+$H$56)^(U$2-$H$57-1))</f>
        <v>1491.3770088174342</v>
      </c>
      <c r="V13" s="657">
        <f>IF(V$2&lt;=$H$57,0,Sales!S4*V$3*(1+$H$56)^(V$2-$H$57-1))</f>
        <v>1577.1908419047888</v>
      </c>
      <c r="W13" s="657">
        <f>IF(W$2&lt;=$H$57,0,Sales!T4*W$3*(1+$H$56)^(W$2-$H$57-1))</f>
        <v>1667.9424029479906</v>
      </c>
      <c r="X13" s="657">
        <f>IF(X$2&lt;=$H$57,0,Sales!U4*X$3*(1+$H$56)^(X$2-$H$57-1))</f>
        <v>1763.9158088136171</v>
      </c>
      <c r="Y13" s="657">
        <f>IF(Y$2&lt;=$H$57,0,Sales!V4*Y$3*(1+$H$56)^(Y$2-$H$57-1))</f>
        <v>1865.4115244527527</v>
      </c>
      <c r="Z13" s="657">
        <f>IF(Z$2&lt;=$H$57,0,Sales!W4*Z$3*(1+$H$56)^(Z$2-$H$57-1))</f>
        <v>1972.7473035697635</v>
      </c>
      <c r="AA13" s="657">
        <f>IF(AA$2&lt;=$H$57,0,Sales!X4*AA$3*(1+$H$56)^(AA$2-$H$57-1))</f>
        <v>2086.2591834171676</v>
      </c>
      <c r="XFD13">
        <v>2035</v>
      </c>
    </row>
    <row r="14" spans="1:27 16384:16384" ht="15">
      <c r="A14" s="648">
        <v>5</v>
      </c>
      <c r="B14" s="649" t="s">
        <v>113</v>
      </c>
      <c r="C14" s="649"/>
      <c r="D14" s="649"/>
      <c r="E14" s="649"/>
      <c r="F14" s="649"/>
      <c r="G14" s="658"/>
      <c r="H14" s="635"/>
      <c r="I14" s="635"/>
      <c r="J14" s="635"/>
      <c r="K14" s="635"/>
      <c r="L14" s="635"/>
      <c r="M14" s="635"/>
      <c r="N14" s="635"/>
      <c r="O14" s="635"/>
      <c r="P14" s="635"/>
      <c r="Q14" s="635"/>
      <c r="R14" s="737"/>
      <c r="S14" s="738"/>
      <c r="T14" s="738"/>
      <c r="U14" s="738"/>
      <c r="V14" s="738"/>
      <c r="W14" s="738"/>
      <c r="X14" s="738"/>
      <c r="Y14" s="738"/>
      <c r="Z14" s="738"/>
      <c r="AA14" s="739"/>
      <c r="XFD14">
        <v>2036</v>
      </c>
    </row>
    <row r="15" spans="1:27 16384:16384" ht="15">
      <c r="A15" s="654"/>
      <c r="B15" s="659" t="s">
        <v>524</v>
      </c>
      <c r="C15" s="659"/>
      <c r="D15" s="659"/>
      <c r="E15" s="659"/>
      <c r="F15" s="659"/>
      <c r="G15" s="660">
        <f>J15/$J$20</f>
        <v>0.80332146321619136</v>
      </c>
      <c r="H15" s="657">
        <f>IF(H$2&lt;=$H$57,0,Opex!D4*H$3*(1+$H$56)^(H$2-$H$57-1))</f>
        <v>1209.860012314324</v>
      </c>
      <c r="I15" s="657">
        <f>IF(I$2&lt;=$H$57,0,Opex!E4*I$3*(1+$H$56)^(I$2-$H$57-1))</f>
        <v>1421.6392860254332</v>
      </c>
      <c r="J15" s="657">
        <f>IF(J$2&lt;=$H$57,0,Opex!F4*J$3*(1+$H$56)^(J$2-$H$57-1))</f>
        <v>1503.4404105433366</v>
      </c>
      <c r="K15" s="657">
        <f>IF(K$2&lt;=$H$57,0,Opex!G4*K$3*(1+$H$56)^(K$2-$H$57-1))</f>
        <v>1589.9483717660003</v>
      </c>
      <c r="L15" s="657">
        <f>IF(L$2&lt;=$H$57,0,Opex!H4*L$3*(1+$H$56)^(L$2-$H$57-1))</f>
        <v>1681.4340010774154</v>
      </c>
      <c r="M15" s="657">
        <f>IF(M$2&lt;=$H$57,0,Opex!I4*M$3*(1+$H$56)^(M$2-$H$57-1))</f>
        <v>1778.18371349941</v>
      </c>
      <c r="N15" s="657">
        <f>IF(N$2&lt;=$H$57,0,Opex!J4*N$3*(1+$H$56)^(N$2-$H$57-1))</f>
        <v>1880.5004043741656</v>
      </c>
      <c r="O15" s="657">
        <f>IF(O$2&lt;=$H$57,0,Opex!K4*O$3*(1+$H$56)^(O$2-$H$57-1))</f>
        <v>1988.7043976418554</v>
      </c>
      <c r="P15" s="657">
        <f>IF(P$2&lt;=$H$57,0,Opex!L4*P$3*(1+$H$56)^(P$2-$H$57-1))</f>
        <v>2103.1344486821672</v>
      </c>
      <c r="Q15" s="657">
        <f>IF(Q$2&lt;=$H$57,0,Opex!M4*Q$3*(1+$H$56)^(Q$2-$H$57-1))</f>
        <v>2224.1488048593387</v>
      </c>
      <c r="R15" s="657">
        <f>IF(R$2&lt;=$H$57,0,Opex!N4*R$3*(1+$H$56)^(R$2-$H$57-1))</f>
        <v>2352.1263270909449</v>
      </c>
      <c r="S15" s="657">
        <f>IF(S$2&lt;=$H$57,0,Opex!O4*S$3*(1+$H$56)^(S$2-$H$57-1))</f>
        <v>2487.4676759517574</v>
      </c>
      <c r="T15" s="657">
        <f>IF(T$2&lt;=$H$57,0,Opex!P4*T$3*(1+$H$56)^(T$2-$H$57-1))</f>
        <v>2630.5965660260213</v>
      </c>
      <c r="U15" s="657">
        <f>IF(U$2&lt;=$H$57,0,Opex!Q4*U$3*(1+$H$56)^(U$2-$H$57-1))</f>
        <v>2781.9610924351587</v>
      </c>
      <c r="V15" s="657">
        <f>IF(V$2&lt;=$H$57,0,Opex!R4*V$3*(1+$H$56)^(V$2-$H$57-1))</f>
        <v>2942.035133693877</v>
      </c>
      <c r="W15" s="657">
        <f>IF(W$2&lt;=$H$57,0,Opex!S4*W$3*(1+$H$56)^(W$2-$H$57-1))</f>
        <v>3111.3198352866229</v>
      </c>
      <c r="X15" s="657">
        <f>IF(X$2&lt;=$H$57,0,Opex!T4*X$3*(1+$H$56)^(X$2-$H$57-1))</f>
        <v>3290.3451786090136</v>
      </c>
      <c r="Y15" s="657">
        <f>IF(Y$2&lt;=$H$57,0,Opex!U4*Y$3*(1+$H$56)^(Y$2-$H$57-1))</f>
        <v>3479.6716401861768</v>
      </c>
      <c r="Z15" s="657">
        <f>IF(Z$2&lt;=$H$57,0,Opex!V4*Z$3*(1+$H$56)^(Z$2-$H$57-1))</f>
        <v>3679.8919463624884</v>
      </c>
      <c r="AA15" s="657">
        <f>IF(AA$2&lt;=$H$57,0,Opex!W4*AA$3*(1+$H$56)^(AA$2-$H$57-1))</f>
        <v>3891.6329289561859</v>
      </c>
      <c r="XFD15">
        <v>2037</v>
      </c>
    </row>
    <row r="16" spans="1:27 16384:16384" ht="15">
      <c r="A16" s="654"/>
      <c r="B16" s="659" t="s">
        <v>33</v>
      </c>
      <c r="C16" s="659"/>
      <c r="D16" s="659"/>
      <c r="E16" s="659"/>
      <c r="F16" s="659"/>
      <c r="G16" s="660">
        <f>J16/$J$20</f>
        <v>1.5701799590476826E-2</v>
      </c>
      <c r="H16" s="657">
        <f>IF(H$2&lt;=$H$57,0,Opex!$D$7*(1+$H$56)^(H$2-$H$57-1))</f>
        <v>26.91</v>
      </c>
      <c r="I16" s="657">
        <f>IF(I$2&lt;=$H$57,0,Opex!$D$7*(1+$H$56)^(I$2-$H$57-1))</f>
        <v>28.120949999999997</v>
      </c>
      <c r="J16" s="657">
        <f>IF(J$2&lt;=$H$57,0,Opex!$D$7*(1+$H$56)^(J$2-$H$57-1))</f>
        <v>29.386392749999995</v>
      </c>
      <c r="K16" s="657">
        <f>IF(K$2&lt;=$H$57,0,Opex!$D$7*(1+$H$56)^(K$2-$H$57-1))</f>
        <v>30.708780423749996</v>
      </c>
      <c r="L16" s="657">
        <f>IF(L$2&lt;=$H$57,0,Opex!$D$7*(1+$H$56)^(L$2-$H$57-1))</f>
        <v>32.090675542818737</v>
      </c>
      <c r="M16" s="657">
        <f>IF(M$2&lt;=$H$57,0,Opex!$D$7*(1+$H$56)^(M$2-$H$57-1))</f>
        <v>33.534755942245582</v>
      </c>
      <c r="N16" s="657">
        <f>IF(N$2&lt;=$H$57,0,Opex!$D$7*(1+$H$56)^(N$2-$H$57-1))</f>
        <v>35.043819959646619</v>
      </c>
      <c r="O16" s="657">
        <f>IF(O$2&lt;=$H$57,0,Opex!$D$7*(1+$H$56)^(O$2-$H$57-1))</f>
        <v>36.620791857830724</v>
      </c>
      <c r="P16" s="657">
        <f>IF(P$2&lt;=$H$57,0,Opex!$D$7*(1+$H$56)^(P$2-$H$57-1))</f>
        <v>38.26872749143309</v>
      </c>
      <c r="Q16" s="657">
        <f>IF(Q$2&lt;=$H$57,0,Opex!$D$7*(1+$H$56)^(Q$2-$H$57-1))</f>
        <v>39.990820228547577</v>
      </c>
      <c r="R16" s="657">
        <f>IF(R$2&lt;=$H$57,0,Opex!$D$7*(1+$H$56)^(R$2-$H$57-1))</f>
        <v>41.790407138832215</v>
      </c>
      <c r="S16" s="657">
        <f>IF(S$2&lt;=$H$57,0,Opex!$D$7*(1+$H$56)^(S$2-$H$57-1))</f>
        <v>43.67097546007966</v>
      </c>
      <c r="T16" s="657">
        <f>IF(T$2&lt;=$H$57,0,Opex!$D$7*(1+$H$56)^(T$2-$H$57-1))</f>
        <v>45.636169355783238</v>
      </c>
      <c r="U16" s="657">
        <f>IF(U$2&lt;=$H$57,0,Opex!$D$7*(1+$H$56)^(U$2-$H$57-1))</f>
        <v>47.689796976793488</v>
      </c>
      <c r="V16" s="657">
        <f>IF(V$2&lt;=$H$57,0,Opex!$D$7*(1+$H$56)^(V$2-$H$57-1))</f>
        <v>49.835837840749178</v>
      </c>
      <c r="W16" s="657">
        <f>IF(W$2&lt;=$H$57,0,Opex!$D$7*(1+$H$56)^(W$2-$H$57-1))</f>
        <v>52.078450543582896</v>
      </c>
      <c r="X16" s="657">
        <f>IF(X$2&lt;=$H$57,0,Opex!$D$7*(1+$H$56)^(X$2-$H$57-1))</f>
        <v>54.421980818044105</v>
      </c>
      <c r="Y16" s="657">
        <f>IF(Y$2&lt;=$H$57,0,Opex!$D$7*(1+$H$56)^(Y$2-$H$57-1))</f>
        <v>56.870969954856093</v>
      </c>
      <c r="Z16" s="657">
        <f>IF(Z$2&lt;=$H$57,0,Opex!$D$7*(1+$H$56)^(Z$2-$H$57-1))</f>
        <v>59.430163602824607</v>
      </c>
      <c r="AA16" s="657">
        <f>IF(AA$2&lt;=$H$57,0,Opex!$D$7*(1+$H$56)^(AA$2-$H$57-1))</f>
        <v>62.10452096495171</v>
      </c>
      <c r="XFD16">
        <v>2038</v>
      </c>
    </row>
    <row r="17" spans="1:27 16384:16384" ht="15">
      <c r="A17" s="654"/>
      <c r="B17" s="659" t="s">
        <v>20</v>
      </c>
      <c r="C17" s="659"/>
      <c r="D17" s="659"/>
      <c r="E17" s="659"/>
      <c r="F17" s="659"/>
      <c r="G17" s="660">
        <f>J17/$J$20</f>
        <v>0.11615885025674834</v>
      </c>
      <c r="H17" s="657">
        <f>IF(H$2&lt;=$H$57,0,Opex!$D$9*H$3*(1+$H$56)^(H$2-$H$57-1))</f>
        <v>179.16743734740004</v>
      </c>
      <c r="I17" s="657">
        <f>IF(I$2&lt;=$H$57,0,Opex!$D$9*I$3*(1+$H$56)^(I$2-$H$57-1))</f>
        <v>208.03330225337001</v>
      </c>
      <c r="J17" s="657">
        <f>IF(J$2&lt;=$H$57,0,Opex!$D$9*J$3*(1+$H$56)^(J$2-$H$57-1))</f>
        <v>217.39480085477166</v>
      </c>
      <c r="K17" s="657">
        <f>IF(K$2&lt;=$H$57,0,Opex!$D$9*K$3*(1+$H$56)^(K$2-$H$57-1))</f>
        <v>227.17756689323639</v>
      </c>
      <c r="L17" s="657">
        <f>IF(L$2&lt;=$H$57,0,Opex!$D$9*L$3*(1+$H$56)^(L$2-$H$57-1))</f>
        <v>237.40055740343195</v>
      </c>
      <c r="M17" s="657">
        <f>IF(M$2&lt;=$H$57,0,Opex!$D$9*M$3*(1+$H$56)^(M$2-$H$57-1))</f>
        <v>248.08358248658638</v>
      </c>
      <c r="N17" s="657">
        <f>IF(N$2&lt;=$H$57,0,Opex!$D$9*N$3*(1+$H$56)^(N$2-$H$57-1))</f>
        <v>259.24734369848272</v>
      </c>
      <c r="O17" s="657">
        <f>IF(O$2&lt;=$H$57,0,Opex!$D$9*O$3*(1+$H$56)^(O$2-$H$57-1))</f>
        <v>270.91347416491448</v>
      </c>
      <c r="P17" s="657">
        <f>IF(P$2&lt;=$H$57,0,Opex!$D$9*P$3*(1+$H$56)^(P$2-$H$57-1))</f>
        <v>283.10458050233552</v>
      </c>
      <c r="Q17" s="657">
        <f>IF(Q$2&lt;=$H$57,0,Opex!$D$9*Q$3*(1+$H$56)^(Q$2-$H$57-1))</f>
        <v>295.84428662494059</v>
      </c>
      <c r="R17" s="657">
        <f>IF(R$2&lt;=$H$57,0,Opex!$D$9*R$3*(1+$H$56)^(R$2-$H$57-1))</f>
        <v>309.15727952306287</v>
      </c>
      <c r="S17" s="657">
        <f>IF(S$2&lt;=$H$57,0,Opex!$D$9*S$3*(1+$H$56)^(S$2-$H$57-1))</f>
        <v>323.0693571016007</v>
      </c>
      <c r="T17" s="657">
        <f>IF(T$2&lt;=$H$57,0,Opex!$D$9*T$3*(1+$H$56)^(T$2-$H$57-1))</f>
        <v>337.60747817117266</v>
      </c>
      <c r="U17" s="657">
        <f>IF(U$2&lt;=$H$57,0,Opex!$D$9*U$3*(1+$H$56)^(U$2-$H$57-1))</f>
        <v>352.79981468887541</v>
      </c>
      <c r="V17" s="657">
        <f>IF(V$2&lt;=$H$57,0,Opex!$D$9*V$3*(1+$H$56)^(V$2-$H$57-1))</f>
        <v>368.67580634987473</v>
      </c>
      <c r="W17" s="657">
        <f>IF(W$2&lt;=$H$57,0,Opex!$D$9*W$3*(1+$H$56)^(W$2-$H$57-1))</f>
        <v>385.26621763561917</v>
      </c>
      <c r="X17" s="657">
        <f>IF(X$2&lt;=$H$57,0,Opex!$D$9*X$3*(1+$H$56)^(X$2-$H$57-1))</f>
        <v>402.60319742922184</v>
      </c>
      <c r="Y17" s="657">
        <f>IF(Y$2&lt;=$H$57,0,Opex!$D$9*Y$3*(1+$H$56)^(Y$2-$H$57-1))</f>
        <v>420.72034131353684</v>
      </c>
      <c r="Z17" s="657">
        <f>IF(Z$2&lt;=$H$57,0,Opex!$D$9*Z$3*(1+$H$56)^(Z$2-$H$57-1))</f>
        <v>439.65275667264592</v>
      </c>
      <c r="AA17" s="657">
        <f>IF(AA$2&lt;=$H$57,0,Opex!$D$9*AA$3*(1+$H$56)^(AA$2-$H$57-1))</f>
        <v>459.43713072291496</v>
      </c>
      <c r="XFD17">
        <v>2039</v>
      </c>
    </row>
    <row r="18" spans="1:27 16384:16384" ht="15">
      <c r="A18" s="654"/>
      <c r="B18" s="659" t="s">
        <v>23</v>
      </c>
      <c r="C18" s="659"/>
      <c r="D18" s="659"/>
      <c r="E18" s="659"/>
      <c r="F18" s="659"/>
      <c r="G18" s="660">
        <f>J18/$J$20</f>
        <v>1.7818791000494282E-2</v>
      </c>
      <c r="H18" s="657">
        <f>IF(H$2&lt;=$H$57,0,Opex!$D$12*H$3*(1+$H$56)^(H$2-$H$57-1))</f>
        <v>27.484320937499998</v>
      </c>
      <c r="I18" s="657">
        <f>IF(I$2&lt;=$H$57,0,Opex!$D$12*I$3*(1+$H$56)^(I$2-$H$57-1))</f>
        <v>31.912350421874997</v>
      </c>
      <c r="J18" s="657">
        <f>IF(J$2&lt;=$H$57,0,Opex!$D$12*J$3*(1+$H$56)^(J$2-$H$57-1))</f>
        <v>33.348406190859365</v>
      </c>
      <c r="K18" s="657">
        <f>IF(K$2&lt;=$H$57,0,Opex!$D$12*K$3*(1+$H$56)^(K$2-$H$57-1))</f>
        <v>34.849084469448037</v>
      </c>
      <c r="L18" s="657">
        <f>IF(L$2&lt;=$H$57,0,Opex!$D$12*L$3*(1+$H$56)^(L$2-$H$57-1))</f>
        <v>36.41729327057319</v>
      </c>
      <c r="M18" s="657">
        <f>IF(M$2&lt;=$H$57,0,Opex!$D$12*M$3*(1+$H$56)^(M$2-$H$57-1))</f>
        <v>38.056071467748986</v>
      </c>
      <c r="N18" s="657">
        <f>IF(N$2&lt;=$H$57,0,Opex!$D$12*N$3*(1+$H$56)^(N$2-$H$57-1))</f>
        <v>39.76859468379768</v>
      </c>
      <c r="O18" s="657">
        <f>IF(O$2&lt;=$H$57,0,Opex!$D$12*O$3*(1+$H$56)^(O$2-$H$57-1))</f>
        <v>41.558181444568575</v>
      </c>
      <c r="P18" s="657">
        <f>IF(P$2&lt;=$H$57,0,Opex!$D$12*P$3*(1+$H$56)^(P$2-$H$57-1))</f>
        <v>43.428299609574154</v>
      </c>
      <c r="Q18" s="657">
        <f>IF(Q$2&lt;=$H$57,0,Opex!$D$12*Q$3*(1+$H$56)^(Q$2-$H$57-1))</f>
        <v>45.382573092004982</v>
      </c>
      <c r="R18" s="657">
        <f>IF(R$2&lt;=$H$57,0,Opex!$D$12*R$3*(1+$H$56)^(R$2-$H$57-1))</f>
        <v>47.424788881145197</v>
      </c>
      <c r="S18" s="657">
        <f>IF(S$2&lt;=$H$57,0,Opex!$D$12*S$3*(1+$H$56)^(S$2-$H$57-1))</f>
        <v>49.558904380796733</v>
      </c>
      <c r="T18" s="657">
        <f>IF(T$2&lt;=$H$57,0,Opex!$D$12*T$3*(1+$H$56)^(T$2-$H$57-1))</f>
        <v>51.789055077932574</v>
      </c>
      <c r="U18" s="657">
        <f>IF(U$2&lt;=$H$57,0,Opex!$D$12*U$3*(1+$H$56)^(U$2-$H$57-1))</f>
        <v>54.119562556439547</v>
      </c>
      <c r="V18" s="657">
        <f>IF(V$2&lt;=$H$57,0,Opex!$D$12*V$3*(1+$H$56)^(V$2-$H$57-1))</f>
        <v>56.554942871479312</v>
      </c>
      <c r="W18" s="657">
        <f>IF(W$2&lt;=$H$57,0,Opex!$D$12*W$3*(1+$H$56)^(W$2-$H$57-1))</f>
        <v>59.099915300695884</v>
      </c>
      <c r="X18" s="657">
        <f>IF(X$2&lt;=$H$57,0,Opex!$D$12*X$3*(1+$H$56)^(X$2-$H$57-1))</f>
        <v>61.759411489227176</v>
      </c>
      <c r="Y18" s="657">
        <f>IF(Y$2&lt;=$H$57,0,Opex!$D$12*Y$3*(1+$H$56)^(Y$2-$H$57-1))</f>
        <v>64.5385850062424</v>
      </c>
      <c r="Z18" s="657">
        <f>IF(Z$2&lt;=$H$57,0,Opex!$D$12*Z$3*(1+$H$56)^(Z$2-$H$57-1))</f>
        <v>67.442821331523291</v>
      </c>
      <c r="AA18" s="657">
        <f>IF(AA$2&lt;=$H$57,0,Opex!$D$12*AA$3*(1+$H$56)^(AA$2-$H$57-1))</f>
        <v>70.477748291441841</v>
      </c>
      <c r="XFD18">
        <v>2040</v>
      </c>
    </row>
    <row r="19" spans="1:27 16384:16384" ht="15">
      <c r="A19" s="654"/>
      <c r="B19" s="659" t="s">
        <v>25</v>
      </c>
      <c r="C19" s="659"/>
      <c r="D19" s="659"/>
      <c r="E19" s="659"/>
      <c r="F19" s="659"/>
      <c r="G19" s="660">
        <f>J19/$J$20</f>
        <v>4.6999095936089363E-2</v>
      </c>
      <c r="H19" s="657">
        <f>IF(H$2&lt;=$H$57,0,Opex!$D$15*H$3*(1+$H$56)^(H$2-$H$57-1))</f>
        <v>72.493034821722745</v>
      </c>
      <c r="I19" s="657">
        <f>IF(I$2&lt;=$H$57,0,Opex!$D$15*I$3*(1+$H$56)^(I$2-$H$57-1))</f>
        <v>84.172468209666945</v>
      </c>
      <c r="J19" s="657">
        <f>IF(J$2&lt;=$H$57,0,Opex!$D$15*J$3*(1+$H$56)^(J$2-$H$57-1))</f>
        <v>87.960229279101952</v>
      </c>
      <c r="K19" s="657">
        <f>IF(K$2&lt;=$H$57,0,Opex!$D$15*K$3*(1+$H$56)^(K$2-$H$57-1))</f>
        <v>91.918439596661543</v>
      </c>
      <c r="L19" s="657">
        <f>IF(L$2&lt;=$H$57,0,Opex!$D$15*L$3*(1+$H$56)^(L$2-$H$57-1))</f>
        <v>96.054769378511281</v>
      </c>
      <c r="M19" s="657">
        <f>IF(M$2&lt;=$H$57,0,Opex!$D$15*M$3*(1+$H$56)^(M$2-$H$57-1))</f>
        <v>100.37723400054429</v>
      </c>
      <c r="N19" s="657">
        <f>IF(N$2&lt;=$H$57,0,Opex!$D$15*N$3*(1+$H$56)^(N$2-$H$57-1))</f>
        <v>104.89420953056876</v>
      </c>
      <c r="O19" s="657">
        <f>IF(O$2&lt;=$H$57,0,Opex!$D$15*O$3*(1+$H$56)^(O$2-$H$57-1))</f>
        <v>109.61444895944436</v>
      </c>
      <c r="P19" s="657">
        <f>IF(P$2&lt;=$H$57,0,Opex!$D$15*P$3*(1+$H$56)^(P$2-$H$57-1))</f>
        <v>114.54709916261932</v>
      </c>
      <c r="Q19" s="657">
        <f>IF(Q$2&lt;=$H$57,0,Opex!$D$15*Q$3*(1+$H$56)^(Q$2-$H$57-1))</f>
        <v>119.70171862493719</v>
      </c>
      <c r="R19" s="657">
        <f>IF(R$2&lt;=$H$57,0,Opex!$D$15*R$3*(1+$H$56)^(R$2-$H$57-1))</f>
        <v>125.08829596305934</v>
      </c>
      <c r="S19" s="657">
        <f>IF(S$2&lt;=$H$57,0,Opex!$D$15*S$3*(1+$H$56)^(S$2-$H$57-1))</f>
        <v>130.71726928139702</v>
      </c>
      <c r="T19" s="657">
        <f>IF(T$2&lt;=$H$57,0,Opex!$D$15*T$3*(1+$H$56)^(T$2-$H$57-1))</f>
        <v>136.59954639905985</v>
      </c>
      <c r="U19" s="657">
        <f>IF(U$2&lt;=$H$57,0,Opex!$D$15*U$3*(1+$H$56)^(U$2-$H$57-1))</f>
        <v>142.74652598701755</v>
      </c>
      <c r="V19" s="657">
        <f>IF(V$2&lt;=$H$57,0,Opex!$D$15*V$3*(1+$H$56)^(V$2-$H$57-1))</f>
        <v>149.17011965643329</v>
      </c>
      <c r="W19" s="657">
        <f>IF(W$2&lt;=$H$57,0,Opex!$D$15*W$3*(1+$H$56)^(W$2-$H$57-1))</f>
        <v>155.8827750409728</v>
      </c>
      <c r="X19" s="657">
        <f>IF(X$2&lt;=$H$57,0,Opex!$D$15*X$3*(1+$H$56)^(X$2-$H$57-1))</f>
        <v>162.89749991781653</v>
      </c>
      <c r="Y19" s="657">
        <f>IF(Y$2&lt;=$H$57,0,Opex!$D$15*Y$3*(1+$H$56)^(Y$2-$H$57-1))</f>
        <v>170.22788741411827</v>
      </c>
      <c r="Z19" s="657">
        <f>IF(Z$2&lt;=$H$57,0,Opex!$D$15*Z$3*(1+$H$56)^(Z$2-$H$57-1))</f>
        <v>177.88814234775356</v>
      </c>
      <c r="AA19" s="657">
        <f>IF(AA$2&lt;=$H$57,0,Opex!$D$15*AA$3*(1+$H$56)^(AA$2-$H$57-1))</f>
        <v>185.89310875340246</v>
      </c>
      <c r="XFD19">
        <v>2041</v>
      </c>
    </row>
    <row r="20" spans="1:27 16384:16384" s="730" customFormat="1" ht="15">
      <c r="A20" s="637"/>
      <c r="B20" s="661" t="s">
        <v>34</v>
      </c>
      <c r="C20" s="661"/>
      <c r="D20" s="661"/>
      <c r="E20" s="661"/>
      <c r="F20" s="661"/>
      <c r="G20" s="662"/>
      <c r="H20" s="641">
        <f t="shared" ref="H20:Q20" si="1">SUM(H15:H19)</f>
        <v>1515.9148054209468</v>
      </c>
      <c r="I20" s="641">
        <f t="shared" si="1"/>
        <v>1773.8783569103452</v>
      </c>
      <c r="J20" s="641">
        <f t="shared" si="1"/>
        <v>1871.5302396180693</v>
      </c>
      <c r="K20" s="641">
        <f t="shared" si="1"/>
        <v>1974.6022431490962</v>
      </c>
      <c r="L20" s="641">
        <f t="shared" si="1"/>
        <v>2083.3972966727506</v>
      </c>
      <c r="M20" s="641">
        <f t="shared" si="1"/>
        <v>2198.2353573965352</v>
      </c>
      <c r="N20" s="641">
        <f t="shared" si="1"/>
        <v>2319.4543722466615</v>
      </c>
      <c r="O20" s="641">
        <f t="shared" si="1"/>
        <v>2447.4112940686136</v>
      </c>
      <c r="P20" s="641">
        <f t="shared" si="1"/>
        <v>2582.4831554481293</v>
      </c>
      <c r="Q20" s="641">
        <f t="shared" si="1"/>
        <v>2725.0682034297688</v>
      </c>
      <c r="R20" s="663">
        <f t="shared" ref="R20:AA20" si="2">SUM(R15:R19)</f>
        <v>2875.5870985970441</v>
      </c>
      <c r="S20" s="641">
        <f t="shared" si="2"/>
        <v>3034.4841821756318</v>
      </c>
      <c r="T20" s="641">
        <f t="shared" si="2"/>
        <v>3202.2288150299696</v>
      </c>
      <c r="U20" s="641">
        <f t="shared" si="2"/>
        <v>3379.3167926442848</v>
      </c>
      <c r="V20" s="641">
        <f t="shared" si="2"/>
        <v>3566.2718404124134</v>
      </c>
      <c r="W20" s="641">
        <f t="shared" si="2"/>
        <v>3763.6471938074937</v>
      </c>
      <c r="X20" s="641">
        <f t="shared" si="2"/>
        <v>3972.0272682633235</v>
      </c>
      <c r="Y20" s="641">
        <f t="shared" si="2"/>
        <v>4192.0294238749302</v>
      </c>
      <c r="Z20" s="641">
        <f t="shared" si="2"/>
        <v>4424.3058303172356</v>
      </c>
      <c r="AA20" s="322">
        <f t="shared" si="2"/>
        <v>4669.5454376888974</v>
      </c>
      <c r="XFD20">
        <v>2042</v>
      </c>
    </row>
    <row r="21" spans="1:27 16384:16384" ht="15">
      <c r="A21" s="654"/>
      <c r="B21" s="659"/>
      <c r="C21" s="659"/>
      <c r="D21" s="659"/>
      <c r="E21" s="659"/>
      <c r="F21" s="659"/>
      <c r="G21" s="656"/>
      <c r="H21" s="321"/>
      <c r="I21" s="321"/>
      <c r="J21" s="321"/>
      <c r="K21" s="321"/>
      <c r="L21" s="321"/>
      <c r="M21" s="321"/>
      <c r="N21" s="321"/>
      <c r="O21" s="321"/>
      <c r="P21" s="321"/>
      <c r="Q21" s="321"/>
      <c r="R21" s="744"/>
      <c r="AA21" s="745"/>
      <c r="XFD21">
        <v>2043</v>
      </c>
    </row>
    <row r="22" spans="1:27 16384:16384" s="730" customFormat="1" ht="15">
      <c r="A22" s="664">
        <v>6</v>
      </c>
      <c r="B22" s="619" t="s">
        <v>520</v>
      </c>
      <c r="C22" s="665"/>
      <c r="D22" s="665"/>
      <c r="E22" s="665"/>
      <c r="F22" s="665"/>
      <c r="G22" s="666"/>
      <c r="H22" s="667">
        <f t="shared" ref="H22:AA22" si="3">H11-H20</f>
        <v>519.36812508842831</v>
      </c>
      <c r="I22" s="667">
        <f t="shared" si="3"/>
        <v>619.27964583069706</v>
      </c>
      <c r="J22" s="667">
        <f t="shared" si="3"/>
        <v>661.03450482163021</v>
      </c>
      <c r="K22" s="667">
        <f t="shared" si="3"/>
        <v>705.4905609510954</v>
      </c>
      <c r="L22" s="667">
        <f t="shared" si="3"/>
        <v>752.81803563448739</v>
      </c>
      <c r="M22" s="667">
        <f t="shared" si="3"/>
        <v>803.19769005294393</v>
      </c>
      <c r="N22" s="667">
        <f t="shared" si="3"/>
        <v>856.82146980245579</v>
      </c>
      <c r="O22" s="667">
        <f t="shared" si="3"/>
        <v>913.8931886274454</v>
      </c>
      <c r="P22" s="667">
        <f t="shared" si="3"/>
        <v>974.62925359331666</v>
      </c>
      <c r="Q22" s="667">
        <f t="shared" si="3"/>
        <v>1039.2594341936701</v>
      </c>
      <c r="R22" s="668">
        <f t="shared" si="3"/>
        <v>1108.0276780374406</v>
      </c>
      <c r="S22" s="667">
        <f t="shared" si="3"/>
        <v>1181.1929759197856</v>
      </c>
      <c r="T22" s="667">
        <f t="shared" si="3"/>
        <v>1259.0302792485377</v>
      </c>
      <c r="U22" s="667">
        <f t="shared" si="3"/>
        <v>1341.8314729760696</v>
      </c>
      <c r="V22" s="667">
        <f t="shared" si="3"/>
        <v>1429.9064073750933</v>
      </c>
      <c r="W22" s="667">
        <f t="shared" si="3"/>
        <v>1523.5839921968545</v>
      </c>
      <c r="X22" s="667">
        <f t="shared" si="3"/>
        <v>1623.2133569620059</v>
      </c>
      <c r="Y22" s="667">
        <f t="shared" si="3"/>
        <v>1729.1650813590159</v>
      </c>
      <c r="Z22" s="667">
        <f t="shared" si="3"/>
        <v>1841.8324999627866</v>
      </c>
      <c r="AA22" s="669">
        <f t="shared" si="3"/>
        <v>1961.6330857383491</v>
      </c>
      <c r="XFD22">
        <v>2044</v>
      </c>
    </row>
    <row r="23" spans="1:27 16384:16384" ht="15">
      <c r="A23" s="654"/>
      <c r="B23" s="721" t="s">
        <v>523</v>
      </c>
      <c r="C23" s="659"/>
      <c r="D23" s="659"/>
      <c r="E23" s="659"/>
      <c r="F23" s="659"/>
      <c r="G23" s="656"/>
      <c r="H23" s="709">
        <f>H22/H11</f>
        <v>0.25518227333555282</v>
      </c>
      <c r="I23" s="709">
        <f t="shared" ref="I23:AA23" si="4">I22/I11</f>
        <v>0.25877089816944604</v>
      </c>
      <c r="J23" s="709">
        <f t="shared" si="4"/>
        <v>0.26101386204358473</v>
      </c>
      <c r="K23" s="709">
        <f t="shared" si="4"/>
        <v>0.26323363126522598</v>
      </c>
      <c r="L23" s="709">
        <f t="shared" si="4"/>
        <v>0.26543049360856397</v>
      </c>
      <c r="M23" s="709">
        <f t="shared" si="4"/>
        <v>0.26760473325749357</v>
      </c>
      <c r="N23" s="709">
        <f t="shared" si="4"/>
        <v>0.26975663085032714</v>
      </c>
      <c r="O23" s="709">
        <f t="shared" si="4"/>
        <v>0.27188646352395407</v>
      </c>
      <c r="P23" s="709">
        <f t="shared" si="4"/>
        <v>0.27399450495745092</v>
      </c>
      <c r="Q23" s="709">
        <f t="shared" si="4"/>
        <v>0.2760810254151505</v>
      </c>
      <c r="R23" s="709">
        <f t="shared" si="4"/>
        <v>0.27814629178917399</v>
      </c>
      <c r="S23" s="709">
        <f t="shared" si="4"/>
        <v>0.2801905676414348</v>
      </c>
      <c r="T23" s="709">
        <f t="shared" si="4"/>
        <v>0.28221411324512036</v>
      </c>
      <c r="U23" s="709">
        <f t="shared" si="4"/>
        <v>0.28421718562565718</v>
      </c>
      <c r="V23" s="709">
        <f t="shared" si="4"/>
        <v>0.28620003860116661</v>
      </c>
      <c r="W23" s="709">
        <f t="shared" si="4"/>
        <v>0.28816292282241834</v>
      </c>
      <c r="X23" s="709">
        <f t="shared" si="4"/>
        <v>0.29010608581228559</v>
      </c>
      <c r="Y23" s="709">
        <f t="shared" si="4"/>
        <v>0.29202977200471086</v>
      </c>
      <c r="Z23" s="709">
        <f t="shared" si="4"/>
        <v>0.29393422278318559</v>
      </c>
      <c r="AA23" s="709">
        <f t="shared" si="4"/>
        <v>0.29581967651875285</v>
      </c>
      <c r="XFD23">
        <v>2045</v>
      </c>
    </row>
    <row r="24" spans="1:27 16384:16384" ht="15">
      <c r="A24" s="654"/>
      <c r="B24" s="659"/>
      <c r="C24" s="659"/>
      <c r="D24" s="659"/>
      <c r="E24" s="659"/>
      <c r="F24" s="659"/>
      <c r="G24" s="656"/>
      <c r="H24" s="321"/>
      <c r="I24" s="321"/>
      <c r="J24" s="321"/>
      <c r="K24" s="321"/>
      <c r="L24" s="321"/>
      <c r="M24" s="321"/>
      <c r="N24" s="321"/>
      <c r="O24" s="321"/>
      <c r="P24" s="321"/>
      <c r="Q24" s="321"/>
      <c r="R24" s="670"/>
      <c r="S24" s="321"/>
      <c r="T24" s="321"/>
      <c r="U24" s="321"/>
      <c r="V24" s="321"/>
      <c r="W24" s="321"/>
      <c r="X24" s="321"/>
      <c r="Y24" s="321"/>
      <c r="Z24" s="321"/>
      <c r="AA24" s="319"/>
      <c r="XFD24"/>
    </row>
    <row r="25" spans="1:27 16384:16384" s="730" customFormat="1">
      <c r="A25" s="648"/>
      <c r="B25" s="649" t="s">
        <v>36</v>
      </c>
      <c r="C25" s="633">
        <f>+C8</f>
        <v>-88.43</v>
      </c>
      <c r="D25" s="633">
        <f>+D8</f>
        <v>-442.17</v>
      </c>
      <c r="E25" s="633">
        <f>+E8</f>
        <v>-619.04</v>
      </c>
      <c r="F25" s="633">
        <f>+F8</f>
        <v>-619.04</v>
      </c>
      <c r="G25" s="650"/>
      <c r="H25" s="651">
        <f>H22+SUM(C25:F25)</f>
        <v>-1249.3118749115715</v>
      </c>
      <c r="I25" s="651">
        <f t="shared" ref="I25:AA25" si="5">I22</f>
        <v>619.27964583069706</v>
      </c>
      <c r="J25" s="651">
        <f t="shared" si="5"/>
        <v>661.03450482163021</v>
      </c>
      <c r="K25" s="651">
        <f t="shared" si="5"/>
        <v>705.4905609510954</v>
      </c>
      <c r="L25" s="651">
        <f t="shared" si="5"/>
        <v>752.81803563448739</v>
      </c>
      <c r="M25" s="651">
        <f t="shared" si="5"/>
        <v>803.19769005294393</v>
      </c>
      <c r="N25" s="651">
        <f t="shared" si="5"/>
        <v>856.82146980245579</v>
      </c>
      <c r="O25" s="651">
        <f t="shared" si="5"/>
        <v>913.8931886274454</v>
      </c>
      <c r="P25" s="651">
        <f t="shared" si="5"/>
        <v>974.62925359331666</v>
      </c>
      <c r="Q25" s="651">
        <f t="shared" si="5"/>
        <v>1039.2594341936701</v>
      </c>
      <c r="R25" s="652">
        <f t="shared" si="5"/>
        <v>1108.0276780374406</v>
      </c>
      <c r="S25" s="651">
        <f t="shared" si="5"/>
        <v>1181.1929759197856</v>
      </c>
      <c r="T25" s="651">
        <f t="shared" si="5"/>
        <v>1259.0302792485377</v>
      </c>
      <c r="U25" s="651">
        <f t="shared" si="5"/>
        <v>1341.8314729760696</v>
      </c>
      <c r="V25" s="651">
        <f t="shared" si="5"/>
        <v>1429.9064073750933</v>
      </c>
      <c r="W25" s="651">
        <f t="shared" si="5"/>
        <v>1523.5839921968545</v>
      </c>
      <c r="X25" s="651">
        <f t="shared" si="5"/>
        <v>1623.2133569620059</v>
      </c>
      <c r="Y25" s="651">
        <f t="shared" si="5"/>
        <v>1729.1650813590159</v>
      </c>
      <c r="Z25" s="651">
        <f t="shared" si="5"/>
        <v>1841.8324999627866</v>
      </c>
      <c r="AA25" s="653">
        <f t="shared" si="5"/>
        <v>1961.6330857383491</v>
      </c>
    </row>
    <row r="26" spans="1:27 16384:16384">
      <c r="A26" s="654"/>
      <c r="B26" s="659"/>
      <c r="C26" s="659"/>
      <c r="D26" s="659"/>
      <c r="E26" s="659"/>
      <c r="F26" s="659"/>
      <c r="G26" s="656"/>
      <c r="H26" s="321"/>
      <c r="I26" s="321"/>
      <c r="J26" s="321"/>
      <c r="K26" s="321"/>
      <c r="L26" s="321"/>
      <c r="M26" s="321"/>
      <c r="N26" s="321"/>
      <c r="O26" s="321"/>
      <c r="P26" s="321"/>
      <c r="Q26" s="321"/>
      <c r="R26" s="670"/>
      <c r="S26" s="321"/>
      <c r="T26" s="321"/>
      <c r="U26" s="321"/>
      <c r="V26" s="321"/>
      <c r="W26" s="321"/>
      <c r="X26" s="321"/>
      <c r="Y26" s="321"/>
      <c r="Z26" s="321"/>
      <c r="AA26" s="319"/>
    </row>
    <row r="27" spans="1:27 16384:16384">
      <c r="A27" s="654"/>
      <c r="B27" s="659" t="s">
        <v>37</v>
      </c>
      <c r="C27" s="659"/>
      <c r="D27" s="659"/>
      <c r="E27" s="659"/>
      <c r="F27" s="659"/>
      <c r="G27" s="656">
        <v>1</v>
      </c>
      <c r="H27" s="321">
        <f>G27/(1+0.1)</f>
        <v>0.90909090909090906</v>
      </c>
      <c r="I27" s="321">
        <f>H27/(1+0.1)</f>
        <v>0.82644628099173545</v>
      </c>
      <c r="J27" s="321">
        <f t="shared" ref="J27:AA27" si="6">I27/(1+0.1)</f>
        <v>0.75131480090157765</v>
      </c>
      <c r="K27" s="321">
        <f t="shared" si="6"/>
        <v>0.68301345536507052</v>
      </c>
      <c r="L27" s="321">
        <f t="shared" si="6"/>
        <v>0.62092132305915493</v>
      </c>
      <c r="M27" s="321">
        <f t="shared" si="6"/>
        <v>0.56447393005377711</v>
      </c>
      <c r="N27" s="321">
        <f t="shared" si="6"/>
        <v>0.51315811823070645</v>
      </c>
      <c r="O27" s="321">
        <f t="shared" si="6"/>
        <v>0.46650738020973309</v>
      </c>
      <c r="P27" s="321">
        <f t="shared" si="6"/>
        <v>0.42409761837248461</v>
      </c>
      <c r="Q27" s="321">
        <f t="shared" si="6"/>
        <v>0.38554328942953142</v>
      </c>
      <c r="R27" s="670">
        <f t="shared" si="6"/>
        <v>0.35049389948139215</v>
      </c>
      <c r="S27" s="321">
        <f t="shared" si="6"/>
        <v>0.31863081771035645</v>
      </c>
      <c r="T27" s="321">
        <f t="shared" si="6"/>
        <v>0.28966437973668768</v>
      </c>
      <c r="U27" s="321">
        <f t="shared" si="6"/>
        <v>0.26333125430607968</v>
      </c>
      <c r="V27" s="321">
        <f t="shared" si="6"/>
        <v>0.23939204936916333</v>
      </c>
      <c r="W27" s="321">
        <f t="shared" si="6"/>
        <v>0.21762913579014848</v>
      </c>
      <c r="X27" s="321">
        <f t="shared" si="6"/>
        <v>0.19784466890013497</v>
      </c>
      <c r="Y27" s="321">
        <f t="shared" si="6"/>
        <v>0.17985878990921358</v>
      </c>
      <c r="Z27" s="321">
        <f t="shared" si="6"/>
        <v>0.16350799082655779</v>
      </c>
      <c r="AA27" s="319">
        <f t="shared" si="6"/>
        <v>0.14864362802414344</v>
      </c>
    </row>
    <row r="28" spans="1:27 16384:16384">
      <c r="A28" s="654"/>
      <c r="B28" s="659" t="s">
        <v>38</v>
      </c>
      <c r="C28" s="671"/>
      <c r="D28" s="671"/>
      <c r="E28" s="671"/>
      <c r="F28" s="671"/>
      <c r="G28" s="672"/>
      <c r="H28" s="657">
        <f>H25*H27</f>
        <v>-1135.7380681014286</v>
      </c>
      <c r="I28" s="657">
        <f t="shared" ref="I28:AA28" si="7">I25*I27</f>
        <v>511.80136019065867</v>
      </c>
      <c r="J28" s="657">
        <f t="shared" si="7"/>
        <v>496.64500737913608</v>
      </c>
      <c r="K28" s="657">
        <f t="shared" si="7"/>
        <v>481.85954576264959</v>
      </c>
      <c r="L28" s="657">
        <f t="shared" si="7"/>
        <v>467.44077070895997</v>
      </c>
      <c r="M28" s="657">
        <f t="shared" si="7"/>
        <v>453.38415671430079</v>
      </c>
      <c r="N28" s="657">
        <f t="shared" si="7"/>
        <v>439.68489310349628</v>
      </c>
      <c r="O28" s="657">
        <f t="shared" si="7"/>
        <v>426.337917218109</v>
      </c>
      <c r="P28" s="657">
        <f t="shared" si="7"/>
        <v>413.33794524507795</v>
      </c>
      <c r="Q28" s="657">
        <f t="shared" si="7"/>
        <v>400.67950082970123</v>
      </c>
      <c r="R28" s="673">
        <f t="shared" si="7"/>
        <v>388.35694160865506</v>
      </c>
      <c r="S28" s="657">
        <f t="shared" si="7"/>
        <v>376.36448379105065</v>
      </c>
      <c r="T28" s="657">
        <f t="shared" si="7"/>
        <v>364.69622490823633</v>
      </c>
      <c r="U28" s="657">
        <f t="shared" si="7"/>
        <v>353.34616484616288</v>
      </c>
      <c r="V28" s="657">
        <f t="shared" si="7"/>
        <v>342.30822526762131</v>
      </c>
      <c r="W28" s="657">
        <f t="shared" si="7"/>
        <v>331.57626752550578</v>
      </c>
      <c r="X28" s="657">
        <f t="shared" si="7"/>
        <v>321.14410916242468</v>
      </c>
      <c r="Y28" s="657">
        <f t="shared" si="7"/>
        <v>311.00553908649943</v>
      </c>
      <c r="Z28" s="657">
        <f t="shared" si="7"/>
        <v>301.15433150797134</v>
      </c>
      <c r="AA28" s="674">
        <f t="shared" si="7"/>
        <v>291.58425871634381</v>
      </c>
    </row>
    <row r="29" spans="1:27 16384:16384">
      <c r="A29" s="654"/>
      <c r="B29" s="659" t="s">
        <v>39</v>
      </c>
      <c r="C29" s="659"/>
      <c r="D29" s="659"/>
      <c r="E29" s="659"/>
      <c r="F29" s="659"/>
      <c r="G29" s="672"/>
      <c r="H29" s="657">
        <f>H25</f>
        <v>-1249.3118749115715</v>
      </c>
      <c r="I29" s="657">
        <f t="shared" ref="I29:AA29" si="8">I25</f>
        <v>619.27964583069706</v>
      </c>
      <c r="J29" s="657">
        <f t="shared" si="8"/>
        <v>661.03450482163021</v>
      </c>
      <c r="K29" s="657">
        <f>K25</f>
        <v>705.4905609510954</v>
      </c>
      <c r="L29" s="657">
        <f t="shared" si="8"/>
        <v>752.81803563448739</v>
      </c>
      <c r="M29" s="657">
        <f t="shared" si="8"/>
        <v>803.19769005294393</v>
      </c>
      <c r="N29" s="657">
        <f t="shared" si="8"/>
        <v>856.82146980245579</v>
      </c>
      <c r="O29" s="657">
        <f t="shared" si="8"/>
        <v>913.8931886274454</v>
      </c>
      <c r="P29" s="657">
        <f t="shared" si="8"/>
        <v>974.62925359331666</v>
      </c>
      <c r="Q29" s="657">
        <f t="shared" si="8"/>
        <v>1039.2594341936701</v>
      </c>
      <c r="R29" s="673">
        <f t="shared" si="8"/>
        <v>1108.0276780374406</v>
      </c>
      <c r="S29" s="657">
        <f t="shared" si="8"/>
        <v>1181.1929759197856</v>
      </c>
      <c r="T29" s="657">
        <f t="shared" si="8"/>
        <v>1259.0302792485377</v>
      </c>
      <c r="U29" s="657">
        <f t="shared" si="8"/>
        <v>1341.8314729760696</v>
      </c>
      <c r="V29" s="657">
        <f t="shared" si="8"/>
        <v>1429.9064073750933</v>
      </c>
      <c r="W29" s="657">
        <f t="shared" si="8"/>
        <v>1523.5839921968545</v>
      </c>
      <c r="X29" s="657">
        <f t="shared" si="8"/>
        <v>1623.2133569620059</v>
      </c>
      <c r="Y29" s="657">
        <f t="shared" si="8"/>
        <v>1729.1650813590159</v>
      </c>
      <c r="Z29" s="657">
        <f t="shared" si="8"/>
        <v>1841.8324999627866</v>
      </c>
      <c r="AA29" s="674">
        <f t="shared" si="8"/>
        <v>1961.6330857383491</v>
      </c>
    </row>
    <row r="30" spans="1:27 16384:16384">
      <c r="A30" s="642"/>
      <c r="B30" s="675" t="s">
        <v>495</v>
      </c>
      <c r="C30" s="675"/>
      <c r="D30" s="675"/>
      <c r="E30" s="675"/>
      <c r="F30" s="675"/>
      <c r="G30" s="676"/>
      <c r="H30" s="677">
        <f>G29+H25</f>
        <v>-1249.3118749115715</v>
      </c>
      <c r="I30" s="677">
        <f>H30+I25</f>
        <v>-630.03222908087446</v>
      </c>
      <c r="J30" s="677">
        <f t="shared" ref="J30:AA30" si="9">I30+J25</f>
        <v>31.002275740755749</v>
      </c>
      <c r="K30" s="677">
        <f>J30+K25</f>
        <v>736.49283669185115</v>
      </c>
      <c r="L30" s="677">
        <f t="shared" si="9"/>
        <v>1489.3108723263385</v>
      </c>
      <c r="M30" s="677">
        <f t="shared" si="9"/>
        <v>2292.5085623792825</v>
      </c>
      <c r="N30" s="677">
        <f t="shared" si="9"/>
        <v>3149.3300321817383</v>
      </c>
      <c r="O30" s="677">
        <f t="shared" si="9"/>
        <v>4063.2232208091837</v>
      </c>
      <c r="P30" s="677">
        <f t="shared" si="9"/>
        <v>5037.8524744024999</v>
      </c>
      <c r="Q30" s="677">
        <f t="shared" si="9"/>
        <v>6077.11190859617</v>
      </c>
      <c r="R30" s="678">
        <f t="shared" si="9"/>
        <v>7185.1395866336106</v>
      </c>
      <c r="S30" s="677">
        <f t="shared" si="9"/>
        <v>8366.3325625533962</v>
      </c>
      <c r="T30" s="677">
        <f t="shared" si="9"/>
        <v>9625.3628418019343</v>
      </c>
      <c r="U30" s="677">
        <f t="shared" si="9"/>
        <v>10967.194314778004</v>
      </c>
      <c r="V30" s="677">
        <f t="shared" si="9"/>
        <v>12397.100722153096</v>
      </c>
      <c r="W30" s="677">
        <f t="shared" si="9"/>
        <v>13920.684714349951</v>
      </c>
      <c r="X30" s="677">
        <f t="shared" si="9"/>
        <v>15543.898071311956</v>
      </c>
      <c r="Y30" s="677">
        <f t="shared" si="9"/>
        <v>17273.063152670973</v>
      </c>
      <c r="Z30" s="677">
        <f t="shared" si="9"/>
        <v>19114.895652633761</v>
      </c>
      <c r="AA30" s="679">
        <f t="shared" si="9"/>
        <v>21076.528738372108</v>
      </c>
    </row>
    <row r="31" spans="1:27 16384:16384">
      <c r="A31" s="654"/>
      <c r="B31" s="659"/>
      <c r="C31" s="659"/>
      <c r="D31" s="659"/>
      <c r="E31" s="659"/>
      <c r="F31" s="659"/>
      <c r="G31" s="656"/>
      <c r="H31" s="657"/>
      <c r="I31" s="657"/>
      <c r="J31" s="657"/>
      <c r="K31" s="657"/>
      <c r="L31" s="657"/>
      <c r="M31" s="657"/>
      <c r="N31" s="657"/>
      <c r="O31" s="657"/>
      <c r="P31" s="657"/>
      <c r="Q31" s="657"/>
      <c r="R31" s="673"/>
      <c r="S31" s="657"/>
      <c r="T31" s="657"/>
      <c r="U31" s="657"/>
      <c r="V31" s="657"/>
      <c r="W31" s="657"/>
      <c r="X31" s="657"/>
      <c r="Y31" s="657"/>
      <c r="Z31" s="657"/>
      <c r="AA31" s="674"/>
    </row>
    <row r="32" spans="1:27 16384:16384">
      <c r="A32" s="654"/>
      <c r="B32" s="659"/>
      <c r="C32" s="659"/>
      <c r="D32" s="659"/>
      <c r="E32" s="659"/>
      <c r="F32" s="659"/>
      <c r="G32" s="656"/>
      <c r="H32" s="657"/>
      <c r="I32" s="657"/>
      <c r="J32" s="657"/>
      <c r="K32" s="657"/>
      <c r="L32" s="657"/>
      <c r="M32" s="657"/>
      <c r="N32" s="657"/>
      <c r="O32" s="657"/>
      <c r="P32" s="657"/>
      <c r="Q32" s="657"/>
      <c r="R32" s="673"/>
      <c r="S32" s="657"/>
      <c r="T32" s="657"/>
      <c r="U32" s="657"/>
      <c r="V32" s="657"/>
      <c r="W32" s="657"/>
      <c r="X32" s="657"/>
      <c r="Y32" s="657"/>
      <c r="Z32" s="657"/>
      <c r="AA32" s="674"/>
    </row>
    <row r="33" spans="1:27">
      <c r="A33" s="654"/>
      <c r="B33" s="680" t="s">
        <v>455</v>
      </c>
      <c r="C33" s="681"/>
      <c r="D33" s="681"/>
      <c r="E33" s="681"/>
      <c r="F33" s="681"/>
      <c r="G33" s="682">
        <f>NPV(0%,(H28:AA28))</f>
        <v>6336.969575471132</v>
      </c>
      <c r="H33" s="683"/>
      <c r="I33" s="321"/>
      <c r="J33" s="321"/>
      <c r="K33" s="321"/>
      <c r="L33" s="321"/>
      <c r="M33" s="321"/>
      <c r="N33" s="321"/>
      <c r="O33" s="321"/>
      <c r="P33" s="321"/>
      <c r="Q33" s="321"/>
      <c r="R33" s="670"/>
      <c r="S33" s="321"/>
      <c r="T33" s="321"/>
      <c r="U33" s="321"/>
      <c r="V33" s="321"/>
      <c r="W33" s="321"/>
      <c r="X33" s="321"/>
      <c r="Y33" s="321"/>
      <c r="Z33" s="321"/>
      <c r="AA33" s="319"/>
    </row>
    <row r="34" spans="1:27">
      <c r="A34" s="654"/>
      <c r="B34" s="684" t="s">
        <v>41</v>
      </c>
      <c r="C34" s="643"/>
      <c r="D34" s="643"/>
      <c r="E34" s="643"/>
      <c r="F34" s="643"/>
      <c r="G34" s="685">
        <f>IRR(C25:AA25,0.1)</f>
        <v>0.21197582212861299</v>
      </c>
      <c r="H34" s="319"/>
      <c r="I34" s="321"/>
      <c r="J34" s="321"/>
      <c r="K34" s="321"/>
      <c r="L34" s="321"/>
      <c r="M34" s="321"/>
      <c r="N34" s="321"/>
      <c r="O34" s="321"/>
      <c r="P34" s="321"/>
      <c r="Q34" s="321"/>
      <c r="R34" s="670"/>
      <c r="S34" s="321"/>
      <c r="T34" s="321"/>
      <c r="U34" s="321"/>
      <c r="V34" s="321"/>
      <c r="W34" s="321"/>
      <c r="X34" s="321"/>
      <c r="Y34" s="321"/>
      <c r="Z34" s="321"/>
      <c r="AA34" s="319"/>
    </row>
    <row r="35" spans="1:27">
      <c r="A35" s="654"/>
      <c r="B35" s="686" t="s">
        <v>500</v>
      </c>
      <c r="C35" s="687"/>
      <c r="D35" s="687"/>
      <c r="E35" s="687"/>
      <c r="F35" s="687"/>
      <c r="G35" s="688">
        <f>IF(SUM(H40:AA40)&lt;=25,SUM(H40:AA40)," N/A ")</f>
        <v>2.9531003669027518</v>
      </c>
      <c r="H35" s="689"/>
      <c r="I35" s="321"/>
      <c r="J35" s="321"/>
      <c r="K35" s="321"/>
      <c r="L35" s="321"/>
      <c r="M35" s="321"/>
      <c r="N35" s="321"/>
      <c r="O35" s="321"/>
      <c r="P35" s="321"/>
      <c r="Q35" s="321"/>
      <c r="R35" s="670"/>
      <c r="S35" s="321"/>
      <c r="T35" s="321"/>
      <c r="U35" s="321"/>
      <c r="V35" s="321"/>
      <c r="W35" s="321"/>
      <c r="X35" s="321"/>
      <c r="Y35" s="321"/>
      <c r="Z35" s="321"/>
      <c r="AA35" s="319"/>
    </row>
    <row r="36" spans="1:27">
      <c r="A36" s="654"/>
      <c r="B36" s="690" t="s">
        <v>501</v>
      </c>
      <c r="C36" s="691"/>
      <c r="D36" s="691"/>
      <c r="E36" s="691"/>
      <c r="F36" s="691"/>
      <c r="G36" s="688">
        <f>IF(SUM(H41:AA41)&lt;=25,SUM(H41:AA41)," N/A ")</f>
        <v>3.2685765883475626</v>
      </c>
      <c r="H36" s="692"/>
      <c r="I36" s="321"/>
      <c r="J36" s="321"/>
      <c r="K36" s="321"/>
      <c r="L36" s="321"/>
      <c r="M36" s="321"/>
      <c r="N36" s="321"/>
      <c r="O36" s="321"/>
      <c r="P36" s="321"/>
      <c r="Q36" s="321"/>
      <c r="R36" s="670"/>
      <c r="S36" s="321"/>
      <c r="T36" s="321"/>
      <c r="U36" s="321"/>
      <c r="V36" s="321"/>
      <c r="W36" s="321"/>
      <c r="X36" s="321"/>
      <c r="Y36" s="321"/>
      <c r="Z36" s="321"/>
      <c r="AA36" s="319"/>
    </row>
    <row r="37" spans="1:27">
      <c r="A37" s="318"/>
      <c r="G37" s="133"/>
      <c r="H37" s="693">
        <v>1</v>
      </c>
      <c r="I37" s="693">
        <v>2</v>
      </c>
      <c r="J37" s="693">
        <v>3</v>
      </c>
      <c r="K37" s="693">
        <v>4</v>
      </c>
      <c r="L37" s="693">
        <v>5</v>
      </c>
      <c r="M37" s="693">
        <v>6</v>
      </c>
      <c r="N37" s="693">
        <v>7</v>
      </c>
      <c r="O37" s="693">
        <v>8</v>
      </c>
      <c r="P37" s="693">
        <v>9</v>
      </c>
      <c r="Q37" s="693">
        <v>10</v>
      </c>
      <c r="R37" s="694">
        <v>11</v>
      </c>
      <c r="S37" s="693">
        <v>12</v>
      </c>
      <c r="T37" s="693">
        <v>13</v>
      </c>
      <c r="U37" s="693">
        <v>14</v>
      </c>
      <c r="V37" s="693">
        <v>15</v>
      </c>
      <c r="W37" s="693">
        <v>16</v>
      </c>
      <c r="X37" s="693">
        <v>17</v>
      </c>
      <c r="Y37" s="693">
        <v>18</v>
      </c>
      <c r="Z37" s="693">
        <v>19</v>
      </c>
      <c r="AA37" s="695">
        <v>20</v>
      </c>
    </row>
    <row r="38" spans="1:27">
      <c r="A38" s="696"/>
      <c r="B38" s="697" t="s">
        <v>502</v>
      </c>
      <c r="C38" s="698"/>
      <c r="D38" s="698"/>
      <c r="E38" s="698"/>
      <c r="F38" s="698"/>
      <c r="G38" s="699"/>
      <c r="H38" s="700">
        <f t="shared" ref="H38:AA38" si="10">IF(H30&lt;0,1,IF(H29=0,0,-G30/H29))</f>
        <v>1</v>
      </c>
      <c r="I38" s="700">
        <f t="shared" si="10"/>
        <v>1</v>
      </c>
      <c r="J38" s="700">
        <f t="shared" si="10"/>
        <v>0.95310036690275157</v>
      </c>
      <c r="K38" s="700">
        <f t="shared" si="10"/>
        <v>-4.3944281407479843E-2</v>
      </c>
      <c r="L38" s="700">
        <f t="shared" si="10"/>
        <v>-0.97831454857630096</v>
      </c>
      <c r="M38" s="700">
        <f t="shared" si="10"/>
        <v>-1.8542270362208941</v>
      </c>
      <c r="N38" s="700">
        <f t="shared" si="10"/>
        <v>-2.6755965427755108</v>
      </c>
      <c r="O38" s="700">
        <f t="shared" si="10"/>
        <v>-3.446059201854478</v>
      </c>
      <c r="P38" s="700">
        <f t="shared" si="10"/>
        <v>-4.1689937028143458</v>
      </c>
      <c r="Q38" s="700">
        <f t="shared" si="10"/>
        <v>-4.847540766672199</v>
      </c>
      <c r="R38" s="701">
        <f t="shared" si="10"/>
        <v>-5.4846210334385006</v>
      </c>
      <c r="S38" s="700">
        <f t="shared" si="10"/>
        <v>-6.0829515016702498</v>
      </c>
      <c r="T38" s="700">
        <f t="shared" si="10"/>
        <v>-6.6450606474269298</v>
      </c>
      <c r="U38" s="700">
        <f t="shared" si="10"/>
        <v>-7.1733023376279048</v>
      </c>
      <c r="V38" s="700">
        <f t="shared" si="10"/>
        <v>-7.6698686418999227</v>
      </c>
      <c r="W38" s="700">
        <f t="shared" si="10"/>
        <v>-8.1368016372223284</v>
      </c>
      <c r="X38" s="700">
        <f t="shared" si="10"/>
        <v>-8.5760042908985188</v>
      </c>
      <c r="Y38" s="700">
        <f t="shared" si="10"/>
        <v>-8.9892504994927513</v>
      </c>
      <c r="Z38" s="700">
        <f t="shared" si="10"/>
        <v>-9.3781943542748696</v>
      </c>
      <c r="AA38" s="702">
        <f t="shared" si="10"/>
        <v>-9.7443786973235138</v>
      </c>
    </row>
    <row r="39" spans="1:27">
      <c r="B39" s="114" t="s">
        <v>503</v>
      </c>
      <c r="G39" s="703"/>
      <c r="H39" s="700">
        <f>IF(H30&lt;0,1,IF(H30=0,0,-G30/H28))</f>
        <v>1</v>
      </c>
      <c r="I39" s="700">
        <f t="shared" ref="I39:AA39" si="11">IF(I30&lt;0,1,IF(I30=0,0,-H30/I28))</f>
        <v>1</v>
      </c>
      <c r="J39" s="700">
        <f t="shared" si="11"/>
        <v>1.2685765883475626</v>
      </c>
      <c r="K39" s="700">
        <f t="shared" si="11"/>
        <v>-6.4338822408691251E-2</v>
      </c>
      <c r="L39" s="700">
        <f t="shared" si="11"/>
        <v>-1.5755853636276189</v>
      </c>
      <c r="M39" s="700">
        <f t="shared" si="11"/>
        <v>-3.2848763025145256</v>
      </c>
      <c r="N39" s="700">
        <f t="shared" si="11"/>
        <v>-5.2139807356075227</v>
      </c>
      <c r="O39" s="700">
        <f t="shared" si="11"/>
        <v>-7.386933943692795</v>
      </c>
      <c r="P39" s="700">
        <f t="shared" si="11"/>
        <v>-9.8302690753446349</v>
      </c>
      <c r="Q39" s="700">
        <f t="shared" si="11"/>
        <v>-12.5732723135834</v>
      </c>
      <c r="R39" s="700">
        <f t="shared" si="11"/>
        <v>-15.648263897185695</v>
      </c>
      <c r="S39" s="700">
        <f t="shared" si="11"/>
        <v>-19.090907607059552</v>
      </c>
      <c r="T39" s="700">
        <f t="shared" si="11"/>
        <v>-22.940551591008393</v>
      </c>
      <c r="U39" s="700">
        <f t="shared" si="11"/>
        <v>-27.240603689564736</v>
      </c>
      <c r="V39" s="700">
        <f t="shared" si="11"/>
        <v>-32.038944744035</v>
      </c>
      <c r="W39" s="700">
        <f t="shared" si="11"/>
        <v>-37.388383718383814</v>
      </c>
      <c r="X39" s="700">
        <f t="shared" si="11"/>
        <v>-43.347158852318543</v>
      </c>
      <c r="Y39" s="700">
        <f t="shared" si="11"/>
        <v>-49.979489487448518</v>
      </c>
      <c r="Z39" s="700">
        <f t="shared" si="11"/>
        <v>-57.356183675590827</v>
      </c>
      <c r="AA39" s="700">
        <f t="shared" si="11"/>
        <v>-65.555307192453512</v>
      </c>
    </row>
    <row r="40" spans="1:27" ht="13.5" customHeight="1">
      <c r="B40" s="697" t="s">
        <v>502</v>
      </c>
      <c r="C40" s="704"/>
      <c r="D40" s="704"/>
      <c r="E40" s="704"/>
      <c r="F40" s="704"/>
      <c r="H40" s="693">
        <f t="shared" ref="H40:AA41" si="12">IF(H38&gt;0,H38,0)</f>
        <v>1</v>
      </c>
      <c r="I40" s="693">
        <f t="shared" si="12"/>
        <v>1</v>
      </c>
      <c r="J40" s="693">
        <f t="shared" si="12"/>
        <v>0.95310036690275157</v>
      </c>
      <c r="K40" s="693">
        <f>IF(K38&gt;0,K38,0)</f>
        <v>0</v>
      </c>
      <c r="L40" s="693">
        <f t="shared" si="12"/>
        <v>0</v>
      </c>
      <c r="M40" s="693">
        <f t="shared" si="12"/>
        <v>0</v>
      </c>
      <c r="N40" s="693">
        <f t="shared" si="12"/>
        <v>0</v>
      </c>
      <c r="O40" s="693">
        <f t="shared" si="12"/>
        <v>0</v>
      </c>
      <c r="P40" s="693">
        <f t="shared" si="12"/>
        <v>0</v>
      </c>
      <c r="Q40" s="693">
        <f t="shared" si="12"/>
        <v>0</v>
      </c>
      <c r="R40" s="694">
        <f t="shared" si="12"/>
        <v>0</v>
      </c>
      <c r="S40" s="693">
        <f t="shared" si="12"/>
        <v>0</v>
      </c>
      <c r="T40" s="693">
        <f t="shared" si="12"/>
        <v>0</v>
      </c>
      <c r="U40" s="693">
        <f t="shared" si="12"/>
        <v>0</v>
      </c>
      <c r="V40" s="693">
        <f t="shared" si="12"/>
        <v>0</v>
      </c>
      <c r="W40" s="693">
        <f t="shared" si="12"/>
        <v>0</v>
      </c>
      <c r="X40" s="693">
        <f t="shared" si="12"/>
        <v>0</v>
      </c>
      <c r="Y40" s="693">
        <f t="shared" si="12"/>
        <v>0</v>
      </c>
      <c r="Z40" s="693">
        <f>IF(Z38&gt;0,Z38,0)</f>
        <v>0</v>
      </c>
      <c r="AA40" s="695">
        <f t="shared" si="12"/>
        <v>0</v>
      </c>
    </row>
    <row r="41" spans="1:27">
      <c r="B41" s="114" t="s">
        <v>503</v>
      </c>
      <c r="C41" s="704"/>
      <c r="D41" s="704"/>
      <c r="E41" s="704"/>
      <c r="F41" s="704"/>
      <c r="H41" s="693">
        <f t="shared" si="12"/>
        <v>1</v>
      </c>
      <c r="I41" s="693">
        <f t="shared" si="12"/>
        <v>1</v>
      </c>
      <c r="J41" s="693">
        <f t="shared" si="12"/>
        <v>1.2685765883475626</v>
      </c>
      <c r="K41" s="693">
        <f t="shared" si="12"/>
        <v>0</v>
      </c>
      <c r="L41" s="693">
        <f t="shared" si="12"/>
        <v>0</v>
      </c>
      <c r="M41" s="693">
        <f t="shared" si="12"/>
        <v>0</v>
      </c>
      <c r="N41" s="693">
        <f t="shared" si="12"/>
        <v>0</v>
      </c>
      <c r="O41" s="693">
        <f t="shared" si="12"/>
        <v>0</v>
      </c>
      <c r="P41" s="693">
        <f t="shared" si="12"/>
        <v>0</v>
      </c>
      <c r="Q41" s="693">
        <f t="shared" si="12"/>
        <v>0</v>
      </c>
      <c r="R41" s="693">
        <f t="shared" si="12"/>
        <v>0</v>
      </c>
      <c r="S41" s="693">
        <f t="shared" si="12"/>
        <v>0</v>
      </c>
      <c r="T41" s="693">
        <f t="shared" si="12"/>
        <v>0</v>
      </c>
      <c r="U41" s="693">
        <f t="shared" si="12"/>
        <v>0</v>
      </c>
      <c r="V41" s="693">
        <f t="shared" si="12"/>
        <v>0</v>
      </c>
      <c r="W41" s="693">
        <f t="shared" si="12"/>
        <v>0</v>
      </c>
      <c r="X41" s="693">
        <f t="shared" si="12"/>
        <v>0</v>
      </c>
      <c r="Y41" s="693">
        <f t="shared" si="12"/>
        <v>0</v>
      </c>
      <c r="Z41" s="693">
        <f t="shared" si="12"/>
        <v>0</v>
      </c>
      <c r="AA41" s="693">
        <f t="shared" si="12"/>
        <v>0</v>
      </c>
    </row>
    <row r="43" spans="1:27">
      <c r="L43" s="705"/>
      <c r="M43" s="705"/>
      <c r="N43" s="705"/>
      <c r="O43" s="705"/>
      <c r="P43" s="705"/>
      <c r="Q43" s="705"/>
    </row>
    <row r="44" spans="1:27" ht="25.5">
      <c r="B44" s="704" t="s">
        <v>163</v>
      </c>
      <c r="L44" s="705"/>
      <c r="M44" s="705"/>
      <c r="N44" s="705"/>
      <c r="O44" s="705"/>
      <c r="P44" s="705"/>
      <c r="Q44" s="705"/>
    </row>
    <row r="45" spans="1:27">
      <c r="B45" s="704" t="s">
        <v>42</v>
      </c>
      <c r="L45" s="705"/>
      <c r="M45" s="705"/>
      <c r="N45" s="705"/>
      <c r="O45" s="705"/>
      <c r="P45" s="705"/>
      <c r="Q45" s="705"/>
    </row>
    <row r="46" spans="1:27">
      <c r="B46" s="25" t="s">
        <v>496</v>
      </c>
    </row>
    <row r="47" spans="1:27">
      <c r="B47" s="25" t="s">
        <v>43</v>
      </c>
      <c r="H47" s="133">
        <v>1</v>
      </c>
    </row>
    <row r="48" spans="1:27">
      <c r="B48" s="25" t="s">
        <v>80</v>
      </c>
    </row>
    <row r="49" spans="2:16">
      <c r="B49" s="25" t="s">
        <v>497</v>
      </c>
    </row>
    <row r="50" spans="2:16" ht="17.25" customHeight="1">
      <c r="B50" s="25" t="s">
        <v>44</v>
      </c>
    </row>
    <row r="52" spans="2:16" ht="14.45" customHeight="1">
      <c r="B52" s="25" t="s">
        <v>45</v>
      </c>
    </row>
    <row r="53" spans="2:16">
      <c r="B53" s="25" t="s">
        <v>46</v>
      </c>
    </row>
    <row r="54" spans="2:16">
      <c r="B54" s="25" t="s">
        <v>498</v>
      </c>
      <c r="E54" s="746"/>
      <c r="F54" s="746"/>
      <c r="G54" s="746"/>
      <c r="I54" s="705"/>
      <c r="J54" s="705"/>
      <c r="K54" s="705"/>
      <c r="L54" s="705"/>
      <c r="M54" s="705"/>
      <c r="N54" s="705"/>
      <c r="P54" s="705"/>
    </row>
    <row r="55" spans="2:16">
      <c r="E55" s="746"/>
      <c r="F55" s="746"/>
      <c r="G55" s="746"/>
      <c r="I55" s="747"/>
      <c r="J55" s="1435"/>
      <c r="K55" s="1435"/>
      <c r="L55" s="1435"/>
      <c r="M55" s="1435"/>
      <c r="N55" s="1435"/>
    </row>
    <row r="56" spans="2:16" ht="38.25">
      <c r="B56" s="706"/>
      <c r="E56" s="746"/>
      <c r="F56" s="746"/>
      <c r="G56" s="620" t="s">
        <v>521</v>
      </c>
      <c r="H56" s="748">
        <v>4.4999999999999998E-2</v>
      </c>
      <c r="I56" s="746"/>
      <c r="J56" s="746"/>
      <c r="K56" s="746"/>
      <c r="L56" s="705"/>
      <c r="M56" s="705"/>
      <c r="N56" s="705"/>
      <c r="P56" s="705"/>
    </row>
    <row r="57" spans="2:16" ht="25.5" customHeight="1">
      <c r="E57" s="746"/>
      <c r="F57" s="746"/>
      <c r="G57" s="707" t="s">
        <v>456</v>
      </c>
      <c r="H57" s="749">
        <v>4</v>
      </c>
      <c r="I57" s="747"/>
      <c r="J57" s="1435"/>
      <c r="K57" s="1435"/>
      <c r="L57" s="1435"/>
      <c r="M57" s="1435"/>
      <c r="N57" s="1435"/>
    </row>
    <row r="58" spans="2:16" ht="19.5" customHeight="1">
      <c r="I58" s="747"/>
      <c r="J58" s="1435"/>
      <c r="K58" s="1435"/>
      <c r="L58" s="1435"/>
      <c r="M58" s="1435"/>
      <c r="N58" s="1435"/>
    </row>
    <row r="59" spans="2:16">
      <c r="I59" s="705"/>
      <c r="J59" s="705"/>
      <c r="K59" s="705"/>
      <c r="L59" s="705"/>
      <c r="M59" s="705"/>
      <c r="N59" s="705"/>
      <c r="P59" s="705"/>
    </row>
    <row r="60" spans="2:16">
      <c r="I60" s="705"/>
      <c r="J60" s="705"/>
      <c r="K60" s="705"/>
      <c r="L60" s="705"/>
      <c r="M60" s="705"/>
      <c r="N60" s="705"/>
      <c r="P60" s="705"/>
    </row>
    <row r="71" spans="8:13">
      <c r="H71" s="321"/>
      <c r="I71" s="321"/>
      <c r="J71" s="321"/>
      <c r="K71" s="321"/>
      <c r="L71" s="321"/>
      <c r="M71" s="321"/>
    </row>
    <row r="72" spans="8:13">
      <c r="H72" s="708"/>
      <c r="I72" s="708"/>
      <c r="J72" s="708"/>
      <c r="K72" s="708"/>
      <c r="L72" s="708"/>
      <c r="M72" s="708"/>
    </row>
    <row r="73" spans="8:13">
      <c r="H73" s="708"/>
      <c r="I73" s="708"/>
      <c r="J73" s="708"/>
      <c r="K73" s="708"/>
      <c r="L73" s="708"/>
      <c r="M73" s="708"/>
    </row>
  </sheetData>
  <mergeCells count="11">
    <mergeCell ref="A1:H1"/>
    <mergeCell ref="A2:B2"/>
    <mergeCell ref="A3:B3"/>
    <mergeCell ref="J58:N58"/>
    <mergeCell ref="A4:A6"/>
    <mergeCell ref="H4:Q4"/>
    <mergeCell ref="R4:AA4"/>
    <mergeCell ref="B5:B6"/>
    <mergeCell ref="J55:N55"/>
    <mergeCell ref="J57:N57"/>
    <mergeCell ref="A7:G7"/>
  </mergeCells>
  <hyperlinks>
    <hyperlink ref="B33" r:id="rId1" display="NPV@12%" xr:uid="{00000000-0004-0000-0F00-000000000000}"/>
  </hyperlinks>
  <pageMargins left="0.7" right="0.7" top="0.75" bottom="0.75" header="0.3" footer="0.3"/>
  <pageSetup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2"/>
  <dimension ref="A1:AA73"/>
  <sheetViews>
    <sheetView showGridLines="0" topLeftCell="B1" zoomScale="93" zoomScaleNormal="93" workbookViewId="0">
      <pane ySplit="10" topLeftCell="A27" activePane="bottomLeft" state="frozen"/>
      <selection activeCell="G33" sqref="G33"/>
      <selection pane="bottomLeft" activeCell="I36" sqref="I36"/>
    </sheetView>
  </sheetViews>
  <sheetFormatPr defaultColWidth="8.7109375" defaultRowHeight="12.75"/>
  <cols>
    <col min="1" max="1" width="8.85546875" style="596" bestFit="1" customWidth="1"/>
    <col min="2" max="2" width="76.5703125" style="25" customWidth="1"/>
    <col min="3" max="3" width="15.140625" style="25" customWidth="1"/>
    <col min="4" max="4" width="10.28515625" style="25" customWidth="1"/>
    <col min="5" max="5" width="8.140625" style="25" customWidth="1"/>
    <col min="6" max="6" width="13.7109375" style="25" customWidth="1"/>
    <col min="7" max="7" width="23.42578125" style="25" customWidth="1"/>
    <col min="8" max="8" width="21.140625" style="133" customWidth="1"/>
    <col min="9" max="10" width="14" style="133" customWidth="1"/>
    <col min="11" max="11" width="16" style="133" customWidth="1"/>
    <col min="12" max="12" width="18.5703125" style="133" bestFit="1" customWidth="1"/>
    <col min="13" max="17" width="18.7109375" style="133" bestFit="1" customWidth="1"/>
    <col min="18" max="18" width="15" style="133" customWidth="1"/>
    <col min="19" max="19" width="16.28515625" style="133" customWidth="1"/>
    <col min="20" max="20" width="16.42578125" style="133" customWidth="1"/>
    <col min="21" max="21" width="18" style="133" customWidth="1"/>
    <col min="22" max="22" width="18.7109375" style="133" customWidth="1"/>
    <col min="23" max="23" width="19.140625" style="133" customWidth="1"/>
    <col min="24" max="24" width="20.42578125" style="133" customWidth="1"/>
    <col min="25" max="25" width="19" style="133" customWidth="1"/>
    <col min="26" max="27" width="19.28515625" style="133" customWidth="1"/>
    <col min="28" max="16384" width="8.7109375" style="25"/>
  </cols>
  <sheetData>
    <row r="1" spans="1:27" ht="15" customHeight="1">
      <c r="A1" s="1439" t="str">
        <f>Opex!A21</f>
        <v>Option 2 : Capacity for 200 KTPA Phenol + 123 KTPA Acetone, (with available propylene and benzene)  (80 % phenol plant - DFCU operation ( base case ) considered for 8500 Hrs. operation)</v>
      </c>
      <c r="B1" s="1439"/>
      <c r="C1" s="1439"/>
      <c r="D1" s="1439"/>
      <c r="E1" s="1439"/>
      <c r="F1" s="1439"/>
      <c r="G1" s="1439"/>
      <c r="H1" s="1439"/>
    </row>
    <row r="2" spans="1:27">
      <c r="A2" s="1440" t="s">
        <v>457</v>
      </c>
      <c r="B2" s="1441"/>
      <c r="C2" s="723">
        <v>1</v>
      </c>
      <c r="D2" s="723">
        <v>2</v>
      </c>
      <c r="E2" s="723">
        <v>3</v>
      </c>
      <c r="F2" s="723">
        <v>4</v>
      </c>
      <c r="G2" s="723"/>
      <c r="H2" s="723">
        <v>5</v>
      </c>
      <c r="I2" s="723">
        <v>6</v>
      </c>
      <c r="J2" s="723">
        <v>7</v>
      </c>
      <c r="K2" s="723">
        <v>8</v>
      </c>
      <c r="L2" s="723">
        <v>9</v>
      </c>
      <c r="M2" s="723">
        <v>10</v>
      </c>
      <c r="N2" s="723">
        <v>11</v>
      </c>
      <c r="O2" s="723">
        <v>12</v>
      </c>
      <c r="P2" s="723">
        <v>13</v>
      </c>
      <c r="Q2" s="723">
        <v>14</v>
      </c>
      <c r="R2" s="724">
        <v>15</v>
      </c>
      <c r="S2" s="723">
        <v>16</v>
      </c>
      <c r="T2" s="723">
        <v>17</v>
      </c>
      <c r="U2" s="723">
        <v>18</v>
      </c>
      <c r="V2" s="723">
        <v>19</v>
      </c>
      <c r="W2" s="723">
        <v>20</v>
      </c>
      <c r="X2" s="723">
        <v>21</v>
      </c>
      <c r="Y2" s="723">
        <v>22</v>
      </c>
      <c r="Z2" s="723">
        <v>23</v>
      </c>
      <c r="AA2" s="725">
        <v>24</v>
      </c>
    </row>
    <row r="3" spans="1:27" ht="12" customHeight="1">
      <c r="A3" s="1442" t="s">
        <v>458</v>
      </c>
      <c r="B3" s="1443"/>
      <c r="C3" s="726"/>
      <c r="D3" s="726"/>
      <c r="E3" s="726"/>
      <c r="F3" s="726"/>
      <c r="G3" s="726"/>
      <c r="H3" s="727">
        <v>0.9</v>
      </c>
      <c r="I3" s="727">
        <v>1</v>
      </c>
      <c r="J3" s="727">
        <v>1</v>
      </c>
      <c r="K3" s="727">
        <v>1</v>
      </c>
      <c r="L3" s="727">
        <v>1</v>
      </c>
      <c r="M3" s="727">
        <v>1</v>
      </c>
      <c r="N3" s="727">
        <v>1</v>
      </c>
      <c r="O3" s="727">
        <v>1</v>
      </c>
      <c r="P3" s="727">
        <v>1</v>
      </c>
      <c r="Q3" s="727">
        <v>1</v>
      </c>
      <c r="R3" s="727">
        <v>1</v>
      </c>
      <c r="S3" s="727">
        <v>1</v>
      </c>
      <c r="T3" s="727">
        <v>1</v>
      </c>
      <c r="U3" s="727">
        <v>1</v>
      </c>
      <c r="V3" s="727">
        <v>1</v>
      </c>
      <c r="W3" s="727">
        <v>1</v>
      </c>
      <c r="X3" s="727">
        <v>1</v>
      </c>
      <c r="Y3" s="727">
        <v>1</v>
      </c>
      <c r="Z3" s="727">
        <v>1</v>
      </c>
      <c r="AA3" s="727">
        <v>1</v>
      </c>
    </row>
    <row r="4" spans="1:27" s="730" customFormat="1" ht="15" customHeight="1">
      <c r="A4" s="1444"/>
      <c r="B4" s="621" t="s">
        <v>27</v>
      </c>
      <c r="C4" s="621"/>
      <c r="D4" s="621"/>
      <c r="E4" s="621"/>
      <c r="F4" s="621"/>
      <c r="G4" s="622"/>
      <c r="H4" s="1431" t="s">
        <v>28</v>
      </c>
      <c r="I4" s="1431"/>
      <c r="J4" s="1431"/>
      <c r="K4" s="1431"/>
      <c r="L4" s="1431"/>
      <c r="M4" s="1431"/>
      <c r="N4" s="1431"/>
      <c r="O4" s="1431"/>
      <c r="P4" s="1431"/>
      <c r="Q4" s="1431"/>
      <c r="R4" s="1430" t="s">
        <v>28</v>
      </c>
      <c r="S4" s="1431"/>
      <c r="T4" s="1431"/>
      <c r="U4" s="1431"/>
      <c r="V4" s="1431"/>
      <c r="W4" s="1431"/>
      <c r="X4" s="1431"/>
      <c r="Y4" s="1431"/>
      <c r="Z4" s="1431"/>
      <c r="AA4" s="1432"/>
    </row>
    <row r="5" spans="1:27" s="730" customFormat="1" ht="15" customHeight="1">
      <c r="A5" s="1445"/>
      <c r="B5" s="1433" t="s">
        <v>29</v>
      </c>
      <c r="C5" s="623">
        <v>2023</v>
      </c>
      <c r="D5" s="623">
        <v>2024</v>
      </c>
      <c r="E5" s="623">
        <v>2025</v>
      </c>
      <c r="F5" s="623">
        <v>2026</v>
      </c>
      <c r="G5" s="623" t="s">
        <v>172</v>
      </c>
      <c r="H5" s="623">
        <v>2027</v>
      </c>
      <c r="I5" s="623">
        <v>2028</v>
      </c>
      <c r="J5" s="623">
        <v>2029</v>
      </c>
      <c r="K5" s="623">
        <v>2030</v>
      </c>
      <c r="L5" s="623">
        <v>2031</v>
      </c>
      <c r="M5" s="623">
        <v>2032</v>
      </c>
      <c r="N5" s="623">
        <v>2033</v>
      </c>
      <c r="O5" s="623">
        <v>2034</v>
      </c>
      <c r="P5" s="623">
        <v>2035</v>
      </c>
      <c r="Q5" s="624">
        <v>2036</v>
      </c>
      <c r="R5" s="623">
        <v>2037</v>
      </c>
      <c r="S5" s="623">
        <v>2038</v>
      </c>
      <c r="T5" s="623">
        <v>2039</v>
      </c>
      <c r="U5" s="623">
        <v>2040</v>
      </c>
      <c r="V5" s="623">
        <v>2041</v>
      </c>
      <c r="W5" s="623">
        <v>2042</v>
      </c>
      <c r="X5" s="623">
        <v>2043</v>
      </c>
      <c r="Y5" s="623">
        <v>2044</v>
      </c>
      <c r="Z5" s="623">
        <v>2045</v>
      </c>
      <c r="AA5" s="623">
        <v>2046</v>
      </c>
    </row>
    <row r="6" spans="1:27">
      <c r="A6" s="1446"/>
      <c r="B6" s="1434"/>
      <c r="C6" s="625">
        <v>0.05</v>
      </c>
      <c r="D6" s="625">
        <v>0.25</v>
      </c>
      <c r="E6" s="625">
        <v>0.35</v>
      </c>
      <c r="F6" s="625">
        <v>0.35</v>
      </c>
      <c r="G6" s="626"/>
      <c r="H6" s="627"/>
      <c r="I6" s="627"/>
      <c r="J6" s="627"/>
      <c r="K6" s="627"/>
      <c r="L6" s="627"/>
      <c r="M6" s="627"/>
      <c r="N6" s="628"/>
      <c r="O6" s="627"/>
      <c r="P6" s="628"/>
      <c r="Q6" s="627"/>
      <c r="R6" s="731"/>
      <c r="S6" s="732"/>
      <c r="T6" s="732"/>
      <c r="U6" s="732"/>
      <c r="V6" s="732"/>
      <c r="W6" s="732"/>
      <c r="X6" s="732"/>
      <c r="Y6" s="732"/>
      <c r="Z6" s="732"/>
      <c r="AA6" s="733"/>
    </row>
    <row r="7" spans="1:27">
      <c r="A7" s="1436" t="s">
        <v>275</v>
      </c>
      <c r="B7" s="1437"/>
      <c r="C7" s="1437"/>
      <c r="D7" s="1437"/>
      <c r="E7" s="1437"/>
      <c r="F7" s="1437"/>
      <c r="G7" s="1437"/>
      <c r="H7" s="629"/>
      <c r="I7" s="629"/>
      <c r="J7" s="629"/>
      <c r="K7" s="629"/>
      <c r="L7" s="629"/>
      <c r="M7" s="629"/>
      <c r="N7" s="630"/>
      <c r="O7" s="629"/>
      <c r="P7" s="630"/>
      <c r="Q7" s="629"/>
      <c r="R7" s="734"/>
      <c r="S7" s="735"/>
      <c r="T7" s="735"/>
      <c r="U7" s="735"/>
      <c r="V7" s="735"/>
      <c r="W7" s="735"/>
      <c r="X7" s="735"/>
      <c r="Y7" s="735"/>
      <c r="Z7" s="735"/>
      <c r="AA7" s="736"/>
    </row>
    <row r="8" spans="1:27">
      <c r="A8" s="631">
        <v>1</v>
      </c>
      <c r="B8" s="632" t="s">
        <v>273</v>
      </c>
      <c r="C8" s="633">
        <f>ROUND($G8*C$6,2)</f>
        <v>-77.459999999999994</v>
      </c>
      <c r="D8" s="633">
        <f>ROUND($G8*D$6,2)</f>
        <v>-387.28</v>
      </c>
      <c r="E8" s="633">
        <f>ROUND($G8*E$6,2)</f>
        <v>-542.19000000000005</v>
      </c>
      <c r="F8" s="633">
        <f>ROUND($G8*F$6,2)</f>
        <v>-542.19000000000005</v>
      </c>
      <c r="G8" s="1001">
        <f>-Capex!L22</f>
        <v>-1549.105</v>
      </c>
      <c r="H8" s="635"/>
      <c r="I8" s="635"/>
      <c r="J8" s="635"/>
      <c r="K8" s="635"/>
      <c r="L8" s="635"/>
      <c r="M8" s="635"/>
      <c r="N8" s="636"/>
      <c r="O8" s="635"/>
      <c r="P8" s="635"/>
      <c r="Q8" s="635"/>
      <c r="R8" s="737"/>
      <c r="S8" s="738"/>
      <c r="T8" s="738"/>
      <c r="U8" s="738"/>
      <c r="V8" s="738"/>
      <c r="W8" s="738"/>
      <c r="X8" s="738"/>
      <c r="Y8" s="738"/>
      <c r="Z8" s="738"/>
      <c r="AA8" s="739"/>
    </row>
    <row r="9" spans="1:27">
      <c r="A9" s="637"/>
      <c r="B9" s="638" t="s">
        <v>274</v>
      </c>
      <c r="C9" s="639">
        <f>SUM(C8:C8)</f>
        <v>-77.459999999999994</v>
      </c>
      <c r="D9" s="639">
        <f>SUM(D8:D8)</f>
        <v>-387.28</v>
      </c>
      <c r="E9" s="639">
        <f>SUM(E8:E8)</f>
        <v>-542.19000000000005</v>
      </c>
      <c r="F9" s="639">
        <f>SUM(F8:F8)</f>
        <v>-542.19000000000005</v>
      </c>
      <c r="G9" s="640">
        <f>G8</f>
        <v>-1549.105</v>
      </c>
      <c r="H9" s="740"/>
      <c r="I9" s="740"/>
      <c r="J9" s="740"/>
      <c r="K9" s="740"/>
      <c r="L9" s="740"/>
      <c r="M9" s="740"/>
      <c r="N9" s="641"/>
      <c r="O9" s="641"/>
      <c r="P9" s="641"/>
      <c r="Q9" s="641"/>
      <c r="R9" s="741"/>
      <c r="S9" s="742"/>
      <c r="T9" s="742"/>
      <c r="U9" s="742"/>
      <c r="V9" s="742"/>
      <c r="W9" s="742"/>
      <c r="X9" s="742"/>
      <c r="Y9" s="742"/>
      <c r="Z9" s="742"/>
      <c r="AA9" s="743"/>
    </row>
    <row r="10" spans="1:27">
      <c r="A10" s="642"/>
      <c r="B10" s="643" t="s">
        <v>253</v>
      </c>
      <c r="C10" s="643"/>
      <c r="D10" s="643"/>
      <c r="E10" s="643"/>
      <c r="F10" s="643"/>
      <c r="G10" s="644"/>
      <c r="H10" s="645"/>
      <c r="I10" s="645"/>
      <c r="J10" s="645"/>
      <c r="K10" s="645"/>
      <c r="L10" s="645"/>
      <c r="M10" s="645"/>
      <c r="N10" s="645"/>
      <c r="O10" s="645"/>
      <c r="P10" s="645"/>
      <c r="Q10" s="645"/>
      <c r="R10" s="645"/>
      <c r="S10" s="645"/>
      <c r="T10" s="645"/>
      <c r="U10" s="645"/>
      <c r="V10" s="645"/>
      <c r="W10" s="645"/>
      <c r="X10" s="645"/>
      <c r="Y10" s="645"/>
      <c r="Z10" s="645"/>
      <c r="AA10" s="645"/>
    </row>
    <row r="11" spans="1:27" s="730" customFormat="1">
      <c r="A11" s="648">
        <v>2</v>
      </c>
      <c r="B11" s="649" t="s">
        <v>31</v>
      </c>
      <c r="C11" s="649"/>
      <c r="D11" s="649"/>
      <c r="E11" s="649"/>
      <c r="F11" s="649"/>
      <c r="G11" s="650"/>
      <c r="H11" s="651">
        <f>H12+H13</f>
        <v>1628.2263444075002</v>
      </c>
      <c r="I11" s="651">
        <f>I12+I13</f>
        <v>1914.5264021928338</v>
      </c>
      <c r="J11" s="651">
        <f t="shared" ref="J11:AA11" si="0">J12+J13</f>
        <v>2026.0517955517598</v>
      </c>
      <c r="K11" s="651">
        <f t="shared" si="0"/>
        <v>2144.0742432801535</v>
      </c>
      <c r="L11" s="651">
        <f t="shared" si="0"/>
        <v>2268.9722658457908</v>
      </c>
      <c r="M11" s="651">
        <f t="shared" si="0"/>
        <v>2401.1464379595836</v>
      </c>
      <c r="N11" s="651">
        <f t="shared" si="0"/>
        <v>2541.0206736392943</v>
      </c>
      <c r="O11" s="651">
        <f t="shared" si="0"/>
        <v>2689.0435861568471</v>
      </c>
      <c r="P11" s="651">
        <f t="shared" si="0"/>
        <v>2845.6899272331566</v>
      </c>
      <c r="Q11" s="651">
        <f t="shared" si="0"/>
        <v>3011.4621100987515</v>
      </c>
      <c r="R11" s="652">
        <f t="shared" si="0"/>
        <v>3186.8918213075876</v>
      </c>
      <c r="S11" s="651">
        <f t="shared" si="0"/>
        <v>3372.5417264763346</v>
      </c>
      <c r="T11" s="651">
        <f t="shared" si="0"/>
        <v>3569.0072754228063</v>
      </c>
      <c r="U11" s="651">
        <f t="shared" si="0"/>
        <v>3776.9186124962835</v>
      </c>
      <c r="V11" s="651">
        <f t="shared" si="0"/>
        <v>3996.9425982300058</v>
      </c>
      <c r="W11" s="651">
        <f t="shared" si="0"/>
        <v>4229.784948803479</v>
      </c>
      <c r="X11" s="651">
        <f t="shared" si="0"/>
        <v>4476.1925001802647</v>
      </c>
      <c r="Y11" s="651">
        <f t="shared" si="0"/>
        <v>4736.9556041871565</v>
      </c>
      <c r="Z11" s="651">
        <f t="shared" si="0"/>
        <v>5012.9106642240185</v>
      </c>
      <c r="AA11" s="653">
        <f t="shared" si="0"/>
        <v>5304.942818741798</v>
      </c>
    </row>
    <row r="12" spans="1:27">
      <c r="A12" s="654"/>
      <c r="B12" s="655" t="s">
        <v>147</v>
      </c>
      <c r="C12" s="655"/>
      <c r="D12" s="655"/>
      <c r="E12" s="655"/>
      <c r="F12" s="655"/>
      <c r="G12" s="656"/>
      <c r="H12" s="657">
        <f>IF(H$2&lt;=$H$57,0,Sales!E3*H$3*0.8*(1+$H$56)^(H$2-$H$57-1))</f>
        <v>1109.3528314285716</v>
      </c>
      <c r="I12" s="657">
        <f>IF(I$2&lt;=$H$57,0,Sales!F3*I$3*0.8*(1+$H$56)^(I$2-$H$57-1))</f>
        <v>1304.8269633975715</v>
      </c>
      <c r="J12" s="657">
        <f>IF(J$2&lt;=$H$57,0,Sales!G3*J$3*0.8*(1+$H$56)^(J$2-$H$57-1))</f>
        <v>1381.2702510482181</v>
      </c>
      <c r="K12" s="657">
        <f>IF(K$2&lt;=$H$57,0,Sales!H3*K$3*0.8*(1+$H$56)^(K$2-$H$57-1))</f>
        <v>1462.191968705878</v>
      </c>
      <c r="L12" s="657">
        <f>IF(L$2&lt;=$H$57,0,Sales!I3*L$3*0.8*(1+$H$56)^(L$2-$H$57-1))</f>
        <v>1547.8544851925117</v>
      </c>
      <c r="M12" s="657">
        <f>IF(M$2&lt;=$H$57,0,Sales!J3*M$3*0.8*(1+$H$56)^(M$2-$H$57-1))</f>
        <v>1638.5355402075149</v>
      </c>
      <c r="N12" s="657">
        <f>IF(N$2&lt;=$H$57,0,Sales!K3*N$3*0.8*(1+$H$56)^(N$2-$H$57-1))</f>
        <v>1734.5291448305716</v>
      </c>
      <c r="O12" s="657">
        <f>IF(O$2&lt;=$H$57,0,Sales!L3*O$3*0.8*(1+$H$56)^(O$2-$H$57-1))</f>
        <v>1836.1465347804708</v>
      </c>
      <c r="P12" s="657">
        <f>IF(P$2&lt;=$H$57,0,Sales!M3*P$3*0.8*(1+$H$56)^(P$2-$H$57-1))</f>
        <v>1943.7171795205838</v>
      </c>
      <c r="Q12" s="657">
        <f>IF(Q$2&lt;=$H$57,0,Sales!N3*Q$3*0.8*(1+$H$56)^(Q$2-$H$57-1))</f>
        <v>2057.5898504827974</v>
      </c>
      <c r="R12" s="657">
        <f>IF(R$2&lt;=$H$57,0,Sales!O3*R$3*0.8*(1+$H$56)^(R$2-$H$57-1))</f>
        <v>2178.1337518733317</v>
      </c>
      <c r="S12" s="657">
        <f>IF(S$2&lt;=$H$57,0,Sales!P3*S$3*0.8*(1+$H$56)^(S$2-$H$57-1))</f>
        <v>2305.7397177268313</v>
      </c>
      <c r="T12" s="657">
        <f>IF(T$2&lt;=$H$57,0,Sales!Q3*T$3*0.8*(1+$H$56)^(T$2-$H$57-1))</f>
        <v>2440.8214790898569</v>
      </c>
      <c r="U12" s="657">
        <f>IF(U$2&lt;=$H$57,0,Sales!R3*U$3*0.8*(1+$H$56)^(U$2-$H$57-1))</f>
        <v>2583.8170054423363</v>
      </c>
      <c r="V12" s="657">
        <f>IF(V$2&lt;=$H$57,0,Sales!S3*V$3*0.8*(1+$H$56)^(V$2-$H$57-1))</f>
        <v>2735.1899247061747</v>
      </c>
      <c r="W12" s="657">
        <f>IF(W$2&lt;=$H$57,0,Sales!T3*W$3*0.8*(1+$H$56)^(W$2-$H$57-1))</f>
        <v>2895.431026445086</v>
      </c>
      <c r="X12" s="657">
        <f>IF(X$2&lt;=$H$57,0,Sales!U3*X$3*0.8*(1+$H$56)^(X$2-$H$57-1))</f>
        <v>3065.0598531293704</v>
      </c>
      <c r="Y12" s="657">
        <f>IF(Y$2&lt;=$H$57,0,Sales!V3*Y$3*0.8*(1+$H$56)^(Y$2-$H$57-1))</f>
        <v>3244.6263846249544</v>
      </c>
      <c r="Z12" s="657">
        <f>IF(Z$2&lt;=$H$57,0,Sales!W3*Z$3*0.8*(1+$H$56)^(Z$2-$H$57-1))</f>
        <v>3434.7128213682072</v>
      </c>
      <c r="AA12" s="657">
        <f>IF(AA$2&lt;=$H$57,0,Sales!X3*AA$3*0.8*(1+$H$56)^(AA$2-$H$57-1))</f>
        <v>3635.9354720080632</v>
      </c>
    </row>
    <row r="13" spans="1:27">
      <c r="A13" s="654"/>
      <c r="B13" s="655" t="s">
        <v>11</v>
      </c>
      <c r="C13" s="655"/>
      <c r="D13" s="655"/>
      <c r="E13" s="655"/>
      <c r="F13" s="655"/>
      <c r="G13" s="656"/>
      <c r="H13" s="657">
        <f>IF(H$2&lt;=$H$57,0,Sales!E4*H$3*0.8*(1+$H$56)^(H$2-$H$57-1))</f>
        <v>518.8735129789286</v>
      </c>
      <c r="I13" s="657">
        <f>IF(I$2&lt;=$H$57,0,Sales!F4*I$3*0.8*(1+$H$56)^(I$2-$H$57-1))</f>
        <v>609.69943879526227</v>
      </c>
      <c r="J13" s="657">
        <f>IF(J$2&lt;=$H$57,0,Sales!G4*J$3*0.8*(1+$H$56)^(J$2-$H$57-1))</f>
        <v>644.78154450354157</v>
      </c>
      <c r="K13" s="657">
        <f>IF(K$2&lt;=$H$57,0,Sales!H4*K$3*0.8*(1+$H$56)^(K$2-$H$57-1))</f>
        <v>681.88227457427536</v>
      </c>
      <c r="L13" s="657">
        <f>IF(L$2&lt;=$H$57,0,Sales!I4*L$3*0.8*(1+$H$56)^(L$2-$H$57-1))</f>
        <v>721.11778065327906</v>
      </c>
      <c r="M13" s="657">
        <f>IF(M$2&lt;=$H$57,0,Sales!J4*M$3*0.8*(1+$H$56)^(M$2-$H$57-1))</f>
        <v>762.61089775206869</v>
      </c>
      <c r="N13" s="657">
        <f>IF(N$2&lt;=$H$57,0,Sales!K4*N$3*0.8*(1+$H$56)^(N$2-$H$57-1))</f>
        <v>806.49152880872259</v>
      </c>
      <c r="O13" s="657">
        <f>IF(O$2&lt;=$H$57,0,Sales!L4*O$3*0.8*(1+$H$56)^(O$2-$H$57-1))</f>
        <v>852.89705137637645</v>
      </c>
      <c r="P13" s="657">
        <f>IF(P$2&lt;=$H$57,0,Sales!M4*P$3*0.8*(1+$H$56)^(P$2-$H$57-1))</f>
        <v>901.97274771257298</v>
      </c>
      <c r="Q13" s="657">
        <f>IF(Q$2&lt;=$H$57,0,Sales!N4*Q$3*0.8*(1+$H$56)^(Q$2-$H$57-1))</f>
        <v>953.87225961595425</v>
      </c>
      <c r="R13" s="657">
        <f>IF(R$2&lt;=$H$57,0,Sales!O4*R$3*0.8*(1+$H$56)^(R$2-$H$57-1))</f>
        <v>1008.7580694342562</v>
      </c>
      <c r="S13" s="657">
        <f>IF(S$2&lt;=$H$57,0,Sales!P4*S$3*0.8*(1+$H$56)^(S$2-$H$57-1))</f>
        <v>1066.8020087495033</v>
      </c>
      <c r="T13" s="657">
        <f>IF(T$2&lt;=$H$57,0,Sales!Q4*T$3*0.8*(1+$H$56)^(T$2-$H$57-1))</f>
        <v>1128.1857963329494</v>
      </c>
      <c r="U13" s="657">
        <f>IF(U$2&lt;=$H$57,0,Sales!R4*U$3*0.8*(1+$H$56)^(U$2-$H$57-1))</f>
        <v>1193.1016070539474</v>
      </c>
      <c r="V13" s="657">
        <f>IF(V$2&lt;=$H$57,0,Sales!S4*V$3*0.8*(1+$H$56)^(V$2-$H$57-1))</f>
        <v>1261.7526735238312</v>
      </c>
      <c r="W13" s="657">
        <f>IF(W$2&lt;=$H$57,0,Sales!T4*W$3*0.8*(1+$H$56)^(W$2-$H$57-1))</f>
        <v>1334.3539223583925</v>
      </c>
      <c r="X13" s="657">
        <f>IF(X$2&lt;=$H$57,0,Sales!U4*X$3*0.8*(1+$H$56)^(X$2-$H$57-1))</f>
        <v>1411.1326470508939</v>
      </c>
      <c r="Y13" s="657">
        <f>IF(Y$2&lt;=$H$57,0,Sales!V4*Y$3*0.8*(1+$H$56)^(Y$2-$H$57-1))</f>
        <v>1492.3292195622023</v>
      </c>
      <c r="Z13" s="657">
        <f>IF(Z$2&lt;=$H$57,0,Sales!W4*Z$3*0.8*(1+$H$56)^(Z$2-$H$57-1))</f>
        <v>1578.1978428558109</v>
      </c>
      <c r="AA13" s="657">
        <f>IF(AA$2&lt;=$H$57,0,Sales!X4*AA$3*0.8*(1+$H$56)^(AA$2-$H$57-1))</f>
        <v>1669.0073467337343</v>
      </c>
    </row>
    <row r="14" spans="1:27">
      <c r="A14" s="648">
        <v>5</v>
      </c>
      <c r="B14" s="649" t="s">
        <v>113</v>
      </c>
      <c r="C14" s="649"/>
      <c r="D14" s="649"/>
      <c r="E14" s="649"/>
      <c r="F14" s="649"/>
      <c r="G14" s="658"/>
      <c r="H14" s="635"/>
      <c r="I14" s="635"/>
      <c r="J14" s="635"/>
      <c r="K14" s="635"/>
      <c r="L14" s="635"/>
      <c r="M14" s="635"/>
      <c r="N14" s="635"/>
      <c r="O14" s="635"/>
      <c r="P14" s="635"/>
      <c r="Q14" s="635"/>
      <c r="R14" s="737"/>
      <c r="S14" s="738"/>
      <c r="T14" s="738"/>
      <c r="U14" s="738"/>
      <c r="V14" s="738"/>
      <c r="W14" s="738"/>
      <c r="X14" s="738"/>
      <c r="Y14" s="738"/>
      <c r="Z14" s="738"/>
      <c r="AA14" s="739"/>
    </row>
    <row r="15" spans="1:27">
      <c r="A15" s="654"/>
      <c r="B15" s="659" t="s">
        <v>524</v>
      </c>
      <c r="C15" s="659"/>
      <c r="D15" s="659"/>
      <c r="E15" s="659"/>
      <c r="F15" s="659"/>
      <c r="G15" s="660">
        <f>J15/$J$20</f>
        <v>0.78919629808543668</v>
      </c>
      <c r="H15" s="657">
        <f>IF(H$2&lt;=$H$57,0,Opex!D24*H$3*(1+$H$56)^(H$2-$H$57-1))</f>
        <v>961.22836732574206</v>
      </c>
      <c r="I15" s="657">
        <f>IF(I$2&lt;=$H$57,0,Opex!E24*I$3*(1+$H$56)^(I$2-$H$57-1))</f>
        <v>1129.4860528685167</v>
      </c>
      <c r="J15" s="657">
        <f>IF(J$2&lt;=$H$57,0,Opex!F24*J$3*(1+$H$56)^(J$2-$H$57-1))</f>
        <v>1194.4766803505711</v>
      </c>
      <c r="K15" s="657">
        <f>IF(K$2&lt;=$H$57,0,Opex!G24*K$3*(1+$H$56)^(K$2-$H$57-1))</f>
        <v>1263.2068685379429</v>
      </c>
      <c r="L15" s="657">
        <f>IF(L$2&lt;=$H$57,0,Opex!H24*L$3*(1+$H$56)^(L$2-$H$57-1))</f>
        <v>1335.8917917536157</v>
      </c>
      <c r="M15" s="657">
        <f>IF(M$2&lt;=$H$57,0,Opex!I24*M$3*(1+$H$56)^(M$2-$H$57-1))</f>
        <v>1412.7590054511188</v>
      </c>
      <c r="N15" s="657">
        <f>IF(N$2&lt;=$H$57,0,Opex!J24*N$3*(1+$H$56)^(N$2-$H$57-1))</f>
        <v>1494.0491586247758</v>
      </c>
      <c r="O15" s="657">
        <f>IF(O$2&lt;=$H$57,0,Opex!K24*O$3*(1+$H$56)^(O$2-$H$57-1))</f>
        <v>1580.0167472120459</v>
      </c>
      <c r="P15" s="657">
        <f>IF(P$2&lt;=$H$57,0,Opex!L24*P$3*(1+$H$56)^(P$2-$H$57-1))</f>
        <v>1670.9309108466264</v>
      </c>
      <c r="Q15" s="657">
        <f>IF(Q$2&lt;=$H$57,0,Opex!M24*Q$3*(1+$H$56)^(Q$2-$H$57-1))</f>
        <v>1767.0762754567411</v>
      </c>
      <c r="R15" s="657">
        <f>IF(R$2&lt;=$H$57,0,Opex!N24*R$3*(1+$H$56)^(R$2-$H$57-1))</f>
        <v>1868.7538443465216</v>
      </c>
      <c r="S15" s="657">
        <f>IF(S$2&lt;=$H$57,0,Opex!O24*S$3*(1+$H$56)^(S$2-$H$57-1))</f>
        <v>1976.2819405502205</v>
      </c>
      <c r="T15" s="657">
        <f>IF(T$2&lt;=$H$57,0,Opex!P24*T$3*(1+$H$56)^(T$2-$H$57-1))</f>
        <v>2089.9972034094799</v>
      </c>
      <c r="U15" s="657">
        <f>IF(U$2&lt;=$H$57,0,Opex!Q24*U$3*(1+$H$56)^(U$2-$H$57-1))</f>
        <v>2210.2556424936611</v>
      </c>
      <c r="V15" s="657">
        <f>IF(V$2&lt;=$H$57,0,Opex!R24*V$3*(1+$H$56)^(V$2-$H$57-1))</f>
        <v>2337.4337521627458</v>
      </c>
      <c r="W15" s="657">
        <f>IF(W$2&lt;=$H$57,0,Opex!S24*W$3*(1+$H$56)^(W$2-$H$57-1))</f>
        <v>2471.9296902621909</v>
      </c>
      <c r="X15" s="657">
        <f>IF(X$2&lt;=$H$57,0,Opex!T24*X$3*(1+$H$56)^(X$2-$H$57-1))</f>
        <v>2614.1645246398757</v>
      </c>
      <c r="Y15" s="657">
        <f>IF(Y$2&lt;=$H$57,0,Opex!U24*Y$3*(1+$H$56)^(Y$2-$H$57-1))</f>
        <v>2764.5835513876546</v>
      </c>
      <c r="Z15" s="657">
        <f>IF(Z$2&lt;=$H$57,0,Opex!V24*Z$3*(1+$H$56)^(Z$2-$H$57-1))</f>
        <v>2923.6576889344997</v>
      </c>
      <c r="AA15" s="657">
        <f>IF(AA$2&lt;=$H$57,0,Opex!W24*AA$3*(1+$H$56)^(AA$2-$H$57-1))</f>
        <v>3091.8849523557906</v>
      </c>
    </row>
    <row r="16" spans="1:27">
      <c r="A16" s="654"/>
      <c r="B16" s="659" t="s">
        <v>33</v>
      </c>
      <c r="C16" s="659"/>
      <c r="D16" s="659"/>
      <c r="E16" s="659"/>
      <c r="F16" s="659"/>
      <c r="G16" s="660">
        <f>J16/$J$20</f>
        <v>1.8066510149517354E-2</v>
      </c>
      <c r="H16" s="657">
        <f>IF(H$2&lt;=$H$57,0,Opex!$D$27*(1+$H$56)^(H$2-$H$57-1))</f>
        <v>25.04</v>
      </c>
      <c r="I16" s="657">
        <f>IF(I$2&lt;=$H$57,0,Opex!$D$27*(1+$H$56)^(I$2-$H$57-1))</f>
        <v>26.166799999999999</v>
      </c>
      <c r="J16" s="657">
        <f>IF(J$2&lt;=$H$57,0,Opex!$D$27*(1+$H$56)^(J$2-$H$57-1))</f>
        <v>27.344305999999992</v>
      </c>
      <c r="K16" s="657">
        <f>IF(K$2&lt;=$H$57,0,Opex!$D$27*(1+$H$56)^(K$2-$H$57-1))</f>
        <v>28.574799769999995</v>
      </c>
      <c r="L16" s="657">
        <f>IF(L$2&lt;=$H$57,0,Opex!$D$27*(1+$H$56)^(L$2-$H$57-1))</f>
        <v>29.860665759649986</v>
      </c>
      <c r="M16" s="657">
        <f>IF(M$2&lt;=$H$57,0,Opex!$D$27*(1+$H$56)^(M$2-$H$57-1))</f>
        <v>31.204395718834235</v>
      </c>
      <c r="N16" s="657">
        <f>IF(N$2&lt;=$H$57,0,Opex!$D$27*(1+$H$56)^(N$2-$H$57-1))</f>
        <v>32.608593526181771</v>
      </c>
      <c r="O16" s="657">
        <f>IF(O$2&lt;=$H$57,0,Opex!$D$27*(1+$H$56)^(O$2-$H$57-1))</f>
        <v>34.075980234859948</v>
      </c>
      <c r="P16" s="657">
        <f>IF(P$2&lt;=$H$57,0,Opex!$D$27*(1+$H$56)^(P$2-$H$57-1))</f>
        <v>35.609399345428635</v>
      </c>
      <c r="Q16" s="657">
        <f>IF(Q$2&lt;=$H$57,0,Opex!$D$27*(1+$H$56)^(Q$2-$H$57-1))</f>
        <v>37.211822315972924</v>
      </c>
      <c r="R16" s="657">
        <f>IF(R$2&lt;=$H$57,0,Opex!$D$27*(1+$H$56)^(R$2-$H$57-1))</f>
        <v>38.8863543201917</v>
      </c>
      <c r="S16" s="657">
        <f>IF(S$2&lt;=$H$57,0,Opex!$D$27*(1+$H$56)^(S$2-$H$57-1))</f>
        <v>40.636240264600325</v>
      </c>
      <c r="T16" s="657">
        <f>IF(T$2&lt;=$H$57,0,Opex!$D$27*(1+$H$56)^(T$2-$H$57-1))</f>
        <v>42.464871076507329</v>
      </c>
      <c r="U16" s="657">
        <f>IF(U$2&lt;=$H$57,0,Opex!$D$27*(1+$H$56)^(U$2-$H$57-1))</f>
        <v>44.375790274950162</v>
      </c>
      <c r="V16" s="657">
        <f>IF(V$2&lt;=$H$57,0,Opex!$D$27*(1+$H$56)^(V$2-$H$57-1))</f>
        <v>46.37270083732291</v>
      </c>
      <c r="W16" s="657">
        <f>IF(W$2&lt;=$H$57,0,Opex!$D$27*(1+$H$56)^(W$2-$H$57-1))</f>
        <v>48.459472375002441</v>
      </c>
      <c r="X16" s="657">
        <f>IF(X$2&lt;=$H$57,0,Opex!$D$27*(1+$H$56)^(X$2-$H$57-1))</f>
        <v>50.64014863187753</v>
      </c>
      <c r="Y16" s="657">
        <f>IF(Y$2&lt;=$H$57,0,Opex!$D$27*(1+$H$56)^(Y$2-$H$57-1))</f>
        <v>52.918955320312023</v>
      </c>
      <c r="Z16" s="657">
        <f>IF(Z$2&lt;=$H$57,0,Opex!$D$27*(1+$H$56)^(Z$2-$H$57-1))</f>
        <v>55.300308309726049</v>
      </c>
      <c r="AA16" s="657">
        <f>IF(AA$2&lt;=$H$57,0,Opex!$D$27*(1+$H$56)^(AA$2-$H$57-1))</f>
        <v>57.788822183663719</v>
      </c>
    </row>
    <row r="17" spans="1:27">
      <c r="A17" s="654"/>
      <c r="B17" s="659" t="s">
        <v>20</v>
      </c>
      <c r="C17" s="659"/>
      <c r="D17" s="659"/>
      <c r="E17" s="659"/>
      <c r="F17" s="659"/>
      <c r="G17" s="660">
        <f>J17/$J$20</f>
        <v>0.11866812220734305</v>
      </c>
      <c r="H17" s="657">
        <f>IF(H$2&lt;=$H$57,0,Opex!$D$29*H$3*(1+$H$56)^(H$2-$H$57-1))</f>
        <v>148.02553342800002</v>
      </c>
      <c r="I17" s="657">
        <f>IF(I$2&lt;=$H$57,0,Opex!$D$29*I$3*(1+$H$56)^(I$2-$H$57-1))</f>
        <v>171.8740915914</v>
      </c>
      <c r="J17" s="657">
        <f>IF(J$2&lt;=$H$57,0,Opex!$D$29*J$3*(1+$H$56)^(J$2-$H$57-1))</f>
        <v>179.60842571301299</v>
      </c>
      <c r="K17" s="657">
        <f>IF(K$2&lt;=$H$57,0,Opex!$D$29*K$3*(1+$H$56)^(K$2-$H$57-1))</f>
        <v>187.69080487009859</v>
      </c>
      <c r="L17" s="657">
        <f>IF(L$2&lt;=$H$57,0,Opex!$D$29*L$3*(1+$H$56)^(L$2-$H$57-1))</f>
        <v>196.13689108925297</v>
      </c>
      <c r="M17" s="657">
        <f>IF(M$2&lt;=$H$57,0,Opex!$D$29*M$3*(1+$H$56)^(M$2-$H$57-1))</f>
        <v>204.96305118826933</v>
      </c>
      <c r="N17" s="657">
        <f>IF(N$2&lt;=$H$57,0,Opex!$D$29*N$3*(1+$H$56)^(N$2-$H$57-1))</f>
        <v>214.18638849174141</v>
      </c>
      <c r="O17" s="657">
        <f>IF(O$2&lt;=$H$57,0,Opex!$D$29*O$3*(1+$H$56)^(O$2-$H$57-1))</f>
        <v>223.82477597386978</v>
      </c>
      <c r="P17" s="657">
        <f>IF(P$2&lt;=$H$57,0,Opex!$D$29*P$3*(1+$H$56)^(P$2-$H$57-1))</f>
        <v>233.89689089269385</v>
      </c>
      <c r="Q17" s="657">
        <f>IF(Q$2&lt;=$H$57,0,Opex!$D$29*Q$3*(1+$H$56)^(Q$2-$H$57-1))</f>
        <v>244.42225098286508</v>
      </c>
      <c r="R17" s="657">
        <f>IF(R$2&lt;=$H$57,0,Opex!$D$29*R$3*(1+$H$56)^(R$2-$H$57-1))</f>
        <v>255.42125227709394</v>
      </c>
      <c r="S17" s="657">
        <f>IF(S$2&lt;=$H$57,0,Opex!$D$29*S$3*(1+$H$56)^(S$2-$H$57-1))</f>
        <v>266.91520862956315</v>
      </c>
      <c r="T17" s="657">
        <f>IF(T$2&lt;=$H$57,0,Opex!$D$29*T$3*(1+$H$56)^(T$2-$H$57-1))</f>
        <v>278.92639301789347</v>
      </c>
      <c r="U17" s="657">
        <f>IF(U$2&lt;=$H$57,0,Opex!$D$29*U$3*(1+$H$56)^(U$2-$H$57-1))</f>
        <v>291.47808070369871</v>
      </c>
      <c r="V17" s="657">
        <f>IF(V$2&lt;=$H$57,0,Opex!$D$29*V$3*(1+$H$56)^(V$2-$H$57-1))</f>
        <v>304.59459433536506</v>
      </c>
      <c r="W17" s="657">
        <f>IF(W$2&lt;=$H$57,0,Opex!$D$29*W$3*(1+$H$56)^(W$2-$H$57-1))</f>
        <v>318.30135108045653</v>
      </c>
      <c r="X17" s="657">
        <f>IF(X$2&lt;=$H$57,0,Opex!$D$29*X$3*(1+$H$56)^(X$2-$H$57-1))</f>
        <v>332.62491187907688</v>
      </c>
      <c r="Y17" s="657">
        <f>IF(Y$2&lt;=$H$57,0,Opex!$D$29*Y$3*(1+$H$56)^(Y$2-$H$57-1))</f>
        <v>347.5930329136354</v>
      </c>
      <c r="Z17" s="657">
        <f>IF(Z$2&lt;=$H$57,0,Opex!$D$29*Z$3*(1+$H$56)^(Z$2-$H$57-1))</f>
        <v>363.23471939474888</v>
      </c>
      <c r="AA17" s="657">
        <f>IF(AA$2&lt;=$H$57,0,Opex!$D$29*AA$3*(1+$H$56)^(AA$2-$H$57-1))</f>
        <v>379.58028176751259</v>
      </c>
    </row>
    <row r="18" spans="1:27">
      <c r="A18" s="654"/>
      <c r="B18" s="659" t="s">
        <v>23</v>
      </c>
      <c r="C18" s="659"/>
      <c r="D18" s="659"/>
      <c r="E18" s="659"/>
      <c r="F18" s="659"/>
      <c r="G18" s="660">
        <f>J18/$J$20</f>
        <v>1.9377716074046682E-2</v>
      </c>
      <c r="H18" s="657">
        <f>IF(H$2&lt;=$H$57,0,Opex!$D$32*H$3*(1+$H$56)^(H$2-$H$57-1))</f>
        <v>24.171586312500001</v>
      </c>
      <c r="I18" s="657">
        <f>IF(I$2&lt;=$H$57,0,Opex!$D$32*I$3*(1+$H$56)^(I$2-$H$57-1))</f>
        <v>28.065897440624997</v>
      </c>
      <c r="J18" s="657">
        <f>IF(J$2&lt;=$H$57,0,Opex!$D$32*J$3*(1+$H$56)^(J$2-$H$57-1))</f>
        <v>29.328862825453118</v>
      </c>
      <c r="K18" s="657">
        <f>IF(K$2&lt;=$H$57,0,Opex!$D$32*K$3*(1+$H$56)^(K$2-$H$57-1))</f>
        <v>30.648661652598509</v>
      </c>
      <c r="L18" s="657">
        <f>IF(L$2&lt;=$H$57,0,Opex!$D$32*L$3*(1+$H$56)^(L$2-$H$57-1))</f>
        <v>32.027851426965434</v>
      </c>
      <c r="M18" s="657">
        <f>IF(M$2&lt;=$H$57,0,Opex!$D$32*M$3*(1+$H$56)^(M$2-$H$57-1))</f>
        <v>33.469104741178882</v>
      </c>
      <c r="N18" s="657">
        <f>IF(N$2&lt;=$H$57,0,Opex!$D$32*N$3*(1+$H$56)^(N$2-$H$57-1))</f>
        <v>34.975214454531923</v>
      </c>
      <c r="O18" s="657">
        <f>IF(O$2&lt;=$H$57,0,Opex!$D$32*O$3*(1+$H$56)^(O$2-$H$57-1))</f>
        <v>36.549099104985856</v>
      </c>
      <c r="P18" s="657">
        <f>IF(P$2&lt;=$H$57,0,Opex!$D$32*P$3*(1+$H$56)^(P$2-$H$57-1))</f>
        <v>38.19380856471021</v>
      </c>
      <c r="Q18" s="657">
        <f>IF(Q$2&lt;=$H$57,0,Opex!$D$32*Q$3*(1+$H$56)^(Q$2-$H$57-1))</f>
        <v>39.91252995012217</v>
      </c>
      <c r="R18" s="657">
        <f>IF(R$2&lt;=$H$57,0,Opex!$D$32*R$3*(1+$H$56)^(R$2-$H$57-1))</f>
        <v>41.708593797877654</v>
      </c>
      <c r="S18" s="657">
        <f>IF(S$2&lt;=$H$57,0,Opex!$D$32*S$3*(1+$H$56)^(S$2-$H$57-1))</f>
        <v>43.585480518782155</v>
      </c>
      <c r="T18" s="657">
        <f>IF(T$2&lt;=$H$57,0,Opex!$D$32*T$3*(1+$H$56)^(T$2-$H$57-1))</f>
        <v>45.546827142127341</v>
      </c>
      <c r="U18" s="657">
        <f>IF(U$2&lt;=$H$57,0,Opex!$D$32*U$3*(1+$H$56)^(U$2-$H$57-1))</f>
        <v>47.596434363523073</v>
      </c>
      <c r="V18" s="657">
        <f>IF(V$2&lt;=$H$57,0,Opex!$D$32*V$3*(1+$H$56)^(V$2-$H$57-1))</f>
        <v>49.738273909881599</v>
      </c>
      <c r="W18" s="657">
        <f>IF(W$2&lt;=$H$57,0,Opex!$D$32*W$3*(1+$H$56)^(W$2-$H$57-1))</f>
        <v>51.976496235826275</v>
      </c>
      <c r="X18" s="657">
        <f>IF(X$2&lt;=$H$57,0,Opex!$D$32*X$3*(1+$H$56)^(X$2-$H$57-1))</f>
        <v>54.315438566438431</v>
      </c>
      <c r="Y18" s="657">
        <f>IF(Y$2&lt;=$H$57,0,Opex!$D$32*Y$3*(1+$H$56)^(Y$2-$H$57-1))</f>
        <v>56.759633301928162</v>
      </c>
      <c r="Z18" s="657">
        <f>IF(Z$2&lt;=$H$57,0,Opex!$D$32*Z$3*(1+$H$56)^(Z$2-$H$57-1))</f>
        <v>59.313816800514921</v>
      </c>
      <c r="AA18" s="657">
        <f>IF(AA$2&lt;=$H$57,0,Opex!$D$32*AA$3*(1+$H$56)^(AA$2-$H$57-1))</f>
        <v>61.982938556538087</v>
      </c>
    </row>
    <row r="19" spans="1:27">
      <c r="A19" s="654"/>
      <c r="B19" s="659" t="s">
        <v>25</v>
      </c>
      <c r="C19" s="659"/>
      <c r="D19" s="659"/>
      <c r="E19" s="659"/>
      <c r="F19" s="659"/>
      <c r="G19" s="660">
        <f>J19/$J$20</f>
        <v>5.4691353483656273E-2</v>
      </c>
      <c r="H19" s="657">
        <f>IF(H$2&lt;=$H$57,0,Opex!$D$35*H$3*(1+$H$56)^(H$2-$H$57-1))</f>
        <v>68.221495568728002</v>
      </c>
      <c r="I19" s="657">
        <f>IF(I$2&lt;=$H$57,0,Opex!$D$35*I$3*(1+$H$56)^(I$2-$H$57-1))</f>
        <v>79.212736521467519</v>
      </c>
      <c r="J19" s="657">
        <f>IF(J$2&lt;=$H$57,0,Opex!$D$35*J$3*(1+$H$56)^(J$2-$H$57-1))</f>
        <v>82.77730966493354</v>
      </c>
      <c r="K19" s="657">
        <f>IF(K$2&lt;=$H$57,0,Opex!$D$35*K$3*(1+$H$56)^(K$2-$H$57-1))</f>
        <v>86.502288599855547</v>
      </c>
      <c r="L19" s="657">
        <f>IF(L$2&lt;=$H$57,0,Opex!$D$35*L$3*(1+$H$56)^(L$2-$H$57-1))</f>
        <v>90.394891586849027</v>
      </c>
      <c r="M19" s="657">
        <f>IF(M$2&lt;=$H$57,0,Opex!$D$35*M$3*(1+$H$56)^(M$2-$H$57-1))</f>
        <v>94.46266170825723</v>
      </c>
      <c r="N19" s="657">
        <f>IF(N$2&lt;=$H$57,0,Opex!$D$35*N$3*(1+$H$56)^(N$2-$H$57-1))</f>
        <v>98.713481485128781</v>
      </c>
      <c r="O19" s="657">
        <f>IF(O$2&lt;=$H$57,0,Opex!$D$35*O$3*(1+$H$56)^(O$2-$H$57-1))</f>
        <v>103.15558815195959</v>
      </c>
      <c r="P19" s="657">
        <f>IF(P$2&lt;=$H$57,0,Opex!$D$35*P$3*(1+$H$56)^(P$2-$H$57-1))</f>
        <v>107.79758961879773</v>
      </c>
      <c r="Q19" s="657">
        <f>IF(Q$2&lt;=$H$57,0,Opex!$D$35*Q$3*(1+$H$56)^(Q$2-$H$57-1))</f>
        <v>112.64848115164362</v>
      </c>
      <c r="R19" s="657">
        <f>IF(R$2&lt;=$H$57,0,Opex!$D$35*R$3*(1+$H$56)^(R$2-$H$57-1))</f>
        <v>117.71766280346758</v>
      </c>
      <c r="S19" s="657">
        <f>IF(S$2&lt;=$H$57,0,Opex!$D$35*S$3*(1+$H$56)^(S$2-$H$57-1))</f>
        <v>123.01495762962361</v>
      </c>
      <c r="T19" s="657">
        <f>IF(T$2&lt;=$H$57,0,Opex!$D$35*T$3*(1+$H$56)^(T$2-$H$57-1))</f>
        <v>128.55063072295664</v>
      </c>
      <c r="U19" s="657">
        <f>IF(U$2&lt;=$H$57,0,Opex!$D$35*U$3*(1+$H$56)^(U$2-$H$57-1))</f>
        <v>134.3354091054897</v>
      </c>
      <c r="V19" s="657">
        <f>IF(V$2&lt;=$H$57,0,Opex!$D$35*V$3*(1+$H$56)^(V$2-$H$57-1))</f>
        <v>140.38050251523671</v>
      </c>
      <c r="W19" s="657">
        <f>IF(W$2&lt;=$H$57,0,Opex!$D$35*W$3*(1+$H$56)^(W$2-$H$57-1))</f>
        <v>146.69762512842237</v>
      </c>
      <c r="X19" s="657">
        <f>IF(X$2&lt;=$H$57,0,Opex!$D$35*X$3*(1+$H$56)^(X$2-$H$57-1))</f>
        <v>153.29901825920132</v>
      </c>
      <c r="Y19" s="657">
        <f>IF(Y$2&lt;=$H$57,0,Opex!$D$35*Y$3*(1+$H$56)^(Y$2-$H$57-1))</f>
        <v>160.19747408086536</v>
      </c>
      <c r="Z19" s="657">
        <f>IF(Z$2&lt;=$H$57,0,Opex!$D$35*Z$3*(1+$H$56)^(Z$2-$H$57-1))</f>
        <v>167.40636041450429</v>
      </c>
      <c r="AA19" s="657">
        <f>IF(AA$2&lt;=$H$57,0,Opex!$D$35*AA$3*(1+$H$56)^(AA$2-$H$57-1))</f>
        <v>174.93964663315697</v>
      </c>
    </row>
    <row r="20" spans="1:27" s="730" customFormat="1">
      <c r="A20" s="637"/>
      <c r="B20" s="661" t="s">
        <v>34</v>
      </c>
      <c r="C20" s="661"/>
      <c r="D20" s="661"/>
      <c r="E20" s="661"/>
      <c r="F20" s="661"/>
      <c r="G20" s="662"/>
      <c r="H20" s="641">
        <f t="shared" ref="H20:Q20" si="1">SUM(H15:H19)</f>
        <v>1226.68698263497</v>
      </c>
      <c r="I20" s="641">
        <f t="shared" si="1"/>
        <v>1434.8055784220091</v>
      </c>
      <c r="J20" s="641">
        <f t="shared" si="1"/>
        <v>1513.5355845539707</v>
      </c>
      <c r="K20" s="641">
        <f t="shared" si="1"/>
        <v>1596.6234234304957</v>
      </c>
      <c r="L20" s="641">
        <f t="shared" si="1"/>
        <v>1684.3120916163332</v>
      </c>
      <c r="M20" s="641">
        <f t="shared" si="1"/>
        <v>1776.8582188076584</v>
      </c>
      <c r="N20" s="641">
        <f t="shared" si="1"/>
        <v>1874.5328365823596</v>
      </c>
      <c r="O20" s="641">
        <f t="shared" si="1"/>
        <v>1977.6221906777209</v>
      </c>
      <c r="P20" s="641">
        <f t="shared" si="1"/>
        <v>2086.4285992682567</v>
      </c>
      <c r="Q20" s="641">
        <f t="shared" si="1"/>
        <v>2201.2713598573446</v>
      </c>
      <c r="R20" s="663">
        <f t="shared" ref="R20:AA20" si="2">SUM(R15:R19)</f>
        <v>2322.4877075451527</v>
      </c>
      <c r="S20" s="641">
        <f t="shared" si="2"/>
        <v>2450.4338275927898</v>
      </c>
      <c r="T20" s="641">
        <f t="shared" si="2"/>
        <v>2585.4859253689647</v>
      </c>
      <c r="U20" s="641">
        <f t="shared" si="2"/>
        <v>2728.0413569413231</v>
      </c>
      <c r="V20" s="641">
        <f t="shared" si="2"/>
        <v>2878.5198237605523</v>
      </c>
      <c r="W20" s="641">
        <f t="shared" si="2"/>
        <v>3037.3646350818985</v>
      </c>
      <c r="X20" s="641">
        <f t="shared" si="2"/>
        <v>3205.0440419764695</v>
      </c>
      <c r="Y20" s="641">
        <f t="shared" si="2"/>
        <v>3382.0526470043956</v>
      </c>
      <c r="Z20" s="641">
        <f t="shared" si="2"/>
        <v>3568.9128938539939</v>
      </c>
      <c r="AA20" s="322">
        <f t="shared" si="2"/>
        <v>3766.1766414966619</v>
      </c>
    </row>
    <row r="21" spans="1:27">
      <c r="A21" s="654"/>
      <c r="B21" s="659"/>
      <c r="C21" s="659"/>
      <c r="D21" s="659"/>
      <c r="E21" s="659"/>
      <c r="F21" s="659"/>
      <c r="G21" s="656"/>
      <c r="H21" s="321"/>
      <c r="I21" s="321"/>
      <c r="J21" s="321"/>
      <c r="K21" s="321"/>
      <c r="L21" s="321"/>
      <c r="M21" s="321"/>
      <c r="N21" s="321"/>
      <c r="O21" s="321"/>
      <c r="P21" s="321"/>
      <c r="Q21" s="321"/>
      <c r="R21" s="744"/>
      <c r="AA21" s="745"/>
    </row>
    <row r="22" spans="1:27" s="730" customFormat="1">
      <c r="A22" s="770">
        <v>6</v>
      </c>
      <c r="B22" s="619" t="s">
        <v>520</v>
      </c>
      <c r="C22" s="771"/>
      <c r="D22" s="771"/>
      <c r="E22" s="771"/>
      <c r="F22" s="771"/>
      <c r="G22" s="666"/>
      <c r="H22" s="667">
        <f t="shared" ref="H22:AA22" si="3">H11-H20</f>
        <v>401.53936177253013</v>
      </c>
      <c r="I22" s="667">
        <f t="shared" si="3"/>
        <v>479.72082377082461</v>
      </c>
      <c r="J22" s="667">
        <f t="shared" si="3"/>
        <v>512.51621099778913</v>
      </c>
      <c r="K22" s="667">
        <f t="shared" si="3"/>
        <v>547.45081984965782</v>
      </c>
      <c r="L22" s="667">
        <f t="shared" si="3"/>
        <v>584.66017422945765</v>
      </c>
      <c r="M22" s="667">
        <f t="shared" si="3"/>
        <v>624.2882191519252</v>
      </c>
      <c r="N22" s="667">
        <f t="shared" si="3"/>
        <v>666.48783705693472</v>
      </c>
      <c r="O22" s="667">
        <f t="shared" si="3"/>
        <v>711.4213954791262</v>
      </c>
      <c r="P22" s="667">
        <f t="shared" si="3"/>
        <v>759.26132796489992</v>
      </c>
      <c r="Q22" s="667">
        <f t="shared" si="3"/>
        <v>810.19075024140693</v>
      </c>
      <c r="R22" s="668">
        <f t="shared" si="3"/>
        <v>864.40411376243492</v>
      </c>
      <c r="S22" s="667">
        <f t="shared" si="3"/>
        <v>922.10789888354475</v>
      </c>
      <c r="T22" s="667">
        <f t="shared" si="3"/>
        <v>983.52135005384162</v>
      </c>
      <c r="U22" s="667">
        <f t="shared" si="3"/>
        <v>1048.8772555549604</v>
      </c>
      <c r="V22" s="667">
        <f t="shared" si="3"/>
        <v>1118.4227744694535</v>
      </c>
      <c r="W22" s="667">
        <f t="shared" si="3"/>
        <v>1192.4203137215804</v>
      </c>
      <c r="X22" s="667">
        <f t="shared" si="3"/>
        <v>1271.1484582037951</v>
      </c>
      <c r="Y22" s="667">
        <f t="shared" si="3"/>
        <v>1354.9029571827609</v>
      </c>
      <c r="Z22" s="667">
        <f t="shared" si="3"/>
        <v>1443.9977703700247</v>
      </c>
      <c r="AA22" s="669">
        <f t="shared" si="3"/>
        <v>1538.7661772451361</v>
      </c>
    </row>
    <row r="23" spans="1:27">
      <c r="A23" s="654"/>
      <c r="B23" s="721" t="s">
        <v>523</v>
      </c>
      <c r="C23" s="659"/>
      <c r="D23" s="659"/>
      <c r="E23" s="659"/>
      <c r="F23" s="659"/>
      <c r="G23" s="656"/>
      <c r="H23" s="709">
        <f>H22/H11</f>
        <v>0.2466115126755595</v>
      </c>
      <c r="I23" s="709">
        <f t="shared" ref="I23:AA23" si="4">I22/I11</f>
        <v>0.25056892567340339</v>
      </c>
      <c r="J23" s="709">
        <f t="shared" si="4"/>
        <v>0.25296303486565813</v>
      </c>
      <c r="K23" s="709">
        <f t="shared" si="4"/>
        <v>0.25533202572879637</v>
      </c>
      <c r="L23" s="709">
        <f t="shared" si="4"/>
        <v>0.25767621007545349</v>
      </c>
      <c r="M23" s="709">
        <f t="shared" si="4"/>
        <v>0.25999589582817162</v>
      </c>
      <c r="N23" s="709">
        <f t="shared" si="4"/>
        <v>0.26229138706785066</v>
      </c>
      <c r="O23" s="709">
        <f t="shared" si="4"/>
        <v>0.26456298408159395</v>
      </c>
      <c r="P23" s="709">
        <f t="shared" si="4"/>
        <v>0.26681098340996134</v>
      </c>
      <c r="Q23" s="709">
        <f t="shared" si="4"/>
        <v>0.26903567789363264</v>
      </c>
      <c r="R23" s="709">
        <f t="shared" si="4"/>
        <v>0.27123735671949112</v>
      </c>
      <c r="S23" s="709">
        <f t="shared" si="4"/>
        <v>0.27341630546613649</v>
      </c>
      <c r="T23" s="709">
        <f t="shared" si="4"/>
        <v>0.27557280614882684</v>
      </c>
      <c r="U23" s="709">
        <f t="shared" si="4"/>
        <v>0.27770713726386725</v>
      </c>
      <c r="V23" s="709">
        <f t="shared" si="4"/>
        <v>0.27981957383244199</v>
      </c>
      <c r="W23" s="709">
        <f t="shared" si="4"/>
        <v>0.28191038744390351</v>
      </c>
      <c r="X23" s="709">
        <f t="shared" si="4"/>
        <v>0.28397984629852346</v>
      </c>
      <c r="Y23" s="709">
        <f t="shared" si="4"/>
        <v>0.28602821524970934</v>
      </c>
      <c r="Z23" s="709">
        <f t="shared" si="4"/>
        <v>0.28805575584570098</v>
      </c>
      <c r="AA23" s="709">
        <f t="shared" si="4"/>
        <v>0.29006272637074221</v>
      </c>
    </row>
    <row r="24" spans="1:27">
      <c r="A24" s="654"/>
      <c r="B24" s="659"/>
      <c r="C24" s="659"/>
      <c r="D24" s="659"/>
      <c r="E24" s="659"/>
      <c r="F24" s="659"/>
      <c r="G24" s="656"/>
      <c r="H24" s="321"/>
      <c r="I24" s="321"/>
      <c r="J24" s="321"/>
      <c r="K24" s="321"/>
      <c r="L24" s="321"/>
      <c r="M24" s="321"/>
      <c r="N24" s="321"/>
      <c r="O24" s="321"/>
      <c r="P24" s="321"/>
      <c r="Q24" s="321"/>
      <c r="R24" s="670"/>
      <c r="S24" s="321"/>
      <c r="T24" s="321"/>
      <c r="U24" s="321"/>
      <c r="V24" s="321"/>
      <c r="W24" s="321"/>
      <c r="X24" s="321"/>
      <c r="Y24" s="321"/>
      <c r="Z24" s="321"/>
      <c r="AA24" s="319"/>
    </row>
    <row r="25" spans="1:27" s="730" customFormat="1">
      <c r="A25" s="648"/>
      <c r="B25" s="649" t="s">
        <v>36</v>
      </c>
      <c r="C25" s="633">
        <f>+C8</f>
        <v>-77.459999999999994</v>
      </c>
      <c r="D25" s="633">
        <f>+D8</f>
        <v>-387.28</v>
      </c>
      <c r="E25" s="633">
        <f>+E8</f>
        <v>-542.19000000000005</v>
      </c>
      <c r="F25" s="633">
        <f>+F8</f>
        <v>-542.19000000000005</v>
      </c>
      <c r="G25" s="650"/>
      <c r="H25" s="651">
        <f>H22+SUM(C25:F25)</f>
        <v>-1147.58063822747</v>
      </c>
      <c r="I25" s="651">
        <f t="shared" ref="I25:AA25" si="5">I22</f>
        <v>479.72082377082461</v>
      </c>
      <c r="J25" s="651">
        <f t="shared" si="5"/>
        <v>512.51621099778913</v>
      </c>
      <c r="K25" s="651">
        <f t="shared" si="5"/>
        <v>547.45081984965782</v>
      </c>
      <c r="L25" s="651">
        <f t="shared" si="5"/>
        <v>584.66017422945765</v>
      </c>
      <c r="M25" s="651">
        <f t="shared" si="5"/>
        <v>624.2882191519252</v>
      </c>
      <c r="N25" s="651">
        <f t="shared" si="5"/>
        <v>666.48783705693472</v>
      </c>
      <c r="O25" s="651">
        <f t="shared" si="5"/>
        <v>711.4213954791262</v>
      </c>
      <c r="P25" s="651">
        <f t="shared" si="5"/>
        <v>759.26132796489992</v>
      </c>
      <c r="Q25" s="651">
        <f t="shared" si="5"/>
        <v>810.19075024140693</v>
      </c>
      <c r="R25" s="652">
        <f t="shared" si="5"/>
        <v>864.40411376243492</v>
      </c>
      <c r="S25" s="651">
        <f t="shared" si="5"/>
        <v>922.10789888354475</v>
      </c>
      <c r="T25" s="651">
        <f t="shared" si="5"/>
        <v>983.52135005384162</v>
      </c>
      <c r="U25" s="651">
        <f t="shared" si="5"/>
        <v>1048.8772555549604</v>
      </c>
      <c r="V25" s="651">
        <f t="shared" si="5"/>
        <v>1118.4227744694535</v>
      </c>
      <c r="W25" s="651">
        <f t="shared" si="5"/>
        <v>1192.4203137215804</v>
      </c>
      <c r="X25" s="651">
        <f t="shared" si="5"/>
        <v>1271.1484582037951</v>
      </c>
      <c r="Y25" s="651">
        <f t="shared" si="5"/>
        <v>1354.9029571827609</v>
      </c>
      <c r="Z25" s="651">
        <f t="shared" si="5"/>
        <v>1443.9977703700247</v>
      </c>
      <c r="AA25" s="653">
        <f t="shared" si="5"/>
        <v>1538.7661772451361</v>
      </c>
    </row>
    <row r="26" spans="1:27">
      <c r="A26" s="654"/>
      <c r="B26" s="659"/>
      <c r="C26" s="659"/>
      <c r="D26" s="659"/>
      <c r="E26" s="659"/>
      <c r="F26" s="659"/>
      <c r="G26" s="656"/>
      <c r="H26" s="321"/>
      <c r="I26" s="321"/>
      <c r="J26" s="321"/>
      <c r="K26" s="321"/>
      <c r="L26" s="321"/>
      <c r="M26" s="321"/>
      <c r="N26" s="321"/>
      <c r="O26" s="321"/>
      <c r="P26" s="321"/>
      <c r="Q26" s="321"/>
      <c r="R26" s="670"/>
      <c r="S26" s="321"/>
      <c r="T26" s="321"/>
      <c r="U26" s="321"/>
      <c r="V26" s="321"/>
      <c r="W26" s="321"/>
      <c r="X26" s="321"/>
      <c r="Y26" s="321"/>
      <c r="Z26" s="321"/>
      <c r="AA26" s="319"/>
    </row>
    <row r="27" spans="1:27">
      <c r="A27" s="654"/>
      <c r="B27" s="659" t="s">
        <v>37</v>
      </c>
      <c r="C27" s="659"/>
      <c r="D27" s="659"/>
      <c r="E27" s="659"/>
      <c r="F27" s="659"/>
      <c r="G27" s="656">
        <v>1</v>
      </c>
      <c r="H27" s="321">
        <f>G27/(1+0.1)</f>
        <v>0.90909090909090906</v>
      </c>
      <c r="I27" s="321">
        <f>H27/(1+0.1)</f>
        <v>0.82644628099173545</v>
      </c>
      <c r="J27" s="321">
        <f t="shared" ref="J27:AA27" si="6">I27/(1+0.1)</f>
        <v>0.75131480090157765</v>
      </c>
      <c r="K27" s="321">
        <f t="shared" si="6"/>
        <v>0.68301345536507052</v>
      </c>
      <c r="L27" s="321">
        <f t="shared" si="6"/>
        <v>0.62092132305915493</v>
      </c>
      <c r="M27" s="321">
        <f t="shared" si="6"/>
        <v>0.56447393005377711</v>
      </c>
      <c r="N27" s="321">
        <f t="shared" si="6"/>
        <v>0.51315811823070645</v>
      </c>
      <c r="O27" s="321">
        <f t="shared" si="6"/>
        <v>0.46650738020973309</v>
      </c>
      <c r="P27" s="321">
        <f t="shared" si="6"/>
        <v>0.42409761837248461</v>
      </c>
      <c r="Q27" s="321">
        <f t="shared" si="6"/>
        <v>0.38554328942953142</v>
      </c>
      <c r="R27" s="670">
        <f t="shared" si="6"/>
        <v>0.35049389948139215</v>
      </c>
      <c r="S27" s="321">
        <f t="shared" si="6"/>
        <v>0.31863081771035645</v>
      </c>
      <c r="T27" s="321">
        <f t="shared" si="6"/>
        <v>0.28966437973668768</v>
      </c>
      <c r="U27" s="321">
        <f t="shared" si="6"/>
        <v>0.26333125430607968</v>
      </c>
      <c r="V27" s="321">
        <f t="shared" si="6"/>
        <v>0.23939204936916333</v>
      </c>
      <c r="W27" s="321">
        <f t="shared" si="6"/>
        <v>0.21762913579014848</v>
      </c>
      <c r="X27" s="321">
        <f t="shared" si="6"/>
        <v>0.19784466890013497</v>
      </c>
      <c r="Y27" s="321">
        <f t="shared" si="6"/>
        <v>0.17985878990921358</v>
      </c>
      <c r="Z27" s="321">
        <f t="shared" si="6"/>
        <v>0.16350799082655779</v>
      </c>
      <c r="AA27" s="319">
        <f t="shared" si="6"/>
        <v>0.14864362802414344</v>
      </c>
    </row>
    <row r="28" spans="1:27">
      <c r="A28" s="654"/>
      <c r="B28" s="659" t="s">
        <v>38</v>
      </c>
      <c r="C28" s="671"/>
      <c r="D28" s="671"/>
      <c r="E28" s="671"/>
      <c r="F28" s="671"/>
      <c r="G28" s="672"/>
      <c r="H28" s="657">
        <f>H25*H27</f>
        <v>-1043.2551256613363</v>
      </c>
      <c r="I28" s="657">
        <f t="shared" ref="I28:AA28" si="7">I25*I27</f>
        <v>396.46349071968973</v>
      </c>
      <c r="J28" s="657">
        <f t="shared" si="7"/>
        <v>385.06101502463491</v>
      </c>
      <c r="K28" s="657">
        <f t="shared" si="7"/>
        <v>373.91627610795553</v>
      </c>
      <c r="L28" s="657">
        <f t="shared" si="7"/>
        <v>363.02796892255088</v>
      </c>
      <c r="M28" s="657">
        <f t="shared" si="7"/>
        <v>352.39442455096088</v>
      </c>
      <c r="N28" s="657">
        <f t="shared" si="7"/>
        <v>342.01364428779033</v>
      </c>
      <c r="O28" s="657">
        <f t="shared" si="7"/>
        <v>331.8833314301196</v>
      </c>
      <c r="P28" s="657">
        <f t="shared" si="7"/>
        <v>322.000920912244</v>
      </c>
      <c r="Q28" s="657">
        <f t="shared" si="7"/>
        <v>312.36360691345197</v>
      </c>
      <c r="R28" s="673">
        <f t="shared" si="7"/>
        <v>302.9683685603527</v>
      </c>
      <c r="S28" s="657">
        <f t="shared" si="7"/>
        <v>293.81199383844256</v>
      </c>
      <c r="T28" s="657">
        <f t="shared" si="7"/>
        <v>284.89110182113569</v>
      </c>
      <c r="U28" s="657">
        <f t="shared" si="7"/>
        <v>276.20216331840618</v>
      </c>
      <c r="V28" s="657">
        <f t="shared" si="7"/>
        <v>267.74152004138807</v>
      </c>
      <c r="W28" s="657">
        <f t="shared" si="7"/>
        <v>259.5054023738453</v>
      </c>
      <c r="X28" s="657">
        <f t="shared" si="7"/>
        <v>251.4899458362469</v>
      </c>
      <c r="Y28" s="657">
        <f t="shared" si="7"/>
        <v>243.6912063233064</v>
      </c>
      <c r="Z28" s="657">
        <f t="shared" si="7"/>
        <v>236.1051741912319</v>
      </c>
      <c r="AA28" s="674">
        <f t="shared" si="7"/>
        <v>228.72778726655918</v>
      </c>
    </row>
    <row r="29" spans="1:27">
      <c r="A29" s="654"/>
      <c r="B29" s="659" t="s">
        <v>39</v>
      </c>
      <c r="C29" s="659"/>
      <c r="D29" s="659"/>
      <c r="E29" s="659"/>
      <c r="F29" s="659"/>
      <c r="G29" s="672"/>
      <c r="H29" s="657">
        <f>H25</f>
        <v>-1147.58063822747</v>
      </c>
      <c r="I29" s="657">
        <f t="shared" ref="I29:AA29" si="8">I25</f>
        <v>479.72082377082461</v>
      </c>
      <c r="J29" s="657">
        <f t="shared" si="8"/>
        <v>512.51621099778913</v>
      </c>
      <c r="K29" s="657">
        <f>K25</f>
        <v>547.45081984965782</v>
      </c>
      <c r="L29" s="657">
        <f t="shared" si="8"/>
        <v>584.66017422945765</v>
      </c>
      <c r="M29" s="657">
        <f t="shared" si="8"/>
        <v>624.2882191519252</v>
      </c>
      <c r="N29" s="657">
        <f t="shared" si="8"/>
        <v>666.48783705693472</v>
      </c>
      <c r="O29" s="657">
        <f t="shared" si="8"/>
        <v>711.4213954791262</v>
      </c>
      <c r="P29" s="657">
        <f t="shared" si="8"/>
        <v>759.26132796489992</v>
      </c>
      <c r="Q29" s="657">
        <f t="shared" si="8"/>
        <v>810.19075024140693</v>
      </c>
      <c r="R29" s="673">
        <f t="shared" si="8"/>
        <v>864.40411376243492</v>
      </c>
      <c r="S29" s="657">
        <f t="shared" si="8"/>
        <v>922.10789888354475</v>
      </c>
      <c r="T29" s="657">
        <f t="shared" si="8"/>
        <v>983.52135005384162</v>
      </c>
      <c r="U29" s="657">
        <f t="shared" si="8"/>
        <v>1048.8772555549604</v>
      </c>
      <c r="V29" s="657">
        <f t="shared" si="8"/>
        <v>1118.4227744694535</v>
      </c>
      <c r="W29" s="657">
        <f t="shared" si="8"/>
        <v>1192.4203137215804</v>
      </c>
      <c r="X29" s="657">
        <f t="shared" si="8"/>
        <v>1271.1484582037951</v>
      </c>
      <c r="Y29" s="657">
        <f t="shared" si="8"/>
        <v>1354.9029571827609</v>
      </c>
      <c r="Z29" s="657">
        <f t="shared" si="8"/>
        <v>1443.9977703700247</v>
      </c>
      <c r="AA29" s="674">
        <f t="shared" si="8"/>
        <v>1538.7661772451361</v>
      </c>
    </row>
    <row r="30" spans="1:27">
      <c r="A30" s="642"/>
      <c r="B30" s="675" t="s">
        <v>495</v>
      </c>
      <c r="C30" s="675"/>
      <c r="D30" s="675"/>
      <c r="E30" s="675"/>
      <c r="F30" s="675"/>
      <c r="G30" s="676"/>
      <c r="H30" s="677">
        <f>G29+H25</f>
        <v>-1147.58063822747</v>
      </c>
      <c r="I30" s="677">
        <f>H30+I25</f>
        <v>-667.85981445664538</v>
      </c>
      <c r="J30" s="677">
        <f t="shared" ref="J30:AA30" si="9">I30+J25</f>
        <v>-155.34360345885625</v>
      </c>
      <c r="K30" s="677">
        <f>J30+K25</f>
        <v>392.10721639080157</v>
      </c>
      <c r="L30" s="677">
        <f t="shared" si="9"/>
        <v>976.76739062025922</v>
      </c>
      <c r="M30" s="677">
        <f t="shared" si="9"/>
        <v>1601.0556097721844</v>
      </c>
      <c r="N30" s="677">
        <f t="shared" si="9"/>
        <v>2267.5434468291191</v>
      </c>
      <c r="O30" s="677">
        <f t="shared" si="9"/>
        <v>2978.9648423082454</v>
      </c>
      <c r="P30" s="677">
        <f t="shared" si="9"/>
        <v>3738.2261702731453</v>
      </c>
      <c r="Q30" s="677">
        <f t="shared" si="9"/>
        <v>4548.4169205145517</v>
      </c>
      <c r="R30" s="678">
        <f t="shared" si="9"/>
        <v>5412.8210342769871</v>
      </c>
      <c r="S30" s="677">
        <f t="shared" si="9"/>
        <v>6334.9289331605323</v>
      </c>
      <c r="T30" s="677">
        <f t="shared" si="9"/>
        <v>7318.4502832143735</v>
      </c>
      <c r="U30" s="677">
        <f t="shared" si="9"/>
        <v>8367.3275387693338</v>
      </c>
      <c r="V30" s="677">
        <f t="shared" si="9"/>
        <v>9485.7503132387865</v>
      </c>
      <c r="W30" s="677">
        <f t="shared" si="9"/>
        <v>10678.170626960367</v>
      </c>
      <c r="X30" s="677">
        <f t="shared" si="9"/>
        <v>11949.319085164163</v>
      </c>
      <c r="Y30" s="677">
        <f t="shared" si="9"/>
        <v>13304.222042346924</v>
      </c>
      <c r="Z30" s="677">
        <f t="shared" si="9"/>
        <v>14748.219812716949</v>
      </c>
      <c r="AA30" s="679">
        <f t="shared" si="9"/>
        <v>16286.985989962084</v>
      </c>
    </row>
    <row r="31" spans="1:27">
      <c r="A31" s="654"/>
      <c r="B31" s="659"/>
      <c r="C31" s="659"/>
      <c r="D31" s="659"/>
      <c r="E31" s="659"/>
      <c r="F31" s="659"/>
      <c r="G31" s="656"/>
      <c r="H31" s="657"/>
      <c r="I31" s="657"/>
      <c r="J31" s="657"/>
      <c r="K31" s="657"/>
      <c r="L31" s="657"/>
      <c r="M31" s="657"/>
      <c r="N31" s="657"/>
      <c r="O31" s="657"/>
      <c r="P31" s="657"/>
      <c r="Q31" s="657"/>
      <c r="R31" s="673"/>
      <c r="S31" s="657"/>
      <c r="T31" s="657"/>
      <c r="U31" s="657"/>
      <c r="V31" s="657"/>
      <c r="W31" s="657"/>
      <c r="X31" s="657"/>
      <c r="Y31" s="657"/>
      <c r="Z31" s="657"/>
      <c r="AA31" s="674"/>
    </row>
    <row r="32" spans="1:27">
      <c r="A32" s="654"/>
      <c r="B32" s="659"/>
      <c r="C32" s="659"/>
      <c r="D32" s="659"/>
      <c r="E32" s="659"/>
      <c r="F32" s="659"/>
      <c r="G32" s="656"/>
      <c r="H32" s="657"/>
      <c r="I32" s="657"/>
      <c r="J32" s="657"/>
      <c r="K32" s="657"/>
      <c r="L32" s="657"/>
      <c r="M32" s="657"/>
      <c r="N32" s="657"/>
      <c r="O32" s="657"/>
      <c r="P32" s="657"/>
      <c r="Q32" s="657"/>
      <c r="R32" s="673"/>
      <c r="S32" s="657"/>
      <c r="T32" s="657"/>
      <c r="U32" s="657"/>
      <c r="V32" s="657"/>
      <c r="W32" s="657"/>
      <c r="X32" s="657"/>
      <c r="Y32" s="657"/>
      <c r="Z32" s="657"/>
      <c r="AA32" s="674"/>
    </row>
    <row r="33" spans="1:27">
      <c r="A33" s="654"/>
      <c r="B33" s="680" t="s">
        <v>455</v>
      </c>
      <c r="C33" s="681"/>
      <c r="D33" s="681"/>
      <c r="E33" s="681"/>
      <c r="F33" s="681"/>
      <c r="G33" s="682">
        <f>NPV(0%,(H28:AA28))</f>
        <v>4781.0042167789761</v>
      </c>
      <c r="H33" s="683"/>
      <c r="I33" s="321"/>
      <c r="J33" s="321"/>
      <c r="K33" s="321"/>
      <c r="L33" s="321"/>
      <c r="M33" s="321"/>
      <c r="N33" s="321"/>
      <c r="O33" s="321"/>
      <c r="P33" s="321"/>
      <c r="Q33" s="321"/>
      <c r="R33" s="670"/>
      <c r="S33" s="321"/>
      <c r="T33" s="321"/>
      <c r="U33" s="321"/>
      <c r="V33" s="321"/>
      <c r="W33" s="321"/>
      <c r="X33" s="321"/>
      <c r="Y33" s="321"/>
      <c r="Z33" s="321"/>
      <c r="AA33" s="319"/>
    </row>
    <row r="34" spans="1:27">
      <c r="A34" s="654"/>
      <c r="B34" s="684" t="s">
        <v>41</v>
      </c>
      <c r="C34" s="643"/>
      <c r="D34" s="643"/>
      <c r="E34" s="643"/>
      <c r="F34" s="643"/>
      <c r="G34" s="685">
        <f>IRR(C25:AA25,0.1)</f>
        <v>0.19215549484680339</v>
      </c>
      <c r="H34" s="319"/>
      <c r="I34" s="321"/>
      <c r="J34" s="321"/>
      <c r="K34" s="321"/>
      <c r="L34" s="321"/>
      <c r="M34" s="321"/>
      <c r="N34" s="321"/>
      <c r="O34" s="321"/>
      <c r="P34" s="321"/>
      <c r="Q34" s="321"/>
      <c r="R34" s="670"/>
      <c r="S34" s="321"/>
      <c r="T34" s="321"/>
      <c r="U34" s="321"/>
      <c r="V34" s="321"/>
      <c r="W34" s="321"/>
      <c r="X34" s="321"/>
      <c r="Y34" s="321"/>
      <c r="Z34" s="321"/>
      <c r="AA34" s="319"/>
    </row>
    <row r="35" spans="1:27">
      <c r="A35" s="654"/>
      <c r="B35" s="686" t="s">
        <v>500</v>
      </c>
      <c r="C35" s="687"/>
      <c r="D35" s="687"/>
      <c r="E35" s="687"/>
      <c r="F35" s="687"/>
      <c r="G35" s="688">
        <f>IF(SUM(H40:AA40)&lt;=25,SUM(H40:AA40)," N/A ")</f>
        <v>3.2837580981274574</v>
      </c>
      <c r="H35" s="689"/>
      <c r="I35" s="321"/>
      <c r="J35" s="321"/>
      <c r="K35" s="321"/>
      <c r="L35" s="321"/>
      <c r="M35" s="321"/>
      <c r="N35" s="321"/>
      <c r="O35" s="321"/>
      <c r="P35" s="321"/>
      <c r="Q35" s="321"/>
      <c r="R35" s="670"/>
      <c r="S35" s="321"/>
      <c r="T35" s="321"/>
      <c r="U35" s="321"/>
      <c r="V35" s="321"/>
      <c r="W35" s="321"/>
      <c r="X35" s="321"/>
      <c r="Y35" s="321"/>
      <c r="Z35" s="321"/>
      <c r="AA35" s="319"/>
    </row>
    <row r="36" spans="1:27">
      <c r="A36" s="654"/>
      <c r="B36" s="690" t="s">
        <v>501</v>
      </c>
      <c r="C36" s="691"/>
      <c r="D36" s="691"/>
      <c r="E36" s="691"/>
      <c r="F36" s="691"/>
      <c r="G36" s="688">
        <f>IF(SUM(H41:AA41)&lt;=25,SUM(H41:AA41)," N/A ")</f>
        <v>3.4154502314684105</v>
      </c>
      <c r="H36" s="692"/>
      <c r="I36" s="321"/>
      <c r="J36" s="321"/>
      <c r="K36" s="321"/>
      <c r="L36" s="321"/>
      <c r="M36" s="321"/>
      <c r="N36" s="321"/>
      <c r="O36" s="321"/>
      <c r="P36" s="321"/>
      <c r="Q36" s="321"/>
      <c r="R36" s="670"/>
      <c r="S36" s="321"/>
      <c r="T36" s="321"/>
      <c r="U36" s="321"/>
      <c r="V36" s="321"/>
      <c r="W36" s="321"/>
      <c r="X36" s="321"/>
      <c r="Y36" s="321"/>
      <c r="Z36" s="321"/>
      <c r="AA36" s="319"/>
    </row>
    <row r="37" spans="1:27">
      <c r="A37" s="318"/>
      <c r="G37" s="133"/>
      <c r="H37" s="693">
        <v>1</v>
      </c>
      <c r="I37" s="693">
        <v>2</v>
      </c>
      <c r="J37" s="693">
        <v>3</v>
      </c>
      <c r="K37" s="693">
        <v>4</v>
      </c>
      <c r="L37" s="693">
        <v>5</v>
      </c>
      <c r="M37" s="693">
        <v>6</v>
      </c>
      <c r="N37" s="693">
        <v>7</v>
      </c>
      <c r="O37" s="693">
        <v>8</v>
      </c>
      <c r="P37" s="693">
        <v>9</v>
      </c>
      <c r="Q37" s="693">
        <v>10</v>
      </c>
      <c r="R37" s="694">
        <v>11</v>
      </c>
      <c r="S37" s="693">
        <v>12</v>
      </c>
      <c r="T37" s="693">
        <v>13</v>
      </c>
      <c r="U37" s="693">
        <v>14</v>
      </c>
      <c r="V37" s="693">
        <v>15</v>
      </c>
      <c r="W37" s="693">
        <v>16</v>
      </c>
      <c r="X37" s="693">
        <v>17</v>
      </c>
      <c r="Y37" s="693">
        <v>18</v>
      </c>
      <c r="Z37" s="693">
        <v>19</v>
      </c>
      <c r="AA37" s="695">
        <v>20</v>
      </c>
    </row>
    <row r="38" spans="1:27">
      <c r="A38" s="696"/>
      <c r="B38" s="697" t="s">
        <v>502</v>
      </c>
      <c r="C38" s="698"/>
      <c r="D38" s="698"/>
      <c r="E38" s="698"/>
      <c r="F38" s="698"/>
      <c r="G38" s="699"/>
      <c r="H38" s="700">
        <f t="shared" ref="H38:AA38" si="10">IF(H30&lt;0,1,IF(H29=0,0,-G30/H29))</f>
        <v>1</v>
      </c>
      <c r="I38" s="700">
        <f t="shared" si="10"/>
        <v>1</v>
      </c>
      <c r="J38" s="700">
        <f t="shared" si="10"/>
        <v>1</v>
      </c>
      <c r="K38" s="700">
        <f t="shared" si="10"/>
        <v>0.2837580981274575</v>
      </c>
      <c r="L38" s="700">
        <f t="shared" si="10"/>
        <v>-0.67065833055513357</v>
      </c>
      <c r="M38" s="700">
        <f t="shared" si="10"/>
        <v>-1.5646096797199942</v>
      </c>
      <c r="N38" s="700">
        <f t="shared" si="10"/>
        <v>-2.4022277988479095</v>
      </c>
      <c r="O38" s="700">
        <f t="shared" si="10"/>
        <v>-3.1873422155120594</v>
      </c>
      <c r="P38" s="700">
        <f t="shared" si="10"/>
        <v>-3.9235039802342739</v>
      </c>
      <c r="Q38" s="700">
        <f t="shared" si="10"/>
        <v>-4.6140074657224757</v>
      </c>
      <c r="R38" s="701">
        <f t="shared" si="10"/>
        <v>-5.2619103126626232</v>
      </c>
      <c r="S38" s="700">
        <f t="shared" si="10"/>
        <v>-5.8700516944173637</v>
      </c>
      <c r="T38" s="700">
        <f t="shared" si="10"/>
        <v>-6.4410690554035606</v>
      </c>
      <c r="U38" s="700">
        <f t="shared" si="10"/>
        <v>-6.9774134623046864</v>
      </c>
      <c r="V38" s="700">
        <f t="shared" si="10"/>
        <v>-7.4813636933837877</v>
      </c>
      <c r="W38" s="700">
        <f t="shared" si="10"/>
        <v>-7.9550391787887849</v>
      </c>
      <c r="X38" s="700">
        <f t="shared" si="10"/>
        <v>-8.4004118937053409</v>
      </c>
      <c r="Y38" s="700">
        <f t="shared" si="10"/>
        <v>-8.8193172963547806</v>
      </c>
      <c r="Z38" s="700">
        <f t="shared" si="10"/>
        <v>-9.2134643940189154</v>
      </c>
      <c r="AA38" s="702">
        <f t="shared" si="10"/>
        <v>-9.5844450123804972</v>
      </c>
    </row>
    <row r="39" spans="1:27">
      <c r="B39" s="114" t="s">
        <v>503</v>
      </c>
      <c r="G39" s="703"/>
      <c r="H39" s="700">
        <f>IF(H30&lt;0,1,IF(H30=0,0,-G30/H28))</f>
        <v>1</v>
      </c>
      <c r="I39" s="700">
        <f t="shared" ref="I39:AA39" si="11">IF(I30&lt;0,1,IF(I30=0,0,-H30/I28))</f>
        <v>1</v>
      </c>
      <c r="J39" s="700">
        <f t="shared" si="11"/>
        <v>1</v>
      </c>
      <c r="K39" s="700">
        <f t="shared" si="11"/>
        <v>0.41545023146841059</v>
      </c>
      <c r="L39" s="700">
        <f t="shared" si="11"/>
        <v>-1.0801019479423486</v>
      </c>
      <c r="M39" s="700">
        <f t="shared" si="11"/>
        <v>-2.7718014888144342</v>
      </c>
      <c r="N39" s="700">
        <f t="shared" si="11"/>
        <v>-4.6812623897102839</v>
      </c>
      <c r="O39" s="700">
        <f t="shared" si="11"/>
        <v>-6.832351106812264</v>
      </c>
      <c r="P39" s="700">
        <f t="shared" si="11"/>
        <v>-9.2514171508227232</v>
      </c>
      <c r="Q39" s="700">
        <f t="shared" si="11"/>
        <v>-11.967547075062789</v>
      </c>
      <c r="R39" s="700">
        <f t="shared" si="11"/>
        <v>-15.01284421911024</v>
      </c>
      <c r="S39" s="700">
        <f t="shared" si="11"/>
        <v>-18.422736810578662</v>
      </c>
      <c r="T39" s="700">
        <f t="shared" si="11"/>
        <v>-22.236317289887896</v>
      </c>
      <c r="U39" s="700">
        <f t="shared" si="11"/>
        <v>-26.496716011516735</v>
      </c>
      <c r="V39" s="700">
        <f t="shared" si="11"/>
        <v>-31.251512792920177</v>
      </c>
      <c r="W39" s="700">
        <f t="shared" si="11"/>
        <v>-36.553190131947808</v>
      </c>
      <c r="X39" s="700">
        <f t="shared" si="11"/>
        <v>-42.459632298434961</v>
      </c>
      <c r="Y39" s="700">
        <f t="shared" si="11"/>
        <v>-49.034674929184511</v>
      </c>
      <c r="Z39" s="700">
        <f t="shared" si="11"/>
        <v>-56.348710221705069</v>
      </c>
      <c r="AA39" s="700">
        <f t="shared" si="11"/>
        <v>-64.479353335103909</v>
      </c>
    </row>
    <row r="40" spans="1:27" ht="13.5" customHeight="1">
      <c r="B40" s="697" t="s">
        <v>502</v>
      </c>
      <c r="C40" s="704"/>
      <c r="D40" s="704"/>
      <c r="E40" s="704"/>
      <c r="F40" s="704"/>
      <c r="H40" s="693">
        <f t="shared" ref="H40:AA41" si="12">IF(H38&gt;0,H38,0)</f>
        <v>1</v>
      </c>
      <c r="I40" s="693">
        <f t="shared" si="12"/>
        <v>1</v>
      </c>
      <c r="J40" s="693">
        <f t="shared" si="12"/>
        <v>1</v>
      </c>
      <c r="K40" s="693">
        <f>IF(K38&gt;0,K38,0)</f>
        <v>0.2837580981274575</v>
      </c>
      <c r="L40" s="693">
        <f t="shared" si="12"/>
        <v>0</v>
      </c>
      <c r="M40" s="693">
        <f t="shared" si="12"/>
        <v>0</v>
      </c>
      <c r="N40" s="693">
        <f t="shared" si="12"/>
        <v>0</v>
      </c>
      <c r="O40" s="693">
        <f t="shared" si="12"/>
        <v>0</v>
      </c>
      <c r="P40" s="693">
        <f t="shared" si="12"/>
        <v>0</v>
      </c>
      <c r="Q40" s="693">
        <f t="shared" si="12"/>
        <v>0</v>
      </c>
      <c r="R40" s="694">
        <f t="shared" si="12"/>
        <v>0</v>
      </c>
      <c r="S40" s="693">
        <f t="shared" si="12"/>
        <v>0</v>
      </c>
      <c r="T40" s="693">
        <f t="shared" si="12"/>
        <v>0</v>
      </c>
      <c r="U40" s="693">
        <f t="shared" si="12"/>
        <v>0</v>
      </c>
      <c r="V40" s="693">
        <f t="shared" si="12"/>
        <v>0</v>
      </c>
      <c r="W40" s="693">
        <f t="shared" si="12"/>
        <v>0</v>
      </c>
      <c r="X40" s="693">
        <f t="shared" si="12"/>
        <v>0</v>
      </c>
      <c r="Y40" s="693">
        <f t="shared" si="12"/>
        <v>0</v>
      </c>
      <c r="Z40" s="693">
        <f>IF(Z38&gt;0,Z38,0)</f>
        <v>0</v>
      </c>
      <c r="AA40" s="695">
        <f t="shared" si="12"/>
        <v>0</v>
      </c>
    </row>
    <row r="41" spans="1:27">
      <c r="B41" s="114" t="s">
        <v>503</v>
      </c>
      <c r="C41" s="704"/>
      <c r="D41" s="704"/>
      <c r="E41" s="704"/>
      <c r="F41" s="704"/>
      <c r="H41" s="693">
        <f t="shared" si="12"/>
        <v>1</v>
      </c>
      <c r="I41" s="693">
        <f t="shared" si="12"/>
        <v>1</v>
      </c>
      <c r="J41" s="693">
        <f t="shared" si="12"/>
        <v>1</v>
      </c>
      <c r="K41" s="693">
        <f t="shared" si="12"/>
        <v>0.41545023146841059</v>
      </c>
      <c r="L41" s="693">
        <f t="shared" si="12"/>
        <v>0</v>
      </c>
      <c r="M41" s="693">
        <f t="shared" si="12"/>
        <v>0</v>
      </c>
      <c r="N41" s="693">
        <f t="shared" si="12"/>
        <v>0</v>
      </c>
      <c r="O41" s="693">
        <f t="shared" si="12"/>
        <v>0</v>
      </c>
      <c r="P41" s="693">
        <f t="shared" si="12"/>
        <v>0</v>
      </c>
      <c r="Q41" s="693">
        <f t="shared" si="12"/>
        <v>0</v>
      </c>
      <c r="R41" s="693">
        <f t="shared" si="12"/>
        <v>0</v>
      </c>
      <c r="S41" s="693">
        <f t="shared" si="12"/>
        <v>0</v>
      </c>
      <c r="T41" s="693">
        <f t="shared" si="12"/>
        <v>0</v>
      </c>
      <c r="U41" s="693">
        <f t="shared" si="12"/>
        <v>0</v>
      </c>
      <c r="V41" s="693">
        <f t="shared" si="12"/>
        <v>0</v>
      </c>
      <c r="W41" s="693">
        <f t="shared" si="12"/>
        <v>0</v>
      </c>
      <c r="X41" s="693">
        <f t="shared" si="12"/>
        <v>0</v>
      </c>
      <c r="Y41" s="693">
        <f t="shared" si="12"/>
        <v>0</v>
      </c>
      <c r="Z41" s="693">
        <f t="shared" si="12"/>
        <v>0</v>
      </c>
      <c r="AA41" s="693">
        <f t="shared" si="12"/>
        <v>0</v>
      </c>
    </row>
    <row r="43" spans="1:27">
      <c r="L43" s="705"/>
      <c r="M43" s="705"/>
      <c r="N43" s="705"/>
      <c r="O43" s="705"/>
      <c r="P43" s="705"/>
      <c r="Q43" s="705"/>
    </row>
    <row r="44" spans="1:27" ht="25.5">
      <c r="B44" s="704" t="s">
        <v>163</v>
      </c>
      <c r="L44" s="705"/>
      <c r="M44" s="705"/>
      <c r="N44" s="705"/>
      <c r="O44" s="705"/>
      <c r="P44" s="705"/>
      <c r="Q44" s="705"/>
    </row>
    <row r="45" spans="1:27">
      <c r="B45" s="704" t="s">
        <v>42</v>
      </c>
      <c r="L45" s="705"/>
      <c r="M45" s="705"/>
      <c r="N45" s="705"/>
      <c r="O45" s="705"/>
      <c r="P45" s="705"/>
      <c r="Q45" s="705"/>
    </row>
    <row r="46" spans="1:27">
      <c r="B46" s="25" t="s">
        <v>496</v>
      </c>
    </row>
    <row r="47" spans="1:27">
      <c r="B47" s="25" t="s">
        <v>43</v>
      </c>
      <c r="H47" s="133">
        <v>1</v>
      </c>
    </row>
    <row r="48" spans="1:27">
      <c r="B48" s="25" t="s">
        <v>80</v>
      </c>
    </row>
    <row r="49" spans="2:16">
      <c r="B49" s="25" t="s">
        <v>497</v>
      </c>
    </row>
    <row r="50" spans="2:16">
      <c r="B50" s="25" t="s">
        <v>44</v>
      </c>
    </row>
    <row r="52" spans="2:16" ht="14.45" customHeight="1">
      <c r="B52" s="25" t="s">
        <v>45</v>
      </c>
    </row>
    <row r="53" spans="2:16">
      <c r="B53" s="25" t="s">
        <v>46</v>
      </c>
    </row>
    <row r="54" spans="2:16">
      <c r="B54" s="25" t="s">
        <v>498</v>
      </c>
      <c r="E54" s="746"/>
      <c r="F54" s="746"/>
      <c r="G54" s="746"/>
      <c r="I54" s="705"/>
      <c r="J54" s="705"/>
      <c r="K54" s="705"/>
      <c r="L54" s="705"/>
      <c r="M54" s="705"/>
      <c r="N54" s="705"/>
      <c r="P54" s="705"/>
    </row>
    <row r="55" spans="2:16">
      <c r="E55" s="746"/>
      <c r="F55" s="746"/>
      <c r="G55" s="746"/>
      <c r="I55" s="769"/>
      <c r="J55" s="1435"/>
      <c r="K55" s="1435"/>
      <c r="L55" s="1435"/>
      <c r="M55" s="1435"/>
      <c r="N55" s="1435"/>
    </row>
    <row r="56" spans="2:16" ht="38.25">
      <c r="B56" s="706"/>
      <c r="E56" s="746"/>
      <c r="F56" s="746"/>
      <c r="G56" s="620" t="s">
        <v>521</v>
      </c>
      <c r="H56" s="748">
        <v>4.4999999999999998E-2</v>
      </c>
      <c r="I56" s="746"/>
      <c r="J56" s="746"/>
      <c r="K56" s="746"/>
      <c r="L56" s="705"/>
      <c r="M56" s="705"/>
      <c r="N56" s="705"/>
      <c r="P56" s="705"/>
    </row>
    <row r="57" spans="2:16" ht="25.5" customHeight="1">
      <c r="E57" s="746"/>
      <c r="F57" s="746"/>
      <c r="G57" s="707" t="s">
        <v>456</v>
      </c>
      <c r="H57" s="749">
        <v>4</v>
      </c>
      <c r="I57" s="769"/>
      <c r="J57" s="1435"/>
      <c r="K57" s="1435"/>
      <c r="L57" s="1435"/>
      <c r="M57" s="1435"/>
      <c r="N57" s="1435"/>
    </row>
    <row r="58" spans="2:16" ht="19.5" customHeight="1">
      <c r="I58" s="769"/>
      <c r="J58" s="1435"/>
      <c r="K58" s="1435"/>
      <c r="L58" s="1435"/>
      <c r="M58" s="1435"/>
      <c r="N58" s="1435"/>
    </row>
    <row r="59" spans="2:16">
      <c r="I59" s="705"/>
      <c r="J59" s="705"/>
      <c r="K59" s="705"/>
      <c r="L59" s="705"/>
      <c r="M59" s="705"/>
      <c r="N59" s="705"/>
      <c r="P59" s="705"/>
    </row>
    <row r="60" spans="2:16">
      <c r="I60" s="705"/>
      <c r="J60" s="705"/>
      <c r="K60" s="705"/>
      <c r="L60" s="705"/>
      <c r="M60" s="705"/>
      <c r="N60" s="705"/>
      <c r="P60" s="705"/>
    </row>
    <row r="71" spans="8:13">
      <c r="H71" s="321"/>
      <c r="I71" s="321"/>
      <c r="J71" s="321"/>
      <c r="K71" s="321"/>
      <c r="L71" s="321"/>
      <c r="M71" s="321"/>
    </row>
    <row r="72" spans="8:13">
      <c r="H72" s="708"/>
      <c r="I72" s="708"/>
      <c r="J72" s="708"/>
      <c r="K72" s="708"/>
      <c r="L72" s="708"/>
      <c r="M72" s="708"/>
    </row>
    <row r="73" spans="8:13">
      <c r="H73" s="708"/>
      <c r="I73" s="708"/>
      <c r="J73" s="708"/>
      <c r="K73" s="708"/>
      <c r="L73" s="708"/>
      <c r="M73" s="708"/>
    </row>
  </sheetData>
  <mergeCells count="11">
    <mergeCell ref="R4:AA4"/>
    <mergeCell ref="B5:B6"/>
    <mergeCell ref="A7:G7"/>
    <mergeCell ref="J55:N55"/>
    <mergeCell ref="A1:H1"/>
    <mergeCell ref="J57:N57"/>
    <mergeCell ref="J58:N58"/>
    <mergeCell ref="A2:B2"/>
    <mergeCell ref="A3:B3"/>
    <mergeCell ref="A4:A6"/>
    <mergeCell ref="H4:Q4"/>
  </mergeCells>
  <hyperlinks>
    <hyperlink ref="B33" r:id="rId1" display="NPV@12%" xr:uid="{00000000-0004-0000-1000-000000000000}"/>
  </hyperlinks>
  <pageMargins left="0.7" right="0.7" top="0.75" bottom="0.75" header="0.3" footer="0.3"/>
  <pageSetup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3"/>
  <dimension ref="A1:AA73"/>
  <sheetViews>
    <sheetView showGridLines="0" topLeftCell="B1" zoomScale="85" zoomScaleNormal="85" workbookViewId="0">
      <pane ySplit="10" topLeftCell="A13" activePane="bottomLeft" state="frozen"/>
      <selection activeCell="G33" sqref="G33"/>
      <selection pane="bottomLeft" activeCell="K20" sqref="K20"/>
    </sheetView>
  </sheetViews>
  <sheetFormatPr defaultColWidth="8.7109375" defaultRowHeight="12.75"/>
  <cols>
    <col min="1" max="1" width="8.85546875" style="596" bestFit="1" customWidth="1"/>
    <col min="2" max="2" width="76.5703125" style="25" customWidth="1"/>
    <col min="3" max="3" width="15.140625" style="25" customWidth="1"/>
    <col min="4" max="4" width="10.28515625" style="25" customWidth="1"/>
    <col min="5" max="5" width="8.140625" style="25" customWidth="1"/>
    <col min="6" max="6" width="13.7109375" style="25" customWidth="1"/>
    <col min="7" max="7" width="23.42578125" style="25" customWidth="1"/>
    <col min="8" max="8" width="21.140625" style="133" customWidth="1"/>
    <col min="9" max="10" width="14" style="133" customWidth="1"/>
    <col min="11" max="11" width="16" style="133" customWidth="1"/>
    <col min="12" max="12" width="18.5703125" style="133" bestFit="1" customWidth="1"/>
    <col min="13" max="17" width="18.7109375" style="133" bestFit="1" customWidth="1"/>
    <col min="18" max="18" width="15" style="133" customWidth="1"/>
    <col min="19" max="19" width="16.28515625" style="133" customWidth="1"/>
    <col min="20" max="20" width="16.42578125" style="133" customWidth="1"/>
    <col min="21" max="21" width="18" style="133" customWidth="1"/>
    <col min="22" max="22" width="18.7109375" style="133" customWidth="1"/>
    <col min="23" max="23" width="19.140625" style="133" customWidth="1"/>
    <col min="24" max="24" width="20.42578125" style="133" customWidth="1"/>
    <col min="25" max="25" width="19" style="133" customWidth="1"/>
    <col min="26" max="27" width="19.28515625" style="133" customWidth="1"/>
    <col min="28" max="16384" width="8.7109375" style="25"/>
  </cols>
  <sheetData>
    <row r="1" spans="1:27" ht="15" customHeight="1">
      <c r="A1" s="1440" t="str">
        <f>Opex!A41</f>
        <v>Option 3 : Capacity for 200 KTPA Phenol + 120 KTPA Acetone, (Propylene - 80 % in house and 20 % external procurement)</v>
      </c>
      <c r="B1" s="1441"/>
      <c r="C1" s="1441"/>
      <c r="D1" s="1441"/>
      <c r="E1" s="1441"/>
      <c r="F1" s="1441"/>
    </row>
    <row r="2" spans="1:27">
      <c r="A2" s="1440" t="s">
        <v>457</v>
      </c>
      <c r="B2" s="1441"/>
      <c r="C2" s="723">
        <v>1</v>
      </c>
      <c r="D2" s="723">
        <v>2</v>
      </c>
      <c r="E2" s="723">
        <v>3</v>
      </c>
      <c r="F2" s="723">
        <v>4</v>
      </c>
      <c r="G2" s="723"/>
      <c r="H2" s="723">
        <v>5</v>
      </c>
      <c r="I2" s="723">
        <v>6</v>
      </c>
      <c r="J2" s="723">
        <v>7</v>
      </c>
      <c r="K2" s="723">
        <v>8</v>
      </c>
      <c r="L2" s="723">
        <v>9</v>
      </c>
      <c r="M2" s="723">
        <v>10</v>
      </c>
      <c r="N2" s="723">
        <v>11</v>
      </c>
      <c r="O2" s="723">
        <v>12</v>
      </c>
      <c r="P2" s="723">
        <v>13</v>
      </c>
      <c r="Q2" s="723">
        <v>14</v>
      </c>
      <c r="R2" s="724">
        <v>15</v>
      </c>
      <c r="S2" s="723">
        <v>16</v>
      </c>
      <c r="T2" s="723">
        <v>17</v>
      </c>
      <c r="U2" s="723">
        <v>18</v>
      </c>
      <c r="V2" s="723">
        <v>19</v>
      </c>
      <c r="W2" s="723">
        <v>20</v>
      </c>
      <c r="X2" s="723">
        <v>21</v>
      </c>
      <c r="Y2" s="723">
        <v>22</v>
      </c>
      <c r="Z2" s="723">
        <v>23</v>
      </c>
      <c r="AA2" s="725">
        <v>24</v>
      </c>
    </row>
    <row r="3" spans="1:27" ht="12" customHeight="1">
      <c r="A3" s="1442" t="s">
        <v>458</v>
      </c>
      <c r="B3" s="1443"/>
      <c r="C3" s="726"/>
      <c r="D3" s="726"/>
      <c r="E3" s="726"/>
      <c r="F3" s="726"/>
      <c r="G3" s="726"/>
      <c r="H3" s="727">
        <v>0.9</v>
      </c>
      <c r="I3" s="727">
        <v>1</v>
      </c>
      <c r="J3" s="727">
        <v>1</v>
      </c>
      <c r="K3" s="727">
        <v>1</v>
      </c>
      <c r="L3" s="727">
        <v>1</v>
      </c>
      <c r="M3" s="727">
        <v>1</v>
      </c>
      <c r="N3" s="727">
        <v>1</v>
      </c>
      <c r="O3" s="727">
        <v>1</v>
      </c>
      <c r="P3" s="727">
        <v>1</v>
      </c>
      <c r="Q3" s="727">
        <v>1</v>
      </c>
      <c r="R3" s="727">
        <v>1</v>
      </c>
      <c r="S3" s="727">
        <v>1</v>
      </c>
      <c r="T3" s="727">
        <v>1</v>
      </c>
      <c r="U3" s="727">
        <v>1</v>
      </c>
      <c r="V3" s="727">
        <v>1</v>
      </c>
      <c r="W3" s="727">
        <v>1</v>
      </c>
      <c r="X3" s="727">
        <v>1</v>
      </c>
      <c r="Y3" s="727">
        <v>1</v>
      </c>
      <c r="Z3" s="727">
        <v>1</v>
      </c>
      <c r="AA3" s="727">
        <v>1</v>
      </c>
    </row>
    <row r="4" spans="1:27" s="730" customFormat="1" ht="15" customHeight="1">
      <c r="A4" s="1444"/>
      <c r="B4" s="621" t="s">
        <v>27</v>
      </c>
      <c r="C4" s="621"/>
      <c r="D4" s="621"/>
      <c r="E4" s="621"/>
      <c r="F4" s="621"/>
      <c r="G4" s="622"/>
      <c r="H4" s="1431" t="s">
        <v>28</v>
      </c>
      <c r="I4" s="1431"/>
      <c r="J4" s="1431"/>
      <c r="K4" s="1431"/>
      <c r="L4" s="1431"/>
      <c r="M4" s="1431"/>
      <c r="N4" s="1431"/>
      <c r="O4" s="1431"/>
      <c r="P4" s="1431"/>
      <c r="Q4" s="1431"/>
      <c r="R4" s="1430" t="s">
        <v>28</v>
      </c>
      <c r="S4" s="1431"/>
      <c r="T4" s="1431"/>
      <c r="U4" s="1431"/>
      <c r="V4" s="1431"/>
      <c r="W4" s="1431"/>
      <c r="X4" s="1431"/>
      <c r="Y4" s="1431"/>
      <c r="Z4" s="1431"/>
      <c r="AA4" s="1432"/>
    </row>
    <row r="5" spans="1:27" s="730" customFormat="1" ht="15" customHeight="1">
      <c r="A5" s="1445"/>
      <c r="B5" s="1433" t="s">
        <v>29</v>
      </c>
      <c r="C5" s="623">
        <v>2023</v>
      </c>
      <c r="D5" s="623">
        <v>2024</v>
      </c>
      <c r="E5" s="623">
        <v>2025</v>
      </c>
      <c r="F5" s="623">
        <v>2026</v>
      </c>
      <c r="G5" s="623" t="s">
        <v>172</v>
      </c>
      <c r="H5" s="623">
        <v>2027</v>
      </c>
      <c r="I5" s="623">
        <v>2028</v>
      </c>
      <c r="J5" s="623">
        <v>2029</v>
      </c>
      <c r="K5" s="623">
        <v>2030</v>
      </c>
      <c r="L5" s="623">
        <v>2031</v>
      </c>
      <c r="M5" s="623">
        <v>2032</v>
      </c>
      <c r="N5" s="623">
        <v>2033</v>
      </c>
      <c r="O5" s="623">
        <v>2034</v>
      </c>
      <c r="P5" s="623">
        <v>2035</v>
      </c>
      <c r="Q5" s="624">
        <v>2036</v>
      </c>
      <c r="R5" s="623">
        <v>2037</v>
      </c>
      <c r="S5" s="623">
        <v>2038</v>
      </c>
      <c r="T5" s="623">
        <v>2039</v>
      </c>
      <c r="U5" s="623">
        <v>2040</v>
      </c>
      <c r="V5" s="623">
        <v>2041</v>
      </c>
      <c r="W5" s="623">
        <v>2042</v>
      </c>
      <c r="X5" s="623">
        <v>2043</v>
      </c>
      <c r="Y5" s="623">
        <v>2044</v>
      </c>
      <c r="Z5" s="623">
        <v>2045</v>
      </c>
      <c r="AA5" s="623">
        <v>2046</v>
      </c>
    </row>
    <row r="6" spans="1:27">
      <c r="A6" s="1446"/>
      <c r="B6" s="1434"/>
      <c r="C6" s="625">
        <v>0.05</v>
      </c>
      <c r="D6" s="625">
        <v>0.25</v>
      </c>
      <c r="E6" s="625">
        <v>0.35</v>
      </c>
      <c r="F6" s="625">
        <v>0.35</v>
      </c>
      <c r="G6" s="626"/>
      <c r="H6" s="627"/>
      <c r="I6" s="627"/>
      <c r="J6" s="627"/>
      <c r="K6" s="627"/>
      <c r="L6" s="627"/>
      <c r="M6" s="627"/>
      <c r="N6" s="628"/>
      <c r="O6" s="627"/>
      <c r="P6" s="628"/>
      <c r="Q6" s="627"/>
      <c r="R6" s="731"/>
      <c r="S6" s="732"/>
      <c r="T6" s="732"/>
      <c r="U6" s="732"/>
      <c r="V6" s="732"/>
      <c r="W6" s="732"/>
      <c r="X6" s="732"/>
      <c r="Y6" s="732"/>
      <c r="Z6" s="732"/>
      <c r="AA6" s="733"/>
    </row>
    <row r="7" spans="1:27">
      <c r="A7" s="1436" t="s">
        <v>275</v>
      </c>
      <c r="B7" s="1437"/>
      <c r="C7" s="1437"/>
      <c r="D7" s="1437"/>
      <c r="E7" s="1437"/>
      <c r="F7" s="1437"/>
      <c r="G7" s="1437"/>
      <c r="H7" s="629"/>
      <c r="I7" s="629"/>
      <c r="J7" s="629"/>
      <c r="K7" s="629"/>
      <c r="L7" s="629"/>
      <c r="M7" s="629"/>
      <c r="N7" s="630"/>
      <c r="O7" s="629"/>
      <c r="P7" s="630"/>
      <c r="Q7" s="629"/>
      <c r="R7" s="734"/>
      <c r="S7" s="735"/>
      <c r="T7" s="735"/>
      <c r="U7" s="735"/>
      <c r="V7" s="735"/>
      <c r="W7" s="735"/>
      <c r="X7" s="735"/>
      <c r="Y7" s="735"/>
      <c r="Z7" s="735"/>
      <c r="AA7" s="736"/>
    </row>
    <row r="8" spans="1:27">
      <c r="A8" s="631">
        <v>1</v>
      </c>
      <c r="B8" s="632" t="s">
        <v>273</v>
      </c>
      <c r="C8" s="633">
        <f>ROUND($G8*C$6,2)</f>
        <v>-96.87</v>
      </c>
      <c r="D8" s="633">
        <f>ROUND($G8*D$6,2)</f>
        <v>-484.35</v>
      </c>
      <c r="E8" s="633">
        <f>ROUND($G8*E$6,2)</f>
        <v>-678.08</v>
      </c>
      <c r="F8" s="633">
        <f>ROUND($G8*F$6,2)</f>
        <v>-678.08</v>
      </c>
      <c r="G8" s="634">
        <f>-Capex!H22</f>
        <v>-1937.3849999999998</v>
      </c>
      <c r="H8" s="635"/>
      <c r="I8" s="635"/>
      <c r="J8" s="635"/>
      <c r="K8" s="635"/>
      <c r="L8" s="635"/>
      <c r="M8" s="635"/>
      <c r="N8" s="636"/>
      <c r="O8" s="635"/>
      <c r="P8" s="635"/>
      <c r="Q8" s="635"/>
      <c r="R8" s="737"/>
      <c r="S8" s="738"/>
      <c r="T8" s="738"/>
      <c r="U8" s="738"/>
      <c r="V8" s="738"/>
      <c r="W8" s="738"/>
      <c r="X8" s="738"/>
      <c r="Y8" s="738"/>
      <c r="Z8" s="738"/>
      <c r="AA8" s="739"/>
    </row>
    <row r="9" spans="1:27">
      <c r="A9" s="637"/>
      <c r="B9" s="638" t="s">
        <v>274</v>
      </c>
      <c r="C9" s="639">
        <f>SUM(C8:C8)</f>
        <v>-96.87</v>
      </c>
      <c r="D9" s="639">
        <f>SUM(D8:D8)</f>
        <v>-484.35</v>
      </c>
      <c r="E9" s="639">
        <f>SUM(E8:E8)</f>
        <v>-678.08</v>
      </c>
      <c r="F9" s="639">
        <f>SUM(F8:F8)</f>
        <v>-678.08</v>
      </c>
      <c r="G9" s="640">
        <f>G8</f>
        <v>-1937.3849999999998</v>
      </c>
      <c r="H9" s="740"/>
      <c r="I9" s="740"/>
      <c r="J9" s="740"/>
      <c r="K9" s="740"/>
      <c r="L9" s="740"/>
      <c r="M9" s="740"/>
      <c r="N9" s="641"/>
      <c r="O9" s="641"/>
      <c r="P9" s="641"/>
      <c r="Q9" s="641"/>
      <c r="R9" s="741"/>
      <c r="S9" s="742"/>
      <c r="T9" s="742"/>
      <c r="U9" s="742"/>
      <c r="V9" s="742"/>
      <c r="W9" s="742"/>
      <c r="X9" s="742"/>
      <c r="Y9" s="742"/>
      <c r="Z9" s="742"/>
      <c r="AA9" s="743"/>
    </row>
    <row r="10" spans="1:27" ht="25.5" customHeight="1">
      <c r="A10" s="642"/>
      <c r="B10" s="643" t="s">
        <v>253</v>
      </c>
      <c r="C10" s="643"/>
      <c r="D10" s="643"/>
      <c r="E10" s="643"/>
      <c r="F10" s="643"/>
      <c r="G10" s="644"/>
      <c r="H10" s="645">
        <v>0.9</v>
      </c>
      <c r="I10" s="645">
        <v>1</v>
      </c>
      <c r="J10" s="645">
        <v>1</v>
      </c>
      <c r="K10" s="645">
        <v>1</v>
      </c>
      <c r="L10" s="645">
        <v>1</v>
      </c>
      <c r="M10" s="645">
        <v>1</v>
      </c>
      <c r="N10" s="645">
        <v>1</v>
      </c>
      <c r="O10" s="645">
        <v>1</v>
      </c>
      <c r="P10" s="645">
        <v>1</v>
      </c>
      <c r="Q10" s="645">
        <v>1</v>
      </c>
      <c r="R10" s="645">
        <v>1</v>
      </c>
      <c r="S10" s="645">
        <v>1</v>
      </c>
      <c r="T10" s="645">
        <v>1</v>
      </c>
      <c r="U10" s="645">
        <v>1</v>
      </c>
      <c r="V10" s="645">
        <v>1</v>
      </c>
      <c r="W10" s="645">
        <v>1</v>
      </c>
      <c r="X10" s="645">
        <v>1</v>
      </c>
      <c r="Y10" s="645">
        <v>1</v>
      </c>
      <c r="Z10" s="645">
        <v>1</v>
      </c>
      <c r="AA10" s="645">
        <v>1</v>
      </c>
    </row>
    <row r="11" spans="1:27" s="730" customFormat="1">
      <c r="A11" s="648">
        <v>2</v>
      </c>
      <c r="B11" s="649" t="s">
        <v>31</v>
      </c>
      <c r="C11" s="649"/>
      <c r="D11" s="649"/>
      <c r="E11" s="649"/>
      <c r="F11" s="649"/>
      <c r="G11" s="650"/>
      <c r="H11" s="651">
        <f>H12+H13</f>
        <v>2035.2829305093751</v>
      </c>
      <c r="I11" s="651">
        <f>I12+I13</f>
        <v>2393.1580027410423</v>
      </c>
      <c r="J11" s="651">
        <f t="shared" ref="J11:AA11" si="0">J12+J13</f>
        <v>2532.5647444396996</v>
      </c>
      <c r="K11" s="651">
        <f t="shared" si="0"/>
        <v>2680.0928041001916</v>
      </c>
      <c r="L11" s="651">
        <f t="shared" si="0"/>
        <v>2836.215332307238</v>
      </c>
      <c r="M11" s="651">
        <f t="shared" si="0"/>
        <v>3001.4330474494791</v>
      </c>
      <c r="N11" s="651">
        <f t="shared" si="0"/>
        <v>3176.2758420491173</v>
      </c>
      <c r="O11" s="651">
        <f t="shared" si="0"/>
        <v>3361.304482696059</v>
      </c>
      <c r="P11" s="651">
        <f t="shared" si="0"/>
        <v>3557.112409041446</v>
      </c>
      <c r="Q11" s="651">
        <f t="shared" si="0"/>
        <v>3764.3276376234389</v>
      </c>
      <c r="R11" s="652">
        <f t="shared" si="0"/>
        <v>3983.6147766344848</v>
      </c>
      <c r="S11" s="651">
        <f t="shared" si="0"/>
        <v>4215.6771580954173</v>
      </c>
      <c r="T11" s="651">
        <f t="shared" si="0"/>
        <v>4461.2590942785073</v>
      </c>
      <c r="U11" s="651">
        <f t="shared" si="0"/>
        <v>4721.1482656203543</v>
      </c>
      <c r="V11" s="651">
        <f t="shared" si="0"/>
        <v>4996.1782477875067</v>
      </c>
      <c r="W11" s="651">
        <f t="shared" si="0"/>
        <v>5287.2311860043483</v>
      </c>
      <c r="X11" s="651">
        <f t="shared" si="0"/>
        <v>5595.2406252253295</v>
      </c>
      <c r="Y11" s="651">
        <f t="shared" si="0"/>
        <v>5921.1945052339461</v>
      </c>
      <c r="Z11" s="651">
        <f t="shared" si="0"/>
        <v>6266.1383302800223</v>
      </c>
      <c r="AA11" s="653">
        <f t="shared" si="0"/>
        <v>6631.1785234272465</v>
      </c>
    </row>
    <row r="12" spans="1:27">
      <c r="A12" s="654"/>
      <c r="B12" s="655" t="s">
        <v>147</v>
      </c>
      <c r="C12" s="655"/>
      <c r="D12" s="655"/>
      <c r="E12" s="655"/>
      <c r="F12" s="655"/>
      <c r="G12" s="656"/>
      <c r="H12" s="657">
        <f>IF(H$2&lt;=$H$57,0,Sales!E3*H$3*(1+$H$56)^(H$2-$H$57-1))</f>
        <v>1386.6910392857144</v>
      </c>
      <c r="I12" s="657">
        <f>IF(I$2&lt;=$H$57,0,Sales!F3*I$3*(1+$H$56)^(I$2-$H$57-1))</f>
        <v>1631.0337042469644</v>
      </c>
      <c r="J12" s="657">
        <f>IF(J$2&lt;=$H$57,0,Sales!G3*J$3*(1+$H$56)^(J$2-$H$57-1))</f>
        <v>1726.5878138102726</v>
      </c>
      <c r="K12" s="657">
        <f>IF(K$2&lt;=$H$57,0,Sales!H3*K$3*(1+$H$56)^(K$2-$H$57-1))</f>
        <v>1827.7399608823475</v>
      </c>
      <c r="L12" s="657">
        <f>IF(L$2&lt;=$H$57,0,Sales!I3*L$3*(1+$H$56)^(L$2-$H$57-1))</f>
        <v>1934.8181064906394</v>
      </c>
      <c r="M12" s="657">
        <f>IF(M$2&lt;=$H$57,0,Sales!J3*M$3*(1+$H$56)^(M$2-$H$57-1))</f>
        <v>2048.1694252593934</v>
      </c>
      <c r="N12" s="657">
        <f>IF(N$2&lt;=$H$57,0,Sales!K3*N$3*(1+$H$56)^(N$2-$H$57-1))</f>
        <v>2168.1614310382142</v>
      </c>
      <c r="O12" s="657">
        <f>IF(O$2&lt;=$H$57,0,Sales!L3*O$3*(1+$H$56)^(O$2-$H$57-1))</f>
        <v>2295.1831684755884</v>
      </c>
      <c r="P12" s="657">
        <f>IF(P$2&lt;=$H$57,0,Sales!M3*P$3*(1+$H$56)^(P$2-$H$57-1))</f>
        <v>2429.6464744007299</v>
      </c>
      <c r="Q12" s="657">
        <f>IF(Q$2&lt;=$H$57,0,Sales!N3*Q$3*(1+$H$56)^(Q$2-$H$57-1))</f>
        <v>2571.9873131034965</v>
      </c>
      <c r="R12" s="657">
        <f>IF(R$2&lt;=$H$57,0,Sales!O3*R$3*(1+$H$56)^(R$2-$H$57-1))</f>
        <v>2722.6671898416648</v>
      </c>
      <c r="S12" s="657">
        <f>IF(S$2&lt;=$H$57,0,Sales!P3*S$3*(1+$H$56)^(S$2-$H$57-1))</f>
        <v>2882.1746471585388</v>
      </c>
      <c r="T12" s="657">
        <f>IF(T$2&lt;=$H$57,0,Sales!Q3*T$3*(1+$H$56)^(T$2-$H$57-1))</f>
        <v>3051.026848862321</v>
      </c>
      <c r="U12" s="657">
        <f>IF(U$2&lt;=$H$57,0,Sales!R3*U$3*(1+$H$56)^(U$2-$H$57-1))</f>
        <v>3229.7712568029201</v>
      </c>
      <c r="V12" s="657">
        <f>IF(V$2&lt;=$H$57,0,Sales!S3*V$3*(1+$H$56)^(V$2-$H$57-1))</f>
        <v>3418.9874058827181</v>
      </c>
      <c r="W12" s="657">
        <f>IF(W$2&lt;=$H$57,0,Sales!T3*W$3*(1+$H$56)^(W$2-$H$57-1))</f>
        <v>3619.2887830563573</v>
      </c>
      <c r="X12" s="657">
        <f>IF(X$2&lt;=$H$57,0,Sales!U3*X$3*(1+$H$56)^(X$2-$H$57-1))</f>
        <v>3831.3248164117126</v>
      </c>
      <c r="Y12" s="657">
        <f>IF(Y$2&lt;=$H$57,0,Sales!V3*Y$3*(1+$H$56)^(Y$2-$H$57-1))</f>
        <v>4055.7829807811931</v>
      </c>
      <c r="Z12" s="657">
        <f>IF(Z$2&lt;=$H$57,0,Sales!W3*Z$3*(1+$H$56)^(Z$2-$H$57-1))</f>
        <v>4293.3910267102583</v>
      </c>
      <c r="AA12" s="657">
        <f>IF(AA$2&lt;=$H$57,0,Sales!X3*AA$3*(1+$H$56)^(AA$2-$H$57-1))</f>
        <v>4544.9193400100785</v>
      </c>
    </row>
    <row r="13" spans="1:27">
      <c r="A13" s="654"/>
      <c r="B13" s="655" t="s">
        <v>11</v>
      </c>
      <c r="C13" s="655"/>
      <c r="D13" s="655"/>
      <c r="E13" s="655"/>
      <c r="F13" s="655"/>
      <c r="G13" s="656"/>
      <c r="H13" s="657">
        <f>IF(H$2&lt;=$H$57,0,Sales!E4*H$3*(1+$H$56)^(H$2-$H$57-1))</f>
        <v>648.5918912236607</v>
      </c>
      <c r="I13" s="657">
        <f>IF(I$2&lt;=$H$57,0,Sales!F4*I$3*(1+$H$56)^(I$2-$H$57-1))</f>
        <v>762.12429849407783</v>
      </c>
      <c r="J13" s="657">
        <f>IF(J$2&lt;=$H$57,0,Sales!G4*J$3*(1+$H$56)^(J$2-$H$57-1))</f>
        <v>805.97693062942699</v>
      </c>
      <c r="K13" s="657">
        <f>IF(K$2&lt;=$H$57,0,Sales!H4*K$3*(1+$H$56)^(K$2-$H$57-1))</f>
        <v>852.35284321784422</v>
      </c>
      <c r="L13" s="657">
        <f>IF(L$2&lt;=$H$57,0,Sales!I4*L$3*(1+$H$56)^(L$2-$H$57-1))</f>
        <v>901.39722581659873</v>
      </c>
      <c r="M13" s="657">
        <f>IF(M$2&lt;=$H$57,0,Sales!J4*M$3*(1+$H$56)^(M$2-$H$57-1))</f>
        <v>953.26362219008581</v>
      </c>
      <c r="N13" s="657">
        <f>IF(N$2&lt;=$H$57,0,Sales!K4*N$3*(1+$H$56)^(N$2-$H$57-1))</f>
        <v>1008.1144110109032</v>
      </c>
      <c r="O13" s="657">
        <f>IF(O$2&lt;=$H$57,0,Sales!L4*O$3*(1+$H$56)^(O$2-$H$57-1))</f>
        <v>1066.1213142204706</v>
      </c>
      <c r="P13" s="657">
        <f>IF(P$2&lt;=$H$57,0,Sales!M4*P$3*(1+$H$56)^(P$2-$H$57-1))</f>
        <v>1127.4659346407161</v>
      </c>
      <c r="Q13" s="657">
        <f>IF(Q$2&lt;=$H$57,0,Sales!N4*Q$3*(1+$H$56)^(Q$2-$H$57-1))</f>
        <v>1192.3403245199427</v>
      </c>
      <c r="R13" s="657">
        <f>IF(R$2&lt;=$H$57,0,Sales!O4*R$3*(1+$H$56)^(R$2-$H$57-1))</f>
        <v>1260.9475867928199</v>
      </c>
      <c r="S13" s="657">
        <f>IF(S$2&lt;=$H$57,0,Sales!P4*S$3*(1+$H$56)^(S$2-$H$57-1))</f>
        <v>1333.5025109368789</v>
      </c>
      <c r="T13" s="657">
        <f>IF(T$2&lt;=$H$57,0,Sales!Q4*T$3*(1+$H$56)^(T$2-$H$57-1))</f>
        <v>1410.2322454161865</v>
      </c>
      <c r="U13" s="657">
        <f>IF(U$2&lt;=$H$57,0,Sales!R4*U$3*(1+$H$56)^(U$2-$H$57-1))</f>
        <v>1491.3770088174342</v>
      </c>
      <c r="V13" s="657">
        <f>IF(V$2&lt;=$H$57,0,Sales!S4*V$3*(1+$H$56)^(V$2-$H$57-1))</f>
        <v>1577.1908419047888</v>
      </c>
      <c r="W13" s="657">
        <f>IF(W$2&lt;=$H$57,0,Sales!T4*W$3*(1+$H$56)^(W$2-$H$57-1))</f>
        <v>1667.9424029479906</v>
      </c>
      <c r="X13" s="657">
        <f>IF(X$2&lt;=$H$57,0,Sales!U4*X$3*(1+$H$56)^(X$2-$H$57-1))</f>
        <v>1763.9158088136171</v>
      </c>
      <c r="Y13" s="657">
        <f>IF(Y$2&lt;=$H$57,0,Sales!V4*Y$3*(1+$H$56)^(Y$2-$H$57-1))</f>
        <v>1865.4115244527527</v>
      </c>
      <c r="Z13" s="657">
        <f>IF(Z$2&lt;=$H$57,0,Sales!W4*Z$3*(1+$H$56)^(Z$2-$H$57-1))</f>
        <v>1972.7473035697635</v>
      </c>
      <c r="AA13" s="657">
        <f>IF(AA$2&lt;=$H$57,0,Sales!X4*AA$3*(1+$H$56)^(AA$2-$H$57-1))</f>
        <v>2086.2591834171676</v>
      </c>
    </row>
    <row r="14" spans="1:27">
      <c r="A14" s="648">
        <v>5</v>
      </c>
      <c r="B14" s="649" t="s">
        <v>113</v>
      </c>
      <c r="C14" s="649"/>
      <c r="D14" s="649"/>
      <c r="E14" s="649"/>
      <c r="F14" s="649"/>
      <c r="G14" s="658"/>
      <c r="H14" s="635"/>
      <c r="I14" s="635"/>
      <c r="J14" s="635"/>
      <c r="K14" s="635"/>
      <c r="L14" s="635"/>
      <c r="M14" s="635"/>
      <c r="N14" s="635"/>
      <c r="O14" s="635"/>
      <c r="P14" s="635"/>
      <c r="Q14" s="635"/>
      <c r="R14" s="737"/>
      <c r="S14" s="738"/>
      <c r="T14" s="738"/>
      <c r="U14" s="738"/>
      <c r="V14" s="738"/>
      <c r="W14" s="738"/>
      <c r="X14" s="738"/>
      <c r="Y14" s="738"/>
      <c r="Z14" s="738"/>
      <c r="AA14" s="739"/>
    </row>
    <row r="15" spans="1:27">
      <c r="A15" s="654"/>
      <c r="B15" s="659" t="s">
        <v>524</v>
      </c>
      <c r="C15" s="659"/>
      <c r="D15" s="659"/>
      <c r="E15" s="659"/>
      <c r="F15" s="659"/>
      <c r="G15" s="660">
        <f>J15/$J$20</f>
        <v>0.81333115819957846</v>
      </c>
      <c r="H15" s="657">
        <f>IF(H$2&lt;=$H$57,0,Opex!D44*H$3*(1+$H$56)^(H$2-$H$57-1))</f>
        <v>1279.2694158428571</v>
      </c>
      <c r="I15" s="657">
        <f>IF(I$2&lt;=$H$57,0,Opex!E44*I$3*(1+$H$56)^(I$2-$H$57-1))</f>
        <v>1503.1984200338388</v>
      </c>
      <c r="J15" s="657">
        <f>IF(J$2&lt;=$H$57,0,Opex!F44*J$3*(1+$H$56)^(J$2-$H$57-1))</f>
        <v>1589.6924571225859</v>
      </c>
      <c r="K15" s="657">
        <f>IF(K$2&lt;=$H$57,0,Opex!G44*K$3*(1+$H$56)^(K$2-$H$57-1))</f>
        <v>1681.1633611054194</v>
      </c>
      <c r="L15" s="657">
        <f>IF(L$2&lt;=$H$57,0,Opex!H44*L$3*(1+$H$56)^(L$2-$H$57-1))</f>
        <v>1777.8975009034248</v>
      </c>
      <c r="M15" s="657">
        <f>IF(M$2&lt;=$H$57,0,Opex!I44*M$3*(1+$H$56)^(M$2-$H$57-1))</f>
        <v>1880.1977231054077</v>
      </c>
      <c r="N15" s="657">
        <f>IF(N$2&lt;=$H$57,0,Opex!J44*N$3*(1+$H$56)^(N$2-$H$57-1))</f>
        <v>1988.3843000928925</v>
      </c>
      <c r="O15" s="657">
        <f>IF(O$2&lt;=$H$57,0,Opex!K44*O$3*(1+$H$56)^(O$2-$H$57-1))</f>
        <v>2102.7959327202375</v>
      </c>
      <c r="P15" s="657">
        <f>IF(P$2&lt;=$H$57,0,Opex!L44*P$3*(1+$H$56)^(P$2-$H$57-1))</f>
        <v>2223.7908106889595</v>
      </c>
      <c r="Q15" s="657">
        <f>IF(Q$2&lt;=$H$57,0,Opex!M44*Q$3*(1+$H$56)^(Q$2-$H$57-1))</f>
        <v>2351.7477339360021</v>
      </c>
      <c r="R15" s="657">
        <f>IF(R$2&lt;=$H$57,0,Opex!N44*R$3*(1+$H$56)^(R$2-$H$57-1))</f>
        <v>2487.067298546679</v>
      </c>
      <c r="S15" s="657">
        <f>IF(S$2&lt;=$H$57,0,Opex!O44*S$3*(1+$H$56)^(S$2-$H$57-1))</f>
        <v>2630.1731509050551</v>
      </c>
      <c r="T15" s="657">
        <f>IF(T$2&lt;=$H$57,0,Opex!P44*T$3*(1+$H$56)^(T$2-$H$57-1))</f>
        <v>2781.5133140081311</v>
      </c>
      <c r="U15" s="657">
        <f>IF(U$2&lt;=$H$57,0,Opex!Q44*U$3*(1+$H$56)^(U$2-$H$57-1))</f>
        <v>2941.5615900961593</v>
      </c>
      <c r="V15" s="657">
        <f>IF(V$2&lt;=$H$57,0,Opex!R44*V$3*(1+$H$56)^(V$2-$H$57-1))</f>
        <v>3110.8190439902914</v>
      </c>
      <c r="W15" s="657">
        <f>IF(W$2&lt;=$H$57,0,Opex!S44*W$3*(1+$H$56)^(W$2-$H$57-1))</f>
        <v>3289.8155717814934</v>
      </c>
      <c r="X15" s="657">
        <f>IF(X$2&lt;=$H$57,0,Opex!T44*X$3*(1+$H$56)^(X$2-$H$57-1))</f>
        <v>3479.1115597817989</v>
      </c>
      <c r="Y15" s="657">
        <f>IF(Y$2&lt;=$H$57,0,Opex!U44*Y$3*(1+$H$56)^(Y$2-$H$57-1))</f>
        <v>3679.2996389316436</v>
      </c>
      <c r="Z15" s="657">
        <f>IF(Z$2&lt;=$H$57,0,Opex!V44*Z$3*(1+$H$56)^(Z$2-$H$57-1))</f>
        <v>3891.0065401557695</v>
      </c>
      <c r="AA15" s="657">
        <f>IF(AA$2&lt;=$H$57,0,Opex!W44*AA$3*(1+$H$56)^(AA$2-$H$57-1))</f>
        <v>4114.8950564763318</v>
      </c>
    </row>
    <row r="16" spans="1:27">
      <c r="A16" s="654"/>
      <c r="B16" s="659" t="s">
        <v>33</v>
      </c>
      <c r="C16" s="659"/>
      <c r="D16" s="659"/>
      <c r="E16" s="659"/>
      <c r="F16" s="659"/>
      <c r="G16" s="660">
        <f>J16/$J$20</f>
        <v>1.3990112344999752E-2</v>
      </c>
      <c r="H16" s="657">
        <f>IF(H$2&lt;=$H$57,0,Opex!$D$47*(1+$H$56)^(H$2-$H$57-1))</f>
        <v>25.04</v>
      </c>
      <c r="I16" s="657">
        <f>IF(I$2&lt;=$H$57,0,Opex!$D$47*(1+$H$56)^(I$2-$H$57-1))</f>
        <v>26.166799999999999</v>
      </c>
      <c r="J16" s="657">
        <f>IF(J$2&lt;=$H$57,0,Opex!$D$47*(1+$H$56)^(J$2-$H$57-1))</f>
        <v>27.344305999999992</v>
      </c>
      <c r="K16" s="657">
        <f>IF(K$2&lt;=$H$57,0,Opex!$D$47*(1+$H$56)^(K$2-$H$57-1))</f>
        <v>28.574799769999995</v>
      </c>
      <c r="L16" s="657">
        <f>IF(L$2&lt;=$H$57,0,Opex!$D$47*(1+$H$56)^(L$2-$H$57-1))</f>
        <v>29.860665759649986</v>
      </c>
      <c r="M16" s="657">
        <f>IF(M$2&lt;=$H$57,0,Opex!$D$47*(1+$H$56)^(M$2-$H$57-1))</f>
        <v>31.204395718834235</v>
      </c>
      <c r="N16" s="657">
        <f>IF(N$2&lt;=$H$57,0,Opex!$D$47*(1+$H$56)^(N$2-$H$57-1))</f>
        <v>32.608593526181771</v>
      </c>
      <c r="O16" s="657">
        <f>IF(O$2&lt;=$H$57,0,Opex!$D$47*(1+$H$56)^(O$2-$H$57-1))</f>
        <v>34.075980234859948</v>
      </c>
      <c r="P16" s="657">
        <f>IF(P$2&lt;=$H$57,0,Opex!$D$47*(1+$H$56)^(P$2-$H$57-1))</f>
        <v>35.609399345428635</v>
      </c>
      <c r="Q16" s="657">
        <f>IF(Q$2&lt;=$H$57,0,Opex!$D$47*(1+$H$56)^(Q$2-$H$57-1))</f>
        <v>37.211822315972924</v>
      </c>
      <c r="R16" s="657">
        <f>IF(R$2&lt;=$H$57,0,Opex!$D$47*(1+$H$56)^(R$2-$H$57-1))</f>
        <v>38.8863543201917</v>
      </c>
      <c r="S16" s="657">
        <f>IF(S$2&lt;=$H$57,0,Opex!$D$47*(1+$H$56)^(S$2-$H$57-1))</f>
        <v>40.636240264600325</v>
      </c>
      <c r="T16" s="657">
        <f>IF(T$2&lt;=$H$57,0,Opex!$D$47*(1+$H$56)^(T$2-$H$57-1))</f>
        <v>42.464871076507329</v>
      </c>
      <c r="U16" s="657">
        <f>IF(U$2&lt;=$H$57,0,Opex!$D$47*(1+$H$56)^(U$2-$H$57-1))</f>
        <v>44.375790274950162</v>
      </c>
      <c r="V16" s="657">
        <f>IF(V$2&lt;=$H$57,0,Opex!$D$47*(1+$H$56)^(V$2-$H$57-1))</f>
        <v>46.37270083732291</v>
      </c>
      <c r="W16" s="657">
        <f>IF(W$2&lt;=$H$57,0,Opex!$D$47*(1+$H$56)^(W$2-$H$57-1))</f>
        <v>48.459472375002441</v>
      </c>
      <c r="X16" s="657">
        <f>IF(X$2&lt;=$H$57,0,Opex!$D$47*(1+$H$56)^(X$2-$H$57-1))</f>
        <v>50.64014863187753</v>
      </c>
      <c r="Y16" s="657">
        <f>IF(Y$2&lt;=$H$57,0,Opex!$D$47*(1+$H$56)^(Y$2-$H$57-1))</f>
        <v>52.918955320312023</v>
      </c>
      <c r="Z16" s="657">
        <f>IF(Z$2&lt;=$H$57,0,Opex!$D$47*(1+$H$56)^(Z$2-$H$57-1))</f>
        <v>55.300308309726049</v>
      </c>
      <c r="AA16" s="657">
        <f>IF(AA$2&lt;=$H$57,0,Opex!$D$47*(1+$H$56)^(AA$2-$H$57-1))</f>
        <v>57.788822183663719</v>
      </c>
    </row>
    <row r="17" spans="1:27">
      <c r="A17" s="654"/>
      <c r="B17" s="659" t="s">
        <v>20</v>
      </c>
      <c r="C17" s="659"/>
      <c r="D17" s="659"/>
      <c r="E17" s="659"/>
      <c r="F17" s="659"/>
      <c r="G17" s="660">
        <f>J17/$J$20</f>
        <v>0.11630394418487193</v>
      </c>
      <c r="H17" s="657">
        <f>IF(H$2&lt;=$H$57,0,Opex!$D$49*H$3*(1+$H$56)^(H$2-$H$57-1))</f>
        <v>187.34843734740005</v>
      </c>
      <c r="I17" s="657">
        <f>IF(I$2&lt;=$H$57,0,Opex!$D$49*I$3*(1+$H$56)^(I$2-$H$57-1))</f>
        <v>217.53235225337002</v>
      </c>
      <c r="J17" s="657">
        <f>IF(J$2&lt;=$H$57,0,Opex!$D$49*J$3*(1+$H$56)^(J$2-$H$57-1))</f>
        <v>227.32130810477165</v>
      </c>
      <c r="K17" s="657">
        <f>IF(K$2&lt;=$H$57,0,Opex!$D$49*K$3*(1+$H$56)^(K$2-$H$57-1))</f>
        <v>237.55076696948638</v>
      </c>
      <c r="L17" s="657">
        <f>IF(L$2&lt;=$H$57,0,Opex!$D$49*L$3*(1+$H$56)^(L$2-$H$57-1))</f>
        <v>248.24055148311319</v>
      </c>
      <c r="M17" s="657">
        <f>IF(M$2&lt;=$H$57,0,Opex!$D$49*M$3*(1+$H$56)^(M$2-$H$57-1))</f>
        <v>259.41137629985332</v>
      </c>
      <c r="N17" s="657">
        <f>IF(N$2&lt;=$H$57,0,Opex!$D$49*N$3*(1+$H$56)^(N$2-$H$57-1))</f>
        <v>271.08488823334665</v>
      </c>
      <c r="O17" s="657">
        <f>IF(O$2&lt;=$H$57,0,Opex!$D$49*O$3*(1+$H$56)^(O$2-$H$57-1))</f>
        <v>283.28370820384725</v>
      </c>
      <c r="P17" s="657">
        <f>IF(P$2&lt;=$H$57,0,Opex!$D$49*P$3*(1+$H$56)^(P$2-$H$57-1))</f>
        <v>296.03147507302026</v>
      </c>
      <c r="Q17" s="657">
        <f>IF(Q$2&lt;=$H$57,0,Opex!$D$49*Q$3*(1+$H$56)^(Q$2-$H$57-1))</f>
        <v>309.35289145130616</v>
      </c>
      <c r="R17" s="657">
        <f>IF(R$2&lt;=$H$57,0,Opex!$D$49*R$3*(1+$H$56)^(R$2-$H$57-1))</f>
        <v>323.27377156661487</v>
      </c>
      <c r="S17" s="657">
        <f>IF(S$2&lt;=$H$57,0,Opex!$D$49*S$3*(1+$H$56)^(S$2-$H$57-1))</f>
        <v>337.82109128711255</v>
      </c>
      <c r="T17" s="657">
        <f>IF(T$2&lt;=$H$57,0,Opex!$D$49*T$3*(1+$H$56)^(T$2-$H$57-1))</f>
        <v>353.02304039503252</v>
      </c>
      <c r="U17" s="657">
        <f>IF(U$2&lt;=$H$57,0,Opex!$D$49*U$3*(1+$H$56)^(U$2-$H$57-1))</f>
        <v>368.90907721280905</v>
      </c>
      <c r="V17" s="657">
        <f>IF(V$2&lt;=$H$57,0,Opex!$D$49*V$3*(1+$H$56)^(V$2-$H$57-1))</f>
        <v>385.50998568738532</v>
      </c>
      <c r="W17" s="657">
        <f>IF(W$2&lt;=$H$57,0,Opex!$D$49*W$3*(1+$H$56)^(W$2-$H$57-1))</f>
        <v>402.8579350433177</v>
      </c>
      <c r="X17" s="657">
        <f>IF(X$2&lt;=$H$57,0,Opex!$D$49*X$3*(1+$H$56)^(X$2-$H$57-1))</f>
        <v>420.98654212026685</v>
      </c>
      <c r="Y17" s="657">
        <f>IF(Y$2&lt;=$H$57,0,Opex!$D$49*Y$3*(1+$H$56)^(Y$2-$H$57-1))</f>
        <v>439.93093651567887</v>
      </c>
      <c r="Z17" s="657">
        <f>IF(Z$2&lt;=$H$57,0,Opex!$D$49*Z$3*(1+$H$56)^(Z$2-$H$57-1))</f>
        <v>459.72782865888433</v>
      </c>
      <c r="AA17" s="657">
        <f>IF(AA$2&lt;=$H$57,0,Opex!$D$49*AA$3*(1+$H$56)^(AA$2-$H$57-1))</f>
        <v>480.41558094853406</v>
      </c>
    </row>
    <row r="18" spans="1:27">
      <c r="A18" s="654"/>
      <c r="B18" s="659" t="s">
        <v>23</v>
      </c>
      <c r="C18" s="659"/>
      <c r="D18" s="659"/>
      <c r="E18" s="659"/>
      <c r="F18" s="659"/>
      <c r="G18" s="660">
        <f>J18/$J$20</f>
        <v>1.6983618908009687E-2</v>
      </c>
      <c r="H18" s="657">
        <f>IF(H$2&lt;=$H$57,0,Opex!$D$52*H$3*(1+$H$56)^(H$2-$H$57-1))</f>
        <v>27.358095937499996</v>
      </c>
      <c r="I18" s="657">
        <f>IF(I$2&lt;=$H$57,0,Opex!$D$52*I$3*(1+$H$56)^(I$2-$H$57-1))</f>
        <v>31.765789171874996</v>
      </c>
      <c r="J18" s="657">
        <f>IF(J$2&lt;=$H$57,0,Opex!$D$52*J$3*(1+$H$56)^(J$2-$H$57-1))</f>
        <v>33.195249684609365</v>
      </c>
      <c r="K18" s="657">
        <f>IF(K$2&lt;=$H$57,0,Opex!$D$52*K$3*(1+$H$56)^(K$2-$H$57-1))</f>
        <v>34.689035920416785</v>
      </c>
      <c r="L18" s="657">
        <f>IF(L$2&lt;=$H$57,0,Opex!$D$52*L$3*(1+$H$56)^(L$2-$H$57-1))</f>
        <v>36.250042536835537</v>
      </c>
      <c r="M18" s="657">
        <f>IF(M$2&lt;=$H$57,0,Opex!$D$52*M$3*(1+$H$56)^(M$2-$H$57-1))</f>
        <v>37.881294450993131</v>
      </c>
      <c r="N18" s="657">
        <f>IF(N$2&lt;=$H$57,0,Opex!$D$52*N$3*(1+$H$56)^(N$2-$H$57-1))</f>
        <v>39.585952701287816</v>
      </c>
      <c r="O18" s="657">
        <f>IF(O$2&lt;=$H$57,0,Opex!$D$52*O$3*(1+$H$56)^(O$2-$H$57-1))</f>
        <v>41.36732057284577</v>
      </c>
      <c r="P18" s="657">
        <f>IF(P$2&lt;=$H$57,0,Opex!$D$52*P$3*(1+$H$56)^(P$2-$H$57-1))</f>
        <v>43.228849998623815</v>
      </c>
      <c r="Q18" s="657">
        <f>IF(Q$2&lt;=$H$57,0,Opex!$D$52*Q$3*(1+$H$56)^(Q$2-$H$57-1))</f>
        <v>45.174148248561885</v>
      </c>
      <c r="R18" s="657">
        <f>IF(R$2&lt;=$H$57,0,Opex!$D$52*R$3*(1+$H$56)^(R$2-$H$57-1))</f>
        <v>47.206984919747157</v>
      </c>
      <c r="S18" s="657">
        <f>IF(S$2&lt;=$H$57,0,Opex!$D$52*S$3*(1+$H$56)^(S$2-$H$57-1))</f>
        <v>49.331299241135781</v>
      </c>
      <c r="T18" s="657">
        <f>IF(T$2&lt;=$H$57,0,Opex!$D$52*T$3*(1+$H$56)^(T$2-$H$57-1))</f>
        <v>51.551207706986879</v>
      </c>
      <c r="U18" s="657">
        <f>IF(U$2&lt;=$H$57,0,Opex!$D$52*U$3*(1+$H$56)^(U$2-$H$57-1))</f>
        <v>53.871012053801294</v>
      </c>
      <c r="V18" s="657">
        <f>IF(V$2&lt;=$H$57,0,Opex!$D$52*V$3*(1+$H$56)^(V$2-$H$57-1))</f>
        <v>56.295207596222333</v>
      </c>
      <c r="W18" s="657">
        <f>IF(W$2&lt;=$H$57,0,Opex!$D$52*W$3*(1+$H$56)^(W$2-$H$57-1))</f>
        <v>58.828491938052345</v>
      </c>
      <c r="X18" s="657">
        <f>IF(X$2&lt;=$H$57,0,Opex!$D$52*X$3*(1+$H$56)^(X$2-$H$57-1))</f>
        <v>61.475774075264674</v>
      </c>
      <c r="Y18" s="657">
        <f>IF(Y$2&lt;=$H$57,0,Opex!$D$52*Y$3*(1+$H$56)^(Y$2-$H$57-1))</f>
        <v>64.242183908651583</v>
      </c>
      <c r="Z18" s="657">
        <f>IF(Z$2&lt;=$H$57,0,Opex!$D$52*Z$3*(1+$H$56)^(Z$2-$H$57-1))</f>
        <v>67.133082184540896</v>
      </c>
      <c r="AA18" s="657">
        <f>IF(AA$2&lt;=$H$57,0,Opex!$D$52*AA$3*(1+$H$56)^(AA$2-$H$57-1))</f>
        <v>70.154070882845232</v>
      </c>
    </row>
    <row r="19" spans="1:27">
      <c r="A19" s="654"/>
      <c r="B19" s="659" t="s">
        <v>25</v>
      </c>
      <c r="C19" s="659"/>
      <c r="D19" s="659"/>
      <c r="E19" s="659"/>
      <c r="F19" s="659"/>
      <c r="G19" s="660">
        <f>J19/$J$20</f>
        <v>3.9391166362540288E-2</v>
      </c>
      <c r="H19" s="657">
        <f>IF(H$2&lt;=$H$57,0,Opex!$D$55*H$3*(1+$H$56)^(H$2-$H$57-1))</f>
        <v>63.453337847103867</v>
      </c>
      <c r="I19" s="657">
        <f>IF(I$2&lt;=$H$57,0,Opex!$D$55*I$3*(1+$H$56)^(I$2-$H$57-1))</f>
        <v>73.676375611359475</v>
      </c>
      <c r="J19" s="657">
        <f>IF(J$2&lt;=$H$57,0,Opex!$D$55*J$3*(1+$H$56)^(J$2-$H$57-1))</f>
        <v>76.991812513870656</v>
      </c>
      <c r="K19" s="657">
        <f>IF(K$2&lt;=$H$57,0,Opex!$D$55*K$3*(1+$H$56)^(K$2-$H$57-1))</f>
        <v>80.456444076994828</v>
      </c>
      <c r="L19" s="657">
        <f>IF(L$2&lt;=$H$57,0,Opex!$D$55*L$3*(1+$H$56)^(L$2-$H$57-1))</f>
        <v>84.07698406045958</v>
      </c>
      <c r="M19" s="657">
        <f>IF(M$2&lt;=$H$57,0,Opex!$D$55*M$3*(1+$H$56)^(M$2-$H$57-1))</f>
        <v>87.860448343180252</v>
      </c>
      <c r="N19" s="657">
        <f>IF(N$2&lt;=$H$57,0,Opex!$D$55*N$3*(1+$H$56)^(N$2-$H$57-1))</f>
        <v>91.814168518623347</v>
      </c>
      <c r="O19" s="657">
        <f>IF(O$2&lt;=$H$57,0,Opex!$D$55*O$3*(1+$H$56)^(O$2-$H$57-1))</f>
        <v>95.945806101961409</v>
      </c>
      <c r="P19" s="657">
        <f>IF(P$2&lt;=$H$57,0,Opex!$D$55*P$3*(1+$H$56)^(P$2-$H$57-1))</f>
        <v>100.26336737654964</v>
      </c>
      <c r="Q19" s="657">
        <f>IF(Q$2&lt;=$H$57,0,Opex!$D$55*Q$3*(1+$H$56)^(Q$2-$H$57-1))</f>
        <v>104.77521890849437</v>
      </c>
      <c r="R19" s="657">
        <f>IF(R$2&lt;=$H$57,0,Opex!$D$55*R$3*(1+$H$56)^(R$2-$H$57-1))</f>
        <v>109.49010375937659</v>
      </c>
      <c r="S19" s="657">
        <f>IF(S$2&lt;=$H$57,0,Opex!$D$55*S$3*(1+$H$56)^(S$2-$H$57-1))</f>
        <v>114.41715842854853</v>
      </c>
      <c r="T19" s="657">
        <f>IF(T$2&lt;=$H$57,0,Opex!$D$55*T$3*(1+$H$56)^(T$2-$H$57-1))</f>
        <v>119.5659305578332</v>
      </c>
      <c r="U19" s="657">
        <f>IF(U$2&lt;=$H$57,0,Opex!$D$55*U$3*(1+$H$56)^(U$2-$H$57-1))</f>
        <v>124.9463974329357</v>
      </c>
      <c r="V19" s="657">
        <f>IF(V$2&lt;=$H$57,0,Opex!$D$55*V$3*(1+$H$56)^(V$2-$H$57-1))</f>
        <v>130.56898531741777</v>
      </c>
      <c r="W19" s="657">
        <f>IF(W$2&lt;=$H$57,0,Opex!$D$55*W$3*(1+$H$56)^(W$2-$H$57-1))</f>
        <v>136.44458965670157</v>
      </c>
      <c r="X19" s="657">
        <f>IF(X$2&lt;=$H$57,0,Opex!$D$55*X$3*(1+$H$56)^(X$2-$H$57-1))</f>
        <v>142.5845961912531</v>
      </c>
      <c r="Y19" s="657">
        <f>IF(Y$2&lt;=$H$57,0,Opex!$D$55*Y$3*(1+$H$56)^(Y$2-$H$57-1))</f>
        <v>149.00090301985949</v>
      </c>
      <c r="Z19" s="657">
        <f>IF(Z$2&lt;=$H$57,0,Opex!$D$55*Z$3*(1+$H$56)^(Z$2-$H$57-1))</f>
        <v>155.70594365575312</v>
      </c>
      <c r="AA19" s="657">
        <f>IF(AA$2&lt;=$H$57,0,Opex!$D$55*AA$3*(1+$H$56)^(AA$2-$H$57-1))</f>
        <v>162.71271112026201</v>
      </c>
    </row>
    <row r="20" spans="1:27" s="730" customFormat="1">
      <c r="A20" s="637"/>
      <c r="B20" s="661" t="s">
        <v>34</v>
      </c>
      <c r="C20" s="661"/>
      <c r="D20" s="661"/>
      <c r="E20" s="661"/>
      <c r="F20" s="661"/>
      <c r="G20" s="662"/>
      <c r="H20" s="641">
        <f t="shared" ref="H20:Q20" si="1">SUM(H15:H19)</f>
        <v>1582.469286974861</v>
      </c>
      <c r="I20" s="641">
        <f t="shared" si="1"/>
        <v>1852.3397370704431</v>
      </c>
      <c r="J20" s="641">
        <f t="shared" si="1"/>
        <v>1954.5451334258373</v>
      </c>
      <c r="K20" s="641">
        <f t="shared" si="1"/>
        <v>2062.4344078423173</v>
      </c>
      <c r="L20" s="641">
        <f t="shared" si="1"/>
        <v>2176.325744743483</v>
      </c>
      <c r="M20" s="641">
        <f t="shared" si="1"/>
        <v>2296.5552379182686</v>
      </c>
      <c r="N20" s="641">
        <f t="shared" si="1"/>
        <v>2423.4779030723321</v>
      </c>
      <c r="O20" s="641">
        <f t="shared" si="1"/>
        <v>2557.4687478337519</v>
      </c>
      <c r="P20" s="641">
        <f t="shared" si="1"/>
        <v>2698.923902482582</v>
      </c>
      <c r="Q20" s="641">
        <f t="shared" si="1"/>
        <v>2848.2618148603374</v>
      </c>
      <c r="R20" s="663">
        <f t="shared" ref="R20:AA20" si="2">SUM(R15:R19)</f>
        <v>3005.9245131126099</v>
      </c>
      <c r="S20" s="641">
        <f t="shared" si="2"/>
        <v>3172.3789401264526</v>
      </c>
      <c r="T20" s="641">
        <f t="shared" si="2"/>
        <v>3348.1183637444915</v>
      </c>
      <c r="U20" s="641">
        <f t="shared" si="2"/>
        <v>3533.6638670706557</v>
      </c>
      <c r="V20" s="641">
        <f t="shared" si="2"/>
        <v>3729.56592342864</v>
      </c>
      <c r="W20" s="641">
        <f t="shared" si="2"/>
        <v>3936.4060607945676</v>
      </c>
      <c r="X20" s="641">
        <f t="shared" si="2"/>
        <v>4154.7986208004604</v>
      </c>
      <c r="Y20" s="641">
        <f t="shared" si="2"/>
        <v>4385.3926176961459</v>
      </c>
      <c r="Z20" s="641">
        <f t="shared" si="2"/>
        <v>4628.8737029646736</v>
      </c>
      <c r="AA20" s="322">
        <f t="shared" si="2"/>
        <v>4885.9662416116362</v>
      </c>
    </row>
    <row r="21" spans="1:27">
      <c r="A21" s="654"/>
      <c r="B21" s="659"/>
      <c r="C21" s="659"/>
      <c r="D21" s="659"/>
      <c r="E21" s="659"/>
      <c r="F21" s="659"/>
      <c r="G21" s="656"/>
      <c r="H21" s="321"/>
      <c r="I21" s="321"/>
      <c r="J21" s="321"/>
      <c r="K21" s="321"/>
      <c r="L21" s="321"/>
      <c r="M21" s="321"/>
      <c r="N21" s="321"/>
      <c r="O21" s="321"/>
      <c r="P21" s="321"/>
      <c r="Q21" s="321"/>
      <c r="R21" s="744"/>
      <c r="AA21" s="745"/>
    </row>
    <row r="22" spans="1:27" s="730" customFormat="1">
      <c r="A22" s="770">
        <v>6</v>
      </c>
      <c r="B22" s="619" t="s">
        <v>520</v>
      </c>
      <c r="C22" s="771"/>
      <c r="D22" s="771"/>
      <c r="E22" s="771"/>
      <c r="F22" s="771"/>
      <c r="G22" s="666"/>
      <c r="H22" s="667">
        <f t="shared" ref="H22:AA22" si="3">H11-H20</f>
        <v>452.81364353451409</v>
      </c>
      <c r="I22" s="667">
        <f t="shared" si="3"/>
        <v>540.8182656705992</v>
      </c>
      <c r="J22" s="667">
        <f t="shared" si="3"/>
        <v>578.01961101386223</v>
      </c>
      <c r="K22" s="667">
        <f t="shared" si="3"/>
        <v>617.6583962578743</v>
      </c>
      <c r="L22" s="667">
        <f t="shared" si="3"/>
        <v>659.88958756375496</v>
      </c>
      <c r="M22" s="667">
        <f t="shared" si="3"/>
        <v>704.87780953121046</v>
      </c>
      <c r="N22" s="667">
        <f t="shared" si="3"/>
        <v>752.79793897678519</v>
      </c>
      <c r="O22" s="667">
        <f t="shared" si="3"/>
        <v>803.83573486230716</v>
      </c>
      <c r="P22" s="667">
        <f t="shared" si="3"/>
        <v>858.18850655886399</v>
      </c>
      <c r="Q22" s="667">
        <f t="shared" si="3"/>
        <v>916.06582276310155</v>
      </c>
      <c r="R22" s="668">
        <f t="shared" si="3"/>
        <v>977.69026352187484</v>
      </c>
      <c r="S22" s="667">
        <f t="shared" si="3"/>
        <v>1043.2982179689648</v>
      </c>
      <c r="T22" s="667">
        <f t="shared" si="3"/>
        <v>1113.1407305340158</v>
      </c>
      <c r="U22" s="667">
        <f t="shared" si="3"/>
        <v>1187.4843985496987</v>
      </c>
      <c r="V22" s="667">
        <f t="shared" si="3"/>
        <v>1266.6123243588668</v>
      </c>
      <c r="W22" s="667">
        <f t="shared" si="3"/>
        <v>1350.8251252097807</v>
      </c>
      <c r="X22" s="667">
        <f t="shared" si="3"/>
        <v>1440.4420044248691</v>
      </c>
      <c r="Y22" s="667">
        <f t="shared" si="3"/>
        <v>1535.8018875378002</v>
      </c>
      <c r="Z22" s="667">
        <f t="shared" si="3"/>
        <v>1637.2646273153487</v>
      </c>
      <c r="AA22" s="669">
        <f t="shared" si="3"/>
        <v>1745.2122818156104</v>
      </c>
    </row>
    <row r="23" spans="1:27">
      <c r="A23" s="654"/>
      <c r="B23" s="721" t="s">
        <v>523</v>
      </c>
      <c r="C23" s="659"/>
      <c r="D23" s="659"/>
      <c r="E23" s="659"/>
      <c r="F23" s="659"/>
      <c r="G23" s="656"/>
      <c r="H23" s="709">
        <f>H22/H11</f>
        <v>0.22248191479755955</v>
      </c>
      <c r="I23" s="709">
        <f t="shared" ref="I23:AA23" si="4">I22/I11</f>
        <v>0.2259851898834779</v>
      </c>
      <c r="J23" s="709">
        <f t="shared" si="4"/>
        <v>0.22823488018733448</v>
      </c>
      <c r="K23" s="709">
        <f t="shared" si="4"/>
        <v>0.23046157032806391</v>
      </c>
      <c r="L23" s="709">
        <f t="shared" si="4"/>
        <v>0.2326655455412619</v>
      </c>
      <c r="M23" s="709">
        <f t="shared" si="4"/>
        <v>0.23484708750381517</v>
      </c>
      <c r="N23" s="709">
        <f t="shared" si="4"/>
        <v>0.23700647437822375</v>
      </c>
      <c r="O23" s="709">
        <f t="shared" si="4"/>
        <v>0.23914398085637303</v>
      </c>
      <c r="P23" s="709">
        <f t="shared" si="4"/>
        <v>0.2412598782027596</v>
      </c>
      <c r="Q23" s="709">
        <f t="shared" si="4"/>
        <v>0.24335443429718254</v>
      </c>
      <c r="R23" s="709">
        <f t="shared" si="4"/>
        <v>0.24542791367690081</v>
      </c>
      <c r="S23" s="709">
        <f t="shared" si="4"/>
        <v>0.24748057757826789</v>
      </c>
      <c r="T23" s="709">
        <f t="shared" si="4"/>
        <v>0.24951268397784851</v>
      </c>
      <c r="U23" s="709">
        <f t="shared" si="4"/>
        <v>0.25152448763302382</v>
      </c>
      <c r="V23" s="709">
        <f t="shared" si="4"/>
        <v>0.25351624012209129</v>
      </c>
      <c r="W23" s="709">
        <f t="shared" si="4"/>
        <v>0.25548818988386673</v>
      </c>
      <c r="X23" s="709">
        <f t="shared" si="4"/>
        <v>0.25744058225679262</v>
      </c>
      <c r="Y23" s="709">
        <f t="shared" si="4"/>
        <v>0.25937365951756058</v>
      </c>
      <c r="Z23" s="709">
        <f t="shared" si="4"/>
        <v>0.26128766091925426</v>
      </c>
      <c r="AA23" s="709">
        <f t="shared" si="4"/>
        <v>0.26318282272901589</v>
      </c>
    </row>
    <row r="24" spans="1:27">
      <c r="A24" s="654"/>
      <c r="B24" s="659"/>
      <c r="C24" s="659"/>
      <c r="D24" s="659"/>
      <c r="E24" s="659"/>
      <c r="F24" s="659"/>
      <c r="G24" s="656"/>
      <c r="H24" s="321"/>
      <c r="I24" s="321"/>
      <c r="J24" s="321"/>
      <c r="K24" s="321"/>
      <c r="L24" s="321"/>
      <c r="M24" s="321"/>
      <c r="N24" s="321"/>
      <c r="O24" s="321"/>
      <c r="P24" s="321"/>
      <c r="Q24" s="321"/>
      <c r="R24" s="670"/>
      <c r="S24" s="321"/>
      <c r="T24" s="321"/>
      <c r="U24" s="321"/>
      <c r="V24" s="321"/>
      <c r="W24" s="321"/>
      <c r="X24" s="321"/>
      <c r="Y24" s="321"/>
      <c r="Z24" s="321"/>
      <c r="AA24" s="319"/>
    </row>
    <row r="25" spans="1:27" s="730" customFormat="1">
      <c r="A25" s="648"/>
      <c r="B25" s="649" t="s">
        <v>36</v>
      </c>
      <c r="C25" s="633">
        <f>+C8</f>
        <v>-96.87</v>
      </c>
      <c r="D25" s="633">
        <f>+D8</f>
        <v>-484.35</v>
      </c>
      <c r="E25" s="633">
        <f>+E8</f>
        <v>-678.08</v>
      </c>
      <c r="F25" s="633">
        <f>+F8</f>
        <v>-678.08</v>
      </c>
      <c r="G25" s="650"/>
      <c r="H25" s="651">
        <f>H22+SUM(C25:F25)</f>
        <v>-1484.566356465486</v>
      </c>
      <c r="I25" s="651">
        <f t="shared" ref="I25:AA25" si="5">I22</f>
        <v>540.8182656705992</v>
      </c>
      <c r="J25" s="651">
        <f t="shared" si="5"/>
        <v>578.01961101386223</v>
      </c>
      <c r="K25" s="651">
        <f t="shared" si="5"/>
        <v>617.6583962578743</v>
      </c>
      <c r="L25" s="651">
        <f t="shared" si="5"/>
        <v>659.88958756375496</v>
      </c>
      <c r="M25" s="651">
        <f t="shared" si="5"/>
        <v>704.87780953121046</v>
      </c>
      <c r="N25" s="651">
        <f t="shared" si="5"/>
        <v>752.79793897678519</v>
      </c>
      <c r="O25" s="651">
        <f t="shared" si="5"/>
        <v>803.83573486230716</v>
      </c>
      <c r="P25" s="651">
        <f t="shared" si="5"/>
        <v>858.18850655886399</v>
      </c>
      <c r="Q25" s="651">
        <f t="shared" si="5"/>
        <v>916.06582276310155</v>
      </c>
      <c r="R25" s="652">
        <f t="shared" si="5"/>
        <v>977.69026352187484</v>
      </c>
      <c r="S25" s="651">
        <f t="shared" si="5"/>
        <v>1043.2982179689648</v>
      </c>
      <c r="T25" s="651">
        <f t="shared" si="5"/>
        <v>1113.1407305340158</v>
      </c>
      <c r="U25" s="651">
        <f t="shared" si="5"/>
        <v>1187.4843985496987</v>
      </c>
      <c r="V25" s="651">
        <f t="shared" si="5"/>
        <v>1266.6123243588668</v>
      </c>
      <c r="W25" s="651">
        <f t="shared" si="5"/>
        <v>1350.8251252097807</v>
      </c>
      <c r="X25" s="651">
        <f t="shared" si="5"/>
        <v>1440.4420044248691</v>
      </c>
      <c r="Y25" s="651">
        <f t="shared" si="5"/>
        <v>1535.8018875378002</v>
      </c>
      <c r="Z25" s="651">
        <f t="shared" si="5"/>
        <v>1637.2646273153487</v>
      </c>
      <c r="AA25" s="653">
        <f t="shared" si="5"/>
        <v>1745.2122818156104</v>
      </c>
    </row>
    <row r="26" spans="1:27">
      <c r="A26" s="654"/>
      <c r="B26" s="659"/>
      <c r="C26" s="659"/>
      <c r="D26" s="659"/>
      <c r="E26" s="659"/>
      <c r="F26" s="659"/>
      <c r="G26" s="656"/>
      <c r="H26" s="321"/>
      <c r="I26" s="321"/>
      <c r="J26" s="321"/>
      <c r="K26" s="321"/>
      <c r="L26" s="321"/>
      <c r="M26" s="321"/>
      <c r="N26" s="321"/>
      <c r="O26" s="321"/>
      <c r="P26" s="321"/>
      <c r="Q26" s="321"/>
      <c r="R26" s="670"/>
      <c r="S26" s="321"/>
      <c r="T26" s="321"/>
      <c r="U26" s="321"/>
      <c r="V26" s="321"/>
      <c r="W26" s="321"/>
      <c r="X26" s="321"/>
      <c r="Y26" s="321"/>
      <c r="Z26" s="321"/>
      <c r="AA26" s="319"/>
    </row>
    <row r="27" spans="1:27">
      <c r="A27" s="654"/>
      <c r="B27" s="659" t="s">
        <v>37</v>
      </c>
      <c r="C27" s="659"/>
      <c r="D27" s="659"/>
      <c r="E27" s="659"/>
      <c r="F27" s="659"/>
      <c r="G27" s="656">
        <v>1</v>
      </c>
      <c r="H27" s="321">
        <f>G27/(1+0.1)</f>
        <v>0.90909090909090906</v>
      </c>
      <c r="I27" s="321">
        <f>H27/(1+0.1)</f>
        <v>0.82644628099173545</v>
      </c>
      <c r="J27" s="321">
        <f t="shared" ref="J27:AA27" si="6">I27/(1+0.1)</f>
        <v>0.75131480090157765</v>
      </c>
      <c r="K27" s="321">
        <f t="shared" si="6"/>
        <v>0.68301345536507052</v>
      </c>
      <c r="L27" s="321">
        <f t="shared" si="6"/>
        <v>0.62092132305915493</v>
      </c>
      <c r="M27" s="321">
        <f t="shared" si="6"/>
        <v>0.56447393005377711</v>
      </c>
      <c r="N27" s="321">
        <f t="shared" si="6"/>
        <v>0.51315811823070645</v>
      </c>
      <c r="O27" s="321">
        <f t="shared" si="6"/>
        <v>0.46650738020973309</v>
      </c>
      <c r="P27" s="321">
        <f t="shared" si="6"/>
        <v>0.42409761837248461</v>
      </c>
      <c r="Q27" s="321">
        <f t="shared" si="6"/>
        <v>0.38554328942953142</v>
      </c>
      <c r="R27" s="670">
        <f t="shared" si="6"/>
        <v>0.35049389948139215</v>
      </c>
      <c r="S27" s="321">
        <f t="shared" si="6"/>
        <v>0.31863081771035645</v>
      </c>
      <c r="T27" s="321">
        <f t="shared" si="6"/>
        <v>0.28966437973668768</v>
      </c>
      <c r="U27" s="321">
        <f t="shared" si="6"/>
        <v>0.26333125430607968</v>
      </c>
      <c r="V27" s="321">
        <f t="shared" si="6"/>
        <v>0.23939204936916333</v>
      </c>
      <c r="W27" s="321">
        <f t="shared" si="6"/>
        <v>0.21762913579014848</v>
      </c>
      <c r="X27" s="321">
        <f t="shared" si="6"/>
        <v>0.19784466890013497</v>
      </c>
      <c r="Y27" s="321">
        <f t="shared" si="6"/>
        <v>0.17985878990921358</v>
      </c>
      <c r="Z27" s="321">
        <f t="shared" si="6"/>
        <v>0.16350799082655779</v>
      </c>
      <c r="AA27" s="319">
        <f t="shared" si="6"/>
        <v>0.14864362802414344</v>
      </c>
    </row>
    <row r="28" spans="1:27">
      <c r="A28" s="654"/>
      <c r="B28" s="659" t="s">
        <v>38</v>
      </c>
      <c r="C28" s="671"/>
      <c r="D28" s="671"/>
      <c r="E28" s="671"/>
      <c r="F28" s="671"/>
      <c r="G28" s="672"/>
      <c r="H28" s="657">
        <f>H25*H27</f>
        <v>-1349.6057786049873</v>
      </c>
      <c r="I28" s="657">
        <f t="shared" ref="I28:AA28" si="7">I25*I27</f>
        <v>446.95724435586709</v>
      </c>
      <c r="J28" s="657">
        <f t="shared" si="7"/>
        <v>434.27468896608724</v>
      </c>
      <c r="K28" s="657">
        <f t="shared" si="7"/>
        <v>421.86899546333865</v>
      </c>
      <c r="L28" s="657">
        <f t="shared" si="7"/>
        <v>409.73951578304678</v>
      </c>
      <c r="M28" s="657">
        <f t="shared" si="7"/>
        <v>397.8851473537801</v>
      </c>
      <c r="N28" s="657">
        <f t="shared" si="7"/>
        <v>386.30437377328127</v>
      </c>
      <c r="O28" s="657">
        <f t="shared" si="7"/>
        <v>374.99530278958053</v>
      </c>
      <c r="P28" s="657">
        <f t="shared" si="7"/>
        <v>363.95570174625362</v>
      </c>
      <c r="Q28" s="657">
        <f t="shared" si="7"/>
        <v>353.18303064205628</v>
      </c>
      <c r="R28" s="673">
        <f t="shared" si="7"/>
        <v>342.6744729467718</v>
      </c>
      <c r="S28" s="657">
        <f t="shared" si="7"/>
        <v>332.42696430720895</v>
      </c>
      <c r="T28" s="657">
        <f t="shared" si="7"/>
        <v>322.43721926977906</v>
      </c>
      <c r="U28" s="657">
        <f t="shared" si="7"/>
        <v>312.70175613899278</v>
      </c>
      <c r="V28" s="657">
        <f t="shared" si="7"/>
        <v>303.21692008450856</v>
      </c>
      <c r="W28" s="657">
        <f t="shared" si="7"/>
        <v>293.97890460302369</v>
      </c>
      <c r="X28" s="657">
        <f t="shared" si="7"/>
        <v>284.98377143528495</v>
      </c>
      <c r="Y28" s="657">
        <f t="shared" si="7"/>
        <v>276.2274690328349</v>
      </c>
      <c r="Z28" s="657">
        <f t="shared" si="7"/>
        <v>267.70584966372559</v>
      </c>
      <c r="AA28" s="674">
        <f t="shared" si="7"/>
        <v>259.41468524136616</v>
      </c>
    </row>
    <row r="29" spans="1:27">
      <c r="A29" s="654"/>
      <c r="B29" s="659" t="s">
        <v>39</v>
      </c>
      <c r="C29" s="659"/>
      <c r="D29" s="659"/>
      <c r="E29" s="659"/>
      <c r="F29" s="659"/>
      <c r="G29" s="672"/>
      <c r="H29" s="657">
        <f>H25</f>
        <v>-1484.566356465486</v>
      </c>
      <c r="I29" s="657">
        <f t="shared" ref="I29:AA29" si="8">I25</f>
        <v>540.8182656705992</v>
      </c>
      <c r="J29" s="657">
        <f t="shared" si="8"/>
        <v>578.01961101386223</v>
      </c>
      <c r="K29" s="657">
        <f>K25</f>
        <v>617.6583962578743</v>
      </c>
      <c r="L29" s="657">
        <f t="shared" si="8"/>
        <v>659.88958756375496</v>
      </c>
      <c r="M29" s="657">
        <f t="shared" si="8"/>
        <v>704.87780953121046</v>
      </c>
      <c r="N29" s="657">
        <f t="shared" si="8"/>
        <v>752.79793897678519</v>
      </c>
      <c r="O29" s="657">
        <f t="shared" si="8"/>
        <v>803.83573486230716</v>
      </c>
      <c r="P29" s="657">
        <f t="shared" si="8"/>
        <v>858.18850655886399</v>
      </c>
      <c r="Q29" s="657">
        <f t="shared" si="8"/>
        <v>916.06582276310155</v>
      </c>
      <c r="R29" s="673">
        <f t="shared" si="8"/>
        <v>977.69026352187484</v>
      </c>
      <c r="S29" s="657">
        <f t="shared" si="8"/>
        <v>1043.2982179689648</v>
      </c>
      <c r="T29" s="657">
        <f t="shared" si="8"/>
        <v>1113.1407305340158</v>
      </c>
      <c r="U29" s="657">
        <f t="shared" si="8"/>
        <v>1187.4843985496987</v>
      </c>
      <c r="V29" s="657">
        <f t="shared" si="8"/>
        <v>1266.6123243588668</v>
      </c>
      <c r="W29" s="657">
        <f t="shared" si="8"/>
        <v>1350.8251252097807</v>
      </c>
      <c r="X29" s="657">
        <f t="shared" si="8"/>
        <v>1440.4420044248691</v>
      </c>
      <c r="Y29" s="657">
        <f t="shared" si="8"/>
        <v>1535.8018875378002</v>
      </c>
      <c r="Z29" s="657">
        <f t="shared" si="8"/>
        <v>1637.2646273153487</v>
      </c>
      <c r="AA29" s="674">
        <f t="shared" si="8"/>
        <v>1745.2122818156104</v>
      </c>
    </row>
    <row r="30" spans="1:27">
      <c r="A30" s="642"/>
      <c r="B30" s="675" t="s">
        <v>495</v>
      </c>
      <c r="C30" s="675"/>
      <c r="D30" s="675"/>
      <c r="E30" s="675"/>
      <c r="F30" s="675"/>
      <c r="G30" s="676"/>
      <c r="H30" s="677">
        <f>G29+H25</f>
        <v>-1484.566356465486</v>
      </c>
      <c r="I30" s="677">
        <f>H30+I25</f>
        <v>-943.74809079488682</v>
      </c>
      <c r="J30" s="677">
        <f t="shared" ref="J30:AA30" si="9">I30+J25</f>
        <v>-365.72847978102459</v>
      </c>
      <c r="K30" s="677">
        <f>J30+K25</f>
        <v>251.92991647684971</v>
      </c>
      <c r="L30" s="677">
        <f t="shared" si="9"/>
        <v>911.81950404060467</v>
      </c>
      <c r="M30" s="677">
        <f t="shared" si="9"/>
        <v>1616.6973135718151</v>
      </c>
      <c r="N30" s="677">
        <f t="shared" si="9"/>
        <v>2369.4952525486005</v>
      </c>
      <c r="O30" s="677">
        <f t="shared" si="9"/>
        <v>3173.3309874109077</v>
      </c>
      <c r="P30" s="677">
        <f t="shared" si="9"/>
        <v>4031.5194939697717</v>
      </c>
      <c r="Q30" s="677">
        <f t="shared" si="9"/>
        <v>4947.5853167328733</v>
      </c>
      <c r="R30" s="678">
        <f t="shared" si="9"/>
        <v>5925.2755802547481</v>
      </c>
      <c r="S30" s="677">
        <f t="shared" si="9"/>
        <v>6968.5737982237133</v>
      </c>
      <c r="T30" s="677">
        <f t="shared" si="9"/>
        <v>8081.7145287577296</v>
      </c>
      <c r="U30" s="677">
        <f t="shared" si="9"/>
        <v>9269.1989273074287</v>
      </c>
      <c r="V30" s="677">
        <f t="shared" si="9"/>
        <v>10535.811251666295</v>
      </c>
      <c r="W30" s="677">
        <f t="shared" si="9"/>
        <v>11886.636376876075</v>
      </c>
      <c r="X30" s="677">
        <f t="shared" si="9"/>
        <v>13327.078381300944</v>
      </c>
      <c r="Y30" s="677">
        <f t="shared" si="9"/>
        <v>14862.880268838744</v>
      </c>
      <c r="Z30" s="677">
        <f t="shared" si="9"/>
        <v>16500.144896154092</v>
      </c>
      <c r="AA30" s="679">
        <f t="shared" si="9"/>
        <v>18245.357177969701</v>
      </c>
    </row>
    <row r="31" spans="1:27">
      <c r="A31" s="654"/>
      <c r="B31" s="659"/>
      <c r="C31" s="659"/>
      <c r="D31" s="659"/>
      <c r="E31" s="659"/>
      <c r="F31" s="659"/>
      <c r="G31" s="656"/>
      <c r="H31" s="657"/>
      <c r="I31" s="657"/>
      <c r="J31" s="657"/>
      <c r="K31" s="657"/>
      <c r="L31" s="657"/>
      <c r="M31" s="657"/>
      <c r="N31" s="657"/>
      <c r="O31" s="657"/>
      <c r="P31" s="657"/>
      <c r="Q31" s="657"/>
      <c r="R31" s="673"/>
      <c r="S31" s="657"/>
      <c r="T31" s="657"/>
      <c r="U31" s="657"/>
      <c r="V31" s="657"/>
      <c r="W31" s="657"/>
      <c r="X31" s="657"/>
      <c r="Y31" s="657"/>
      <c r="Z31" s="657"/>
      <c r="AA31" s="674"/>
    </row>
    <row r="32" spans="1:27">
      <c r="A32" s="654"/>
      <c r="B32" s="659"/>
      <c r="C32" s="659"/>
      <c r="D32" s="659"/>
      <c r="E32" s="659"/>
      <c r="F32" s="659"/>
      <c r="G32" s="656"/>
      <c r="H32" s="657"/>
      <c r="I32" s="657"/>
      <c r="J32" s="657"/>
      <c r="K32" s="657"/>
      <c r="L32" s="657"/>
      <c r="M32" s="657"/>
      <c r="N32" s="657"/>
      <c r="O32" s="657"/>
      <c r="P32" s="657"/>
      <c r="Q32" s="657"/>
      <c r="R32" s="673"/>
      <c r="S32" s="657"/>
      <c r="T32" s="657"/>
      <c r="U32" s="657"/>
      <c r="V32" s="657"/>
      <c r="W32" s="657"/>
      <c r="X32" s="657"/>
      <c r="Y32" s="657"/>
      <c r="Z32" s="657"/>
      <c r="AA32" s="674"/>
    </row>
    <row r="33" spans="1:27">
      <c r="A33" s="654"/>
      <c r="B33" s="680" t="s">
        <v>455</v>
      </c>
      <c r="C33" s="681"/>
      <c r="D33" s="681"/>
      <c r="E33" s="681"/>
      <c r="F33" s="681"/>
      <c r="G33" s="682">
        <f>NPV(0%,(H28:AA28))</f>
        <v>5235.3262349918004</v>
      </c>
      <c r="H33" s="683"/>
      <c r="I33" s="321"/>
      <c r="J33" s="321"/>
      <c r="K33" s="321"/>
      <c r="L33" s="321"/>
      <c r="M33" s="321"/>
      <c r="N33" s="321"/>
      <c r="O33" s="321"/>
      <c r="P33" s="321"/>
      <c r="Q33" s="321"/>
      <c r="R33" s="670"/>
      <c r="S33" s="321"/>
      <c r="T33" s="321"/>
      <c r="U33" s="321"/>
      <c r="V33" s="321"/>
      <c r="W33" s="321"/>
      <c r="X33" s="321"/>
      <c r="Y33" s="321"/>
      <c r="Z33" s="321"/>
      <c r="AA33" s="319"/>
    </row>
    <row r="34" spans="1:27">
      <c r="A34" s="654"/>
      <c r="B34" s="684" t="s">
        <v>41</v>
      </c>
      <c r="C34" s="643"/>
      <c r="D34" s="643"/>
      <c r="E34" s="643"/>
      <c r="F34" s="643"/>
      <c r="G34" s="685">
        <f>IRR(C25:AA25,0.1)</f>
        <v>0.17630311095078777</v>
      </c>
      <c r="H34" s="319"/>
      <c r="I34" s="321"/>
      <c r="J34" s="321"/>
      <c r="K34" s="321"/>
      <c r="L34" s="321"/>
      <c r="M34" s="321"/>
      <c r="N34" s="321"/>
      <c r="O34" s="321"/>
      <c r="P34" s="321"/>
      <c r="Q34" s="321"/>
      <c r="R34" s="670"/>
      <c r="S34" s="321"/>
      <c r="T34" s="321"/>
      <c r="U34" s="321"/>
      <c r="V34" s="321"/>
      <c r="W34" s="321"/>
      <c r="X34" s="321"/>
      <c r="Y34" s="321"/>
      <c r="Z34" s="321"/>
      <c r="AA34" s="319"/>
    </row>
    <row r="35" spans="1:27">
      <c r="A35" s="654"/>
      <c r="B35" s="686" t="s">
        <v>500</v>
      </c>
      <c r="C35" s="687"/>
      <c r="D35" s="687"/>
      <c r="E35" s="687"/>
      <c r="F35" s="687"/>
      <c r="G35" s="688">
        <f>IF(SUM(H40:AA40)&lt;=25,SUM(H40:AA40)," N/A ")</f>
        <v>3.5921209555262514</v>
      </c>
      <c r="H35" s="689"/>
      <c r="I35" s="321"/>
      <c r="J35" s="321"/>
      <c r="K35" s="321"/>
      <c r="L35" s="321"/>
      <c r="M35" s="321"/>
      <c r="N35" s="321"/>
      <c r="O35" s="321"/>
      <c r="P35" s="321"/>
      <c r="Q35" s="321"/>
      <c r="R35" s="670"/>
      <c r="S35" s="321"/>
      <c r="T35" s="321"/>
      <c r="U35" s="321"/>
      <c r="V35" s="321"/>
      <c r="W35" s="321"/>
      <c r="X35" s="321"/>
      <c r="Y35" s="321"/>
      <c r="Z35" s="321"/>
      <c r="AA35" s="319"/>
    </row>
    <row r="36" spans="1:27">
      <c r="A36" s="654"/>
      <c r="B36" s="690" t="s">
        <v>501</v>
      </c>
      <c r="C36" s="691"/>
      <c r="D36" s="691"/>
      <c r="E36" s="691"/>
      <c r="F36" s="691"/>
      <c r="G36" s="688">
        <f>IF(SUM(H41:AA41)&lt;=25,SUM(H41:AA41)," N/A ")</f>
        <v>3.8669242909859851</v>
      </c>
      <c r="H36" s="692"/>
      <c r="I36" s="321"/>
      <c r="J36" s="321"/>
      <c r="K36" s="321"/>
      <c r="L36" s="321"/>
      <c r="M36" s="321"/>
      <c r="N36" s="321"/>
      <c r="O36" s="321"/>
      <c r="P36" s="321"/>
      <c r="Q36" s="321"/>
      <c r="R36" s="670"/>
      <c r="S36" s="321"/>
      <c r="T36" s="321"/>
      <c r="U36" s="321"/>
      <c r="V36" s="321"/>
      <c r="W36" s="321"/>
      <c r="X36" s="321"/>
      <c r="Y36" s="321"/>
      <c r="Z36" s="321"/>
      <c r="AA36" s="319"/>
    </row>
    <row r="37" spans="1:27">
      <c r="A37" s="318"/>
      <c r="G37" s="133"/>
      <c r="H37" s="693">
        <v>1</v>
      </c>
      <c r="I37" s="693">
        <v>2</v>
      </c>
      <c r="J37" s="693">
        <v>3</v>
      </c>
      <c r="K37" s="693">
        <v>4</v>
      </c>
      <c r="L37" s="693">
        <v>5</v>
      </c>
      <c r="M37" s="693">
        <v>6</v>
      </c>
      <c r="N37" s="693">
        <v>7</v>
      </c>
      <c r="O37" s="693">
        <v>8</v>
      </c>
      <c r="P37" s="693">
        <v>9</v>
      </c>
      <c r="Q37" s="693">
        <v>10</v>
      </c>
      <c r="R37" s="694">
        <v>11</v>
      </c>
      <c r="S37" s="693">
        <v>12</v>
      </c>
      <c r="T37" s="693">
        <v>13</v>
      </c>
      <c r="U37" s="693">
        <v>14</v>
      </c>
      <c r="V37" s="693">
        <v>15</v>
      </c>
      <c r="W37" s="693">
        <v>16</v>
      </c>
      <c r="X37" s="693">
        <v>17</v>
      </c>
      <c r="Y37" s="693">
        <v>18</v>
      </c>
      <c r="Z37" s="693">
        <v>19</v>
      </c>
      <c r="AA37" s="695">
        <v>20</v>
      </c>
    </row>
    <row r="38" spans="1:27">
      <c r="A38" s="696"/>
      <c r="B38" s="697" t="s">
        <v>502</v>
      </c>
      <c r="C38" s="698"/>
      <c r="D38" s="698"/>
      <c r="E38" s="698"/>
      <c r="F38" s="698"/>
      <c r="G38" s="699"/>
      <c r="H38" s="700">
        <f t="shared" ref="H38:AA38" si="10">IF(H30&lt;0,1,IF(H29=0,0,-G30/H29))</f>
        <v>1</v>
      </c>
      <c r="I38" s="700">
        <f t="shared" si="10"/>
        <v>1</v>
      </c>
      <c r="J38" s="700">
        <f t="shared" si="10"/>
        <v>1</v>
      </c>
      <c r="K38" s="700">
        <f t="shared" si="10"/>
        <v>0.59212095552625144</v>
      </c>
      <c r="L38" s="700">
        <f t="shared" si="10"/>
        <v>-0.3817758625453529</v>
      </c>
      <c r="M38" s="700">
        <f t="shared" si="10"/>
        <v>-1.2935852025857133</v>
      </c>
      <c r="N38" s="700">
        <f t="shared" si="10"/>
        <v>-2.1475846702891555</v>
      </c>
      <c r="O38" s="700">
        <f t="shared" si="10"/>
        <v>-2.9477356501878864</v>
      </c>
      <c r="P38" s="700">
        <f t="shared" si="10"/>
        <v>-3.6977085607161366</v>
      </c>
      <c r="Q38" s="700">
        <f t="shared" si="10"/>
        <v>-4.4009059106796737</v>
      </c>
      <c r="R38" s="701">
        <f t="shared" si="10"/>
        <v>-5.0604833671049194</v>
      </c>
      <c r="S38" s="700">
        <f t="shared" si="10"/>
        <v>-5.6793690223968243</v>
      </c>
      <c r="T38" s="700">
        <f t="shared" si="10"/>
        <v>-6.2602810292285547</v>
      </c>
      <c r="U38" s="700">
        <f t="shared" si="10"/>
        <v>-6.8057437542995167</v>
      </c>
      <c r="V38" s="700">
        <f t="shared" si="10"/>
        <v>-7.3181025867558231</v>
      </c>
      <c r="W38" s="700">
        <f t="shared" si="10"/>
        <v>-7.7995375234304314</v>
      </c>
      <c r="X38" s="700">
        <f t="shared" si="10"/>
        <v>-8.2520756409225235</v>
      </c>
      <c r="Y38" s="700">
        <f t="shared" si="10"/>
        <v>-8.6776025537167012</v>
      </c>
      <c r="Z38" s="700">
        <f t="shared" si="10"/>
        <v>-9.0778729478872737</v>
      </c>
      <c r="AA38" s="702">
        <f t="shared" si="10"/>
        <v>-9.4545202713038243</v>
      </c>
    </row>
    <row r="39" spans="1:27">
      <c r="B39" s="114" t="s">
        <v>503</v>
      </c>
      <c r="G39" s="703"/>
      <c r="H39" s="700">
        <f>IF(H30&lt;0,1,IF(H30=0,0,-G30/H28))</f>
        <v>1</v>
      </c>
      <c r="I39" s="700">
        <f t="shared" ref="I39:AA39" si="11">IF(I30&lt;0,1,IF(I30=0,0,-H30/I28))</f>
        <v>1</v>
      </c>
      <c r="J39" s="700">
        <f t="shared" si="11"/>
        <v>1</v>
      </c>
      <c r="K39" s="700">
        <f t="shared" si="11"/>
        <v>0.866924290985985</v>
      </c>
      <c r="L39" s="700">
        <f t="shared" si="11"/>
        <v>-0.61485384438791657</v>
      </c>
      <c r="M39" s="700">
        <f t="shared" si="11"/>
        <v>-2.29166509507795</v>
      </c>
      <c r="N39" s="700">
        <f t="shared" si="11"/>
        <v>-4.1850349706903422</v>
      </c>
      <c r="O39" s="700">
        <f t="shared" si="11"/>
        <v>-6.3187331545808325</v>
      </c>
      <c r="P39" s="700">
        <f t="shared" si="11"/>
        <v>-8.719003362731554</v>
      </c>
      <c r="Q39" s="700">
        <f t="shared" si="11"/>
        <v>-11.414816523434936</v>
      </c>
      <c r="R39" s="700">
        <f t="shared" si="11"/>
        <v>-14.438149635678844</v>
      </c>
      <c r="S39" s="700">
        <f t="shared" si="11"/>
        <v>-17.824292901760419</v>
      </c>
      <c r="T39" s="700">
        <f t="shared" si="11"/>
        <v>-21.612187991216974</v>
      </c>
      <c r="U39" s="700">
        <f t="shared" si="11"/>
        <v>-25.844800581054265</v>
      </c>
      <c r="V39" s="700">
        <f t="shared" si="11"/>
        <v>-30.569530634121744</v>
      </c>
      <c r="W39" s="700">
        <f t="shared" si="11"/>
        <v>-35.838664226242344</v>
      </c>
      <c r="X39" s="700">
        <f t="shared" si="11"/>
        <v>-41.709871116557004</v>
      </c>
      <c r="Y39" s="700">
        <f t="shared" si="11"/>
        <v>-48.246752678013955</v>
      </c>
      <c r="Z39" s="700">
        <f t="shared" si="11"/>
        <v>-55.519445269905432</v>
      </c>
      <c r="AA39" s="700">
        <f t="shared" si="11"/>
        <v>-63.605284646094454</v>
      </c>
    </row>
    <row r="40" spans="1:27" ht="13.5" customHeight="1">
      <c r="B40" s="697" t="s">
        <v>502</v>
      </c>
      <c r="C40" s="704"/>
      <c r="D40" s="704"/>
      <c r="E40" s="704"/>
      <c r="F40" s="704"/>
      <c r="H40" s="693">
        <f t="shared" ref="H40:AA41" si="12">IF(H38&gt;0,H38,0)</f>
        <v>1</v>
      </c>
      <c r="I40" s="693">
        <f t="shared" si="12"/>
        <v>1</v>
      </c>
      <c r="J40" s="693">
        <f t="shared" si="12"/>
        <v>1</v>
      </c>
      <c r="K40" s="693">
        <f>IF(K38&gt;0,K38,0)</f>
        <v>0.59212095552625144</v>
      </c>
      <c r="L40" s="693">
        <f t="shared" si="12"/>
        <v>0</v>
      </c>
      <c r="M40" s="693">
        <f t="shared" si="12"/>
        <v>0</v>
      </c>
      <c r="N40" s="693">
        <f t="shared" si="12"/>
        <v>0</v>
      </c>
      <c r="O40" s="693">
        <f t="shared" si="12"/>
        <v>0</v>
      </c>
      <c r="P40" s="693">
        <f t="shared" si="12"/>
        <v>0</v>
      </c>
      <c r="Q40" s="693">
        <f t="shared" si="12"/>
        <v>0</v>
      </c>
      <c r="R40" s="694">
        <f t="shared" si="12"/>
        <v>0</v>
      </c>
      <c r="S40" s="693">
        <f t="shared" si="12"/>
        <v>0</v>
      </c>
      <c r="T40" s="693">
        <f t="shared" si="12"/>
        <v>0</v>
      </c>
      <c r="U40" s="693">
        <f t="shared" si="12"/>
        <v>0</v>
      </c>
      <c r="V40" s="693">
        <f t="shared" si="12"/>
        <v>0</v>
      </c>
      <c r="W40" s="693">
        <f t="shared" si="12"/>
        <v>0</v>
      </c>
      <c r="X40" s="693">
        <f t="shared" si="12"/>
        <v>0</v>
      </c>
      <c r="Y40" s="693">
        <f t="shared" si="12"/>
        <v>0</v>
      </c>
      <c r="Z40" s="693">
        <f>IF(Z38&gt;0,Z38,0)</f>
        <v>0</v>
      </c>
      <c r="AA40" s="695">
        <f t="shared" si="12"/>
        <v>0</v>
      </c>
    </row>
    <row r="41" spans="1:27">
      <c r="B41" s="114" t="s">
        <v>503</v>
      </c>
      <c r="C41" s="704"/>
      <c r="D41" s="704"/>
      <c r="E41" s="704"/>
      <c r="F41" s="704"/>
      <c r="H41" s="693">
        <f t="shared" si="12"/>
        <v>1</v>
      </c>
      <c r="I41" s="693">
        <f t="shared" si="12"/>
        <v>1</v>
      </c>
      <c r="J41" s="693">
        <f t="shared" si="12"/>
        <v>1</v>
      </c>
      <c r="K41" s="693">
        <f t="shared" si="12"/>
        <v>0.866924290985985</v>
      </c>
      <c r="L41" s="693">
        <f t="shared" si="12"/>
        <v>0</v>
      </c>
      <c r="M41" s="693">
        <f t="shared" si="12"/>
        <v>0</v>
      </c>
      <c r="N41" s="693">
        <f t="shared" si="12"/>
        <v>0</v>
      </c>
      <c r="O41" s="693">
        <f t="shared" si="12"/>
        <v>0</v>
      </c>
      <c r="P41" s="693">
        <f t="shared" si="12"/>
        <v>0</v>
      </c>
      <c r="Q41" s="693">
        <f t="shared" si="12"/>
        <v>0</v>
      </c>
      <c r="R41" s="693">
        <f t="shared" si="12"/>
        <v>0</v>
      </c>
      <c r="S41" s="693">
        <f t="shared" si="12"/>
        <v>0</v>
      </c>
      <c r="T41" s="693">
        <f t="shared" si="12"/>
        <v>0</v>
      </c>
      <c r="U41" s="693">
        <f t="shared" si="12"/>
        <v>0</v>
      </c>
      <c r="V41" s="693">
        <f t="shared" si="12"/>
        <v>0</v>
      </c>
      <c r="W41" s="693">
        <f t="shared" si="12"/>
        <v>0</v>
      </c>
      <c r="X41" s="693">
        <f t="shared" si="12"/>
        <v>0</v>
      </c>
      <c r="Y41" s="693">
        <f t="shared" si="12"/>
        <v>0</v>
      </c>
      <c r="Z41" s="693">
        <f t="shared" si="12"/>
        <v>0</v>
      </c>
      <c r="AA41" s="693">
        <f t="shared" si="12"/>
        <v>0</v>
      </c>
    </row>
    <row r="43" spans="1:27">
      <c r="L43" s="705"/>
      <c r="M43" s="705"/>
      <c r="N43" s="705"/>
      <c r="O43" s="705"/>
      <c r="P43" s="705"/>
      <c r="Q43" s="705"/>
    </row>
    <row r="44" spans="1:27" ht="25.5">
      <c r="B44" s="704" t="s">
        <v>163</v>
      </c>
      <c r="L44" s="705"/>
      <c r="M44" s="705"/>
      <c r="N44" s="705"/>
      <c r="O44" s="705"/>
      <c r="P44" s="705"/>
      <c r="Q44" s="705"/>
    </row>
    <row r="45" spans="1:27">
      <c r="B45" s="704" t="s">
        <v>42</v>
      </c>
      <c r="L45" s="705"/>
      <c r="M45" s="705"/>
      <c r="N45" s="705"/>
      <c r="O45" s="705"/>
      <c r="P45" s="705"/>
      <c r="Q45" s="705"/>
    </row>
    <row r="46" spans="1:27">
      <c r="B46" s="25" t="s">
        <v>496</v>
      </c>
    </row>
    <row r="47" spans="1:27">
      <c r="B47" s="25" t="s">
        <v>43</v>
      </c>
      <c r="H47" s="133">
        <v>1</v>
      </c>
    </row>
    <row r="48" spans="1:27">
      <c r="B48" s="25" t="s">
        <v>80</v>
      </c>
    </row>
    <row r="49" spans="2:16">
      <c r="B49" s="25" t="s">
        <v>497</v>
      </c>
    </row>
    <row r="50" spans="2:16">
      <c r="B50" s="25" t="s">
        <v>44</v>
      </c>
    </row>
    <row r="52" spans="2:16" ht="14.45" customHeight="1">
      <c r="B52" s="25" t="s">
        <v>45</v>
      </c>
    </row>
    <row r="53" spans="2:16">
      <c r="B53" s="25" t="s">
        <v>46</v>
      </c>
    </row>
    <row r="54" spans="2:16">
      <c r="B54" s="25" t="s">
        <v>498</v>
      </c>
      <c r="E54" s="746"/>
      <c r="F54" s="746"/>
      <c r="G54" s="746"/>
      <c r="I54" s="705"/>
      <c r="J54" s="705"/>
      <c r="K54" s="705"/>
      <c r="L54" s="705"/>
      <c r="M54" s="705"/>
      <c r="N54" s="705"/>
      <c r="P54" s="705"/>
    </row>
    <row r="55" spans="2:16">
      <c r="E55" s="746"/>
      <c r="F55" s="746"/>
      <c r="G55" s="746"/>
      <c r="I55" s="769"/>
      <c r="J55" s="1435"/>
      <c r="K55" s="1435"/>
      <c r="L55" s="1435"/>
      <c r="M55" s="1435"/>
      <c r="N55" s="1435"/>
    </row>
    <row r="56" spans="2:16" ht="38.25">
      <c r="B56" s="706"/>
      <c r="E56" s="746"/>
      <c r="F56" s="746"/>
      <c r="G56" s="620" t="s">
        <v>521</v>
      </c>
      <c r="H56" s="748">
        <v>4.4999999999999998E-2</v>
      </c>
      <c r="I56" s="746"/>
      <c r="J56" s="746"/>
      <c r="K56" s="746"/>
      <c r="L56" s="705"/>
      <c r="M56" s="705"/>
      <c r="N56" s="705"/>
      <c r="P56" s="705"/>
    </row>
    <row r="57" spans="2:16" ht="25.5" customHeight="1">
      <c r="E57" s="746"/>
      <c r="F57" s="746"/>
      <c r="G57" s="707" t="s">
        <v>456</v>
      </c>
      <c r="H57" s="749">
        <v>4</v>
      </c>
      <c r="I57" s="769"/>
      <c r="J57" s="1435"/>
      <c r="K57" s="1435"/>
      <c r="L57" s="1435"/>
      <c r="M57" s="1435"/>
      <c r="N57" s="1435"/>
    </row>
    <row r="58" spans="2:16" ht="19.5" customHeight="1">
      <c r="I58" s="769"/>
      <c r="J58" s="1435"/>
      <c r="K58" s="1435"/>
      <c r="L58" s="1435"/>
      <c r="M58" s="1435"/>
      <c r="N58" s="1435"/>
    </row>
    <row r="59" spans="2:16">
      <c r="I59" s="705"/>
      <c r="J59" s="705"/>
      <c r="K59" s="705"/>
      <c r="L59" s="705"/>
      <c r="M59" s="705"/>
      <c r="N59" s="705"/>
      <c r="P59" s="705"/>
    </row>
    <row r="60" spans="2:16">
      <c r="I60" s="705"/>
      <c r="J60" s="705"/>
      <c r="K60" s="705"/>
      <c r="L60" s="705"/>
      <c r="M60" s="705"/>
      <c r="N60" s="705"/>
      <c r="P60" s="705"/>
    </row>
    <row r="71" spans="8:13">
      <c r="H71" s="321"/>
      <c r="I71" s="321"/>
      <c r="J71" s="321"/>
      <c r="K71" s="321"/>
      <c r="L71" s="321"/>
      <c r="M71" s="321"/>
    </row>
    <row r="72" spans="8:13">
      <c r="H72" s="708"/>
      <c r="I72" s="708"/>
      <c r="J72" s="708"/>
      <c r="K72" s="708"/>
      <c r="L72" s="708"/>
      <c r="M72" s="708"/>
    </row>
    <row r="73" spans="8:13">
      <c r="H73" s="708"/>
      <c r="I73" s="708"/>
      <c r="J73" s="708"/>
      <c r="K73" s="708"/>
      <c r="L73" s="708"/>
      <c r="M73" s="708"/>
    </row>
  </sheetData>
  <mergeCells count="11">
    <mergeCell ref="A1:F1"/>
    <mergeCell ref="R4:AA4"/>
    <mergeCell ref="B5:B6"/>
    <mergeCell ref="A7:G7"/>
    <mergeCell ref="J55:N55"/>
    <mergeCell ref="J57:N57"/>
    <mergeCell ref="J58:N58"/>
    <mergeCell ref="A2:B2"/>
    <mergeCell ref="A3:B3"/>
    <mergeCell ref="A4:A6"/>
    <mergeCell ref="H4:Q4"/>
  </mergeCells>
  <hyperlinks>
    <hyperlink ref="B33" r:id="rId1" display="NPV@12%" xr:uid="{00000000-0004-0000-1100-000000000000}"/>
  </hyperlinks>
  <pageMargins left="0.7" right="0.7" top="0.75" bottom="0.75" header="0.3" footer="0.3"/>
  <pageSetup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32309-CBEB-40AF-B344-359D5642A2DA}">
  <sheetPr codeName="Sheet39"/>
  <dimension ref="A1:AB72"/>
  <sheetViews>
    <sheetView showGridLines="0" zoomScaleNormal="100" workbookViewId="0">
      <pane ySplit="9" topLeftCell="A22" activePane="bottomLeft" state="frozen"/>
      <selection activeCell="F23" sqref="F23:I23"/>
      <selection pane="bottomLeft" activeCell="G36" sqref="G36"/>
    </sheetView>
  </sheetViews>
  <sheetFormatPr defaultColWidth="8.7109375" defaultRowHeight="12.75"/>
  <cols>
    <col min="1" max="1" width="8.85546875" style="347" bestFit="1" customWidth="1"/>
    <col min="2" max="2" width="76.5703125" style="1" customWidth="1"/>
    <col min="3" max="3" width="15.140625" style="1" customWidth="1"/>
    <col min="4" max="4" width="10.28515625" style="1" customWidth="1"/>
    <col min="5" max="5" width="8.140625" style="1" customWidth="1"/>
    <col min="6" max="6" width="13.7109375" style="1" customWidth="1"/>
    <col min="7" max="7" width="23.42578125" style="1" customWidth="1"/>
    <col min="8" max="8" width="21.140625" style="1070" customWidth="1"/>
    <col min="9" max="10" width="14" style="1070" customWidth="1"/>
    <col min="11" max="11" width="16" style="1070" customWidth="1"/>
    <col min="12" max="12" width="18.5703125" style="1070" bestFit="1" customWidth="1"/>
    <col min="13" max="17" width="18.7109375" style="1070" bestFit="1" customWidth="1"/>
    <col min="18" max="18" width="15" style="1070" customWidth="1"/>
    <col min="19" max="19" width="16.28515625" style="1070" customWidth="1"/>
    <col min="20" max="20" width="16.42578125" style="1070" customWidth="1"/>
    <col min="21" max="21" width="18" style="1070" customWidth="1"/>
    <col min="22" max="22" width="18.7109375" style="1070" customWidth="1"/>
    <col min="23" max="23" width="19.140625" style="1070" customWidth="1"/>
    <col min="24" max="24" width="20.42578125" style="1070" customWidth="1"/>
    <col min="25" max="25" width="19" style="1070" customWidth="1"/>
    <col min="26" max="27" width="19.28515625" style="1070" customWidth="1"/>
    <col min="28" max="16384" width="8.7109375" style="1"/>
  </cols>
  <sheetData>
    <row r="1" spans="1:28">
      <c r="A1" s="1440" t="s">
        <v>457</v>
      </c>
      <c r="B1" s="1441"/>
      <c r="C1" s="723">
        <v>1</v>
      </c>
      <c r="D1" s="723">
        <v>2</v>
      </c>
      <c r="E1" s="723">
        <v>3</v>
      </c>
      <c r="F1" s="723">
        <v>4</v>
      </c>
      <c r="G1" s="723"/>
      <c r="H1" s="723">
        <v>5</v>
      </c>
      <c r="I1" s="723">
        <v>6</v>
      </c>
      <c r="J1" s="723">
        <v>7</v>
      </c>
      <c r="K1" s="723">
        <v>8</v>
      </c>
      <c r="L1" s="723">
        <v>9</v>
      </c>
      <c r="M1" s="723">
        <v>10</v>
      </c>
      <c r="N1" s="723">
        <v>11</v>
      </c>
      <c r="O1" s="723">
        <v>12</v>
      </c>
      <c r="P1" s="723">
        <v>13</v>
      </c>
      <c r="Q1" s="723">
        <v>14</v>
      </c>
      <c r="R1" s="724">
        <v>15</v>
      </c>
      <c r="S1" s="723">
        <v>16</v>
      </c>
      <c r="T1" s="723">
        <v>17</v>
      </c>
      <c r="U1" s="723">
        <v>18</v>
      </c>
      <c r="V1" s="723">
        <v>19</v>
      </c>
      <c r="W1" s="723">
        <v>20</v>
      </c>
      <c r="X1" s="723">
        <v>21</v>
      </c>
      <c r="Y1" s="723">
        <v>22</v>
      </c>
      <c r="Z1" s="723">
        <v>23</v>
      </c>
      <c r="AA1" s="725">
        <v>24</v>
      </c>
    </row>
    <row r="2" spans="1:28" ht="12" customHeight="1">
      <c r="A2" s="1448" t="s">
        <v>458</v>
      </c>
      <c r="B2" s="1449"/>
      <c r="C2" s="922"/>
      <c r="D2" s="922"/>
      <c r="E2" s="922"/>
      <c r="F2" s="922"/>
      <c r="G2" s="922"/>
      <c r="H2" s="1054">
        <v>0.9</v>
      </c>
      <c r="I2" s="1054">
        <v>1</v>
      </c>
      <c r="J2" s="1054">
        <v>1</v>
      </c>
      <c r="K2" s="1054">
        <v>1</v>
      </c>
      <c r="L2" s="1054">
        <v>1</v>
      </c>
      <c r="M2" s="1054">
        <v>1</v>
      </c>
      <c r="N2" s="1054">
        <v>1</v>
      </c>
      <c r="O2" s="1054">
        <v>1</v>
      </c>
      <c r="P2" s="1054">
        <v>1</v>
      </c>
      <c r="Q2" s="1054">
        <v>1</v>
      </c>
      <c r="R2" s="1268">
        <v>1</v>
      </c>
      <c r="S2" s="1054">
        <v>1</v>
      </c>
      <c r="T2" s="1054">
        <v>1</v>
      </c>
      <c r="U2" s="1054">
        <v>1</v>
      </c>
      <c r="V2" s="1054">
        <v>1</v>
      </c>
      <c r="W2" s="1054">
        <v>1</v>
      </c>
      <c r="X2" s="1054">
        <v>1</v>
      </c>
      <c r="Y2" s="1054">
        <v>1</v>
      </c>
      <c r="Z2" s="1054">
        <v>1</v>
      </c>
      <c r="AA2" s="1269">
        <v>1</v>
      </c>
    </row>
    <row r="3" spans="1:28" s="142" customFormat="1" ht="15" customHeight="1">
      <c r="A3" s="1444"/>
      <c r="B3" s="1204"/>
      <c r="C3" s="1204"/>
      <c r="D3" s="1204"/>
      <c r="E3" s="1204"/>
      <c r="F3" s="1204"/>
      <c r="G3" s="622"/>
      <c r="H3" s="1431" t="s">
        <v>28</v>
      </c>
      <c r="I3" s="1431"/>
      <c r="J3" s="1431"/>
      <c r="K3" s="1431"/>
      <c r="L3" s="1431"/>
      <c r="M3" s="1431"/>
      <c r="N3" s="1431"/>
      <c r="O3" s="1431"/>
      <c r="P3" s="1431"/>
      <c r="Q3" s="1431"/>
      <c r="R3" s="1430" t="s">
        <v>28</v>
      </c>
      <c r="S3" s="1431"/>
      <c r="T3" s="1431"/>
      <c r="U3" s="1431"/>
      <c r="V3" s="1431"/>
      <c r="W3" s="1431"/>
      <c r="X3" s="1431"/>
      <c r="Y3" s="1431"/>
      <c r="Z3" s="1431"/>
      <c r="AA3" s="1432"/>
    </row>
    <row r="4" spans="1:28" s="142" customFormat="1" ht="15" customHeight="1">
      <c r="A4" s="1445"/>
      <c r="B4" s="1450" t="s">
        <v>29</v>
      </c>
      <c r="C4" s="623">
        <v>2023</v>
      </c>
      <c r="D4" s="623">
        <v>2024</v>
      </c>
      <c r="E4" s="623">
        <v>2025</v>
      </c>
      <c r="F4" s="623">
        <v>2026</v>
      </c>
      <c r="G4" s="623" t="s">
        <v>172</v>
      </c>
      <c r="H4" s="623">
        <v>2027</v>
      </c>
      <c r="I4" s="623">
        <v>2028</v>
      </c>
      <c r="J4" s="623">
        <v>2029</v>
      </c>
      <c r="K4" s="623">
        <v>2030</v>
      </c>
      <c r="L4" s="623">
        <v>2031</v>
      </c>
      <c r="M4" s="623">
        <v>2032</v>
      </c>
      <c r="N4" s="623">
        <v>2033</v>
      </c>
      <c r="O4" s="623">
        <v>2034</v>
      </c>
      <c r="P4" s="623">
        <v>2035</v>
      </c>
      <c r="Q4" s="624">
        <v>2036</v>
      </c>
      <c r="R4" s="623">
        <v>2037</v>
      </c>
      <c r="S4" s="623">
        <v>2038</v>
      </c>
      <c r="T4" s="623">
        <v>2039</v>
      </c>
      <c r="U4" s="623">
        <v>2040</v>
      </c>
      <c r="V4" s="623">
        <v>2041</v>
      </c>
      <c r="W4" s="623">
        <v>2042</v>
      </c>
      <c r="X4" s="623">
        <v>2043</v>
      </c>
      <c r="Y4" s="623">
        <v>2044</v>
      </c>
      <c r="Z4" s="623">
        <v>2045</v>
      </c>
      <c r="AA4" s="623">
        <v>2046</v>
      </c>
    </row>
    <row r="5" spans="1:28">
      <c r="A5" s="1446"/>
      <c r="B5" s="1434"/>
      <c r="C5" s="625">
        <v>0.05</v>
      </c>
      <c r="D5" s="625">
        <v>0.25</v>
      </c>
      <c r="E5" s="625">
        <v>0.35</v>
      </c>
      <c r="F5" s="625">
        <v>0.35</v>
      </c>
      <c r="G5" s="626"/>
      <c r="H5" s="627"/>
      <c r="I5" s="627"/>
      <c r="J5" s="627"/>
      <c r="K5" s="627"/>
      <c r="L5" s="627"/>
      <c r="M5" s="627"/>
      <c r="N5" s="628"/>
      <c r="O5" s="627"/>
      <c r="P5" s="628"/>
      <c r="Q5" s="627"/>
      <c r="R5" s="731"/>
      <c r="S5" s="732"/>
      <c r="T5" s="732"/>
      <c r="U5" s="732"/>
      <c r="V5" s="732"/>
      <c r="W5" s="732"/>
      <c r="X5" s="732"/>
      <c r="Y5" s="732"/>
      <c r="Z5" s="732"/>
      <c r="AA5" s="733"/>
    </row>
    <row r="6" spans="1:28">
      <c r="A6" s="1436" t="s">
        <v>275</v>
      </c>
      <c r="B6" s="1437"/>
      <c r="C6" s="1437"/>
      <c r="D6" s="1437"/>
      <c r="E6" s="1437"/>
      <c r="F6" s="1437"/>
      <c r="G6" s="1437"/>
      <c r="H6" s="629"/>
      <c r="I6" s="629"/>
      <c r="J6" s="629"/>
      <c r="K6" s="629"/>
      <c r="L6" s="629"/>
      <c r="M6" s="629"/>
      <c r="N6" s="630"/>
      <c r="O6" s="629"/>
      <c r="P6" s="630"/>
      <c r="Q6" s="629"/>
      <c r="R6" s="1270"/>
      <c r="S6" s="1058"/>
      <c r="T6" s="1058"/>
      <c r="U6" s="1058"/>
      <c r="V6" s="1058"/>
      <c r="W6" s="1058"/>
      <c r="X6" s="1058"/>
      <c r="Y6" s="1058"/>
      <c r="Z6" s="1058"/>
      <c r="AA6" s="1271"/>
    </row>
    <row r="7" spans="1:28">
      <c r="A7" s="1196">
        <v>1</v>
      </c>
      <c r="B7" s="1059" t="s">
        <v>273</v>
      </c>
      <c r="C7" s="1060">
        <f>ROUND($G7*C$5,2)</f>
        <v>-88.43</v>
      </c>
      <c r="D7" s="1060">
        <f>ROUND($G7*D$5,2)</f>
        <v>-442.17</v>
      </c>
      <c r="E7" s="1060">
        <f>ROUND($G7*E$5,2)</f>
        <v>-619.04</v>
      </c>
      <c r="F7" s="1060">
        <f>ROUND($G7*F$5,2)</f>
        <v>-619.04</v>
      </c>
      <c r="G7" s="1272">
        <f>-[12]Capex!D22</f>
        <v>-1768.675</v>
      </c>
      <c r="H7" s="1062"/>
      <c r="I7" s="1062"/>
      <c r="J7" s="1062"/>
      <c r="K7" s="1062"/>
      <c r="L7" s="1062"/>
      <c r="M7" s="1062"/>
      <c r="N7" s="636"/>
      <c r="O7" s="1062"/>
      <c r="P7" s="1062"/>
      <c r="Q7" s="1062"/>
      <c r="R7" s="1273"/>
      <c r="S7" s="1064"/>
      <c r="T7" s="1064"/>
      <c r="U7" s="1064"/>
      <c r="V7" s="1064"/>
      <c r="W7" s="1064"/>
      <c r="X7" s="1064"/>
      <c r="Y7" s="1064"/>
      <c r="Z7" s="1064"/>
      <c r="AA7" s="1274"/>
    </row>
    <row r="8" spans="1:28">
      <c r="A8" s="1071"/>
      <c r="B8" s="638" t="s">
        <v>274</v>
      </c>
      <c r="C8" s="639">
        <f>SUM(C7:C7)</f>
        <v>-88.43</v>
      </c>
      <c r="D8" s="639">
        <f>SUM(D7:D7)</f>
        <v>-442.17</v>
      </c>
      <c r="E8" s="639">
        <f>SUM(E7:E7)</f>
        <v>-619.04</v>
      </c>
      <c r="F8" s="639">
        <f>SUM(F7:F7)</f>
        <v>-619.04</v>
      </c>
      <c r="G8" s="640">
        <f>G7</f>
        <v>-1768.675</v>
      </c>
      <c r="H8" s="1074"/>
      <c r="I8" s="1074"/>
      <c r="J8" s="1074"/>
      <c r="K8" s="1074"/>
      <c r="L8" s="1074"/>
      <c r="M8" s="1074"/>
      <c r="N8" s="1075"/>
      <c r="O8" s="1075"/>
      <c r="P8" s="1075"/>
      <c r="Q8" s="1075"/>
      <c r="R8" s="1275"/>
      <c r="S8" s="1076"/>
      <c r="T8" s="1076"/>
      <c r="U8" s="1076"/>
      <c r="V8" s="1076"/>
      <c r="W8" s="1076"/>
      <c r="X8" s="1076"/>
      <c r="Y8" s="1076"/>
      <c r="Z8" s="1076"/>
      <c r="AA8" s="1241"/>
    </row>
    <row r="9" spans="1:28">
      <c r="A9" s="1197"/>
      <c r="B9" s="1276" t="s">
        <v>253</v>
      </c>
      <c r="C9" s="1276"/>
      <c r="D9" s="1276"/>
      <c r="E9" s="1276"/>
      <c r="F9" s="1276"/>
      <c r="G9" s="1277"/>
      <c r="H9" s="645">
        <v>0.9</v>
      </c>
      <c r="I9" s="645">
        <v>0.9</v>
      </c>
      <c r="J9" s="645">
        <v>1</v>
      </c>
      <c r="K9" s="645">
        <v>1</v>
      </c>
      <c r="L9" s="645">
        <v>1</v>
      </c>
      <c r="M9" s="645">
        <v>1</v>
      </c>
      <c r="N9" s="645">
        <v>1</v>
      </c>
      <c r="O9" s="645">
        <v>1</v>
      </c>
      <c r="P9" s="645">
        <v>1</v>
      </c>
      <c r="Q9" s="645">
        <v>1</v>
      </c>
      <c r="R9" s="646">
        <v>1</v>
      </c>
      <c r="S9" s="645">
        <v>1</v>
      </c>
      <c r="T9" s="645">
        <v>1</v>
      </c>
      <c r="U9" s="645">
        <v>1</v>
      </c>
      <c r="V9" s="645">
        <v>1</v>
      </c>
      <c r="W9" s="645">
        <v>1</v>
      </c>
      <c r="X9" s="645">
        <v>1</v>
      </c>
      <c r="Y9" s="645">
        <v>1</v>
      </c>
      <c r="Z9" s="645">
        <v>1</v>
      </c>
      <c r="AA9" s="647">
        <v>1</v>
      </c>
    </row>
    <row r="10" spans="1:28" s="142" customFormat="1">
      <c r="A10" s="1077">
        <v>2</v>
      </c>
      <c r="B10" s="1078" t="s">
        <v>31</v>
      </c>
      <c r="C10" s="1078"/>
      <c r="D10" s="1078"/>
      <c r="E10" s="1078"/>
      <c r="F10" s="1078"/>
      <c r="G10" s="1061"/>
      <c r="H10" s="1079">
        <f>H11+H12</f>
        <v>2035.2829305093751</v>
      </c>
      <c r="I10" s="1079">
        <f>I11+I12</f>
        <v>2393.1580027410423</v>
      </c>
      <c r="J10" s="1079">
        <f t="shared" ref="J10:AA10" si="0">J11+J12</f>
        <v>2532.5647444396996</v>
      </c>
      <c r="K10" s="1079">
        <f t="shared" si="0"/>
        <v>2680.0928041001916</v>
      </c>
      <c r="L10" s="1079">
        <f t="shared" si="0"/>
        <v>2836.215332307238</v>
      </c>
      <c r="M10" s="1079">
        <f t="shared" si="0"/>
        <v>3001.4330474494791</v>
      </c>
      <c r="N10" s="1079">
        <f t="shared" si="0"/>
        <v>3176.2758420491173</v>
      </c>
      <c r="O10" s="1079">
        <f t="shared" si="0"/>
        <v>3361.304482696059</v>
      </c>
      <c r="P10" s="1079">
        <f t="shared" si="0"/>
        <v>3557.112409041446</v>
      </c>
      <c r="Q10" s="1079">
        <f t="shared" si="0"/>
        <v>3764.3276376234389</v>
      </c>
      <c r="R10" s="1278">
        <f t="shared" si="0"/>
        <v>3983.6147766344848</v>
      </c>
      <c r="S10" s="1079">
        <f t="shared" si="0"/>
        <v>4215.6771580954173</v>
      </c>
      <c r="T10" s="1079">
        <f t="shared" si="0"/>
        <v>4461.2590942785073</v>
      </c>
      <c r="U10" s="1079">
        <f t="shared" si="0"/>
        <v>4721.1482656203543</v>
      </c>
      <c r="V10" s="1079">
        <f t="shared" si="0"/>
        <v>4996.1782477875067</v>
      </c>
      <c r="W10" s="1079">
        <f t="shared" si="0"/>
        <v>5287.2311860043483</v>
      </c>
      <c r="X10" s="1079">
        <f t="shared" si="0"/>
        <v>5595.2406252253295</v>
      </c>
      <c r="Y10" s="1079">
        <f t="shared" si="0"/>
        <v>5921.1945052339461</v>
      </c>
      <c r="Z10" s="1079">
        <f t="shared" si="0"/>
        <v>6266.1383302800223</v>
      </c>
      <c r="AA10" s="1279">
        <f t="shared" si="0"/>
        <v>6631.1785234272465</v>
      </c>
    </row>
    <row r="11" spans="1:28">
      <c r="A11" s="1198"/>
      <c r="B11" s="1080" t="s">
        <v>147</v>
      </c>
      <c r="C11" s="1080"/>
      <c r="D11" s="1080"/>
      <c r="E11" s="1080"/>
      <c r="F11" s="1080"/>
      <c r="G11" s="1082"/>
      <c r="H11" s="657">
        <f>IF(H$1&lt;=$H$56,0,Sales!E3*H$2*(1+$H$55)^(H$1-$H$56-1))</f>
        <v>1386.6910392857144</v>
      </c>
      <c r="I11" s="657">
        <f>IF(I$1&lt;=$H$56,0,Sales!F3*I$2*(1+$H$55)^(I$1-$H$56-1))</f>
        <v>1631.0337042469644</v>
      </c>
      <c r="J11" s="657">
        <f>IF(J$1&lt;=$H$56,0,Sales!G3*J$2*(1+$H$55)^(J$1-$H$56-1))</f>
        <v>1726.5878138102726</v>
      </c>
      <c r="K11" s="657">
        <f>IF(K$1&lt;=$H$56,0,Sales!H3*K$2*(1+$H$55)^(K$1-$H$56-1))</f>
        <v>1827.7399608823475</v>
      </c>
      <c r="L11" s="657">
        <f>IF(L$1&lt;=$H$56,0,Sales!I3*L$2*(1+$H$55)^(L$1-$H$56-1))</f>
        <v>1934.8181064906394</v>
      </c>
      <c r="M11" s="657">
        <f>IF(M$1&lt;=$H$56,0,Sales!J3*M$2*(1+$H$55)^(M$1-$H$56-1))</f>
        <v>2048.1694252593934</v>
      </c>
      <c r="N11" s="657">
        <f>IF(N$1&lt;=$H$56,0,Sales!K3*N$2*(1+$H$55)^(N$1-$H$56-1))</f>
        <v>2168.1614310382142</v>
      </c>
      <c r="O11" s="657">
        <f>IF(O$1&lt;=$H$56,0,Sales!L3*O$2*(1+$H$55)^(O$1-$H$56-1))</f>
        <v>2295.1831684755884</v>
      </c>
      <c r="P11" s="657">
        <f>IF(P$1&lt;=$H$56,0,Sales!M3*P$2*(1+$H$55)^(P$1-$H$56-1))</f>
        <v>2429.6464744007299</v>
      </c>
      <c r="Q11" s="657">
        <f>IF(Q$1&lt;=$H$56,0,Sales!N3*Q$2*(1+$H$55)^(Q$1-$H$56-1))</f>
        <v>2571.9873131034965</v>
      </c>
      <c r="R11" s="657">
        <f>IF(R$1&lt;=$H$56,0,Sales!O3*R$2*(1+$H$55)^(R$1-$H$56-1))</f>
        <v>2722.6671898416648</v>
      </c>
      <c r="S11" s="657">
        <f>IF(S$1&lt;=$H$56,0,Sales!P3*S$2*(1+$H$55)^(S$1-$H$56-1))</f>
        <v>2882.1746471585388</v>
      </c>
      <c r="T11" s="657">
        <f>IF(T$1&lt;=$H$56,0,Sales!Q3*T$2*(1+$H$55)^(T$1-$H$56-1))</f>
        <v>3051.026848862321</v>
      </c>
      <c r="U11" s="657">
        <f>IF(U$1&lt;=$H$56,0,Sales!R3*U$2*(1+$H$55)^(U$1-$H$56-1))</f>
        <v>3229.7712568029201</v>
      </c>
      <c r="V11" s="657">
        <f>IF(V$1&lt;=$H$56,0,Sales!S3*V$2*(1+$H$55)^(V$1-$H$56-1))</f>
        <v>3418.9874058827181</v>
      </c>
      <c r="W11" s="657">
        <f>IF(W$1&lt;=$H$56,0,Sales!T3*W$2*(1+$H$55)^(W$1-$H$56-1))</f>
        <v>3619.2887830563573</v>
      </c>
      <c r="X11" s="657">
        <f>IF(X$1&lt;=$H$56,0,Sales!U3*X$2*(1+$H$55)^(X$1-$H$56-1))</f>
        <v>3831.3248164117126</v>
      </c>
      <c r="Y11" s="657">
        <f>IF(Y$1&lt;=$H$56,0,Sales!V3*Y$2*(1+$H$55)^(Y$1-$H$56-1))</f>
        <v>4055.7829807811931</v>
      </c>
      <c r="Z11" s="657">
        <f>IF(Z$1&lt;=$H$56,0,Sales!W3*Z$2*(1+$H$55)^(Z$1-$H$56-1))</f>
        <v>4293.3910267102583</v>
      </c>
      <c r="AA11" s="657">
        <f>IF(AA$1&lt;=$H$56,0,Sales!X3*AA$2*(1+$H$55)^(AA$1-$H$56-1))</f>
        <v>4544.9193400100785</v>
      </c>
    </row>
    <row r="12" spans="1:28">
      <c r="A12" s="1198"/>
      <c r="B12" s="1080" t="s">
        <v>11</v>
      </c>
      <c r="C12" s="1080"/>
      <c r="D12" s="1080"/>
      <c r="E12" s="1080"/>
      <c r="F12" s="1080"/>
      <c r="G12" s="1082"/>
      <c r="H12" s="657">
        <f>IF(H$1&lt;=$H$56,0,Sales!E4*H$2*(1+$H$55)^(H$1-$H$56-1))</f>
        <v>648.5918912236607</v>
      </c>
      <c r="I12" s="657">
        <f>IF(I$1&lt;=$H$56,0,Sales!F4*I$2*(1+$H$55)^(I$1-$H$56-1))</f>
        <v>762.12429849407783</v>
      </c>
      <c r="J12" s="657">
        <f>IF(J$1&lt;=$H$56,0,Sales!G4*J$2*(1+$H$55)^(J$1-$H$56-1))</f>
        <v>805.97693062942699</v>
      </c>
      <c r="K12" s="657">
        <f>IF(K$1&lt;=$H$56,0,Sales!H4*K$2*(1+$H$55)^(K$1-$H$56-1))</f>
        <v>852.35284321784422</v>
      </c>
      <c r="L12" s="657">
        <f>IF(L$1&lt;=$H$56,0,Sales!I4*L$2*(1+$H$55)^(L$1-$H$56-1))</f>
        <v>901.39722581659873</v>
      </c>
      <c r="M12" s="657">
        <f>IF(M$1&lt;=$H$56,0,Sales!J4*M$2*(1+$H$55)^(M$1-$H$56-1))</f>
        <v>953.26362219008581</v>
      </c>
      <c r="N12" s="657">
        <f>IF(N$1&lt;=$H$56,0,Sales!K4*N$2*(1+$H$55)^(N$1-$H$56-1))</f>
        <v>1008.1144110109032</v>
      </c>
      <c r="O12" s="657">
        <f>IF(O$1&lt;=$H$56,0,Sales!L4*O$2*(1+$H$55)^(O$1-$H$56-1))</f>
        <v>1066.1213142204706</v>
      </c>
      <c r="P12" s="657">
        <f>IF(P$1&lt;=$H$56,0,Sales!M4*P$2*(1+$H$55)^(P$1-$H$56-1))</f>
        <v>1127.4659346407161</v>
      </c>
      <c r="Q12" s="657">
        <f>IF(Q$1&lt;=$H$56,0,Sales!N4*Q$2*(1+$H$55)^(Q$1-$H$56-1))</f>
        <v>1192.3403245199427</v>
      </c>
      <c r="R12" s="657">
        <f>IF(R$1&lt;=$H$56,0,Sales!O4*R$2*(1+$H$55)^(R$1-$H$56-1))</f>
        <v>1260.9475867928199</v>
      </c>
      <c r="S12" s="657">
        <f>IF(S$1&lt;=$H$56,0,Sales!P4*S$2*(1+$H$55)^(S$1-$H$56-1))</f>
        <v>1333.5025109368789</v>
      </c>
      <c r="T12" s="657">
        <f>IF(T$1&lt;=$H$56,0,Sales!Q4*T$2*(1+$H$55)^(T$1-$H$56-1))</f>
        <v>1410.2322454161865</v>
      </c>
      <c r="U12" s="657">
        <f>IF(U$1&lt;=$H$56,0,Sales!R4*U$2*(1+$H$55)^(U$1-$H$56-1))</f>
        <v>1491.3770088174342</v>
      </c>
      <c r="V12" s="657">
        <f>IF(V$1&lt;=$H$56,0,Sales!S4*V$2*(1+$H$55)^(V$1-$H$56-1))</f>
        <v>1577.1908419047888</v>
      </c>
      <c r="W12" s="657">
        <f>IF(W$1&lt;=$H$56,0,Sales!T4*W$2*(1+$H$55)^(W$1-$H$56-1))</f>
        <v>1667.9424029479906</v>
      </c>
      <c r="X12" s="657">
        <f>IF(X$1&lt;=$H$56,0,Sales!U4*X$2*(1+$H$55)^(X$1-$H$56-1))</f>
        <v>1763.9158088136171</v>
      </c>
      <c r="Y12" s="657">
        <f>IF(Y$1&lt;=$H$56,0,Sales!V4*Y$2*(1+$H$55)^(Y$1-$H$56-1))</f>
        <v>1865.4115244527527</v>
      </c>
      <c r="Z12" s="657">
        <f>IF(Z$1&lt;=$H$56,0,Sales!W4*Z$2*(1+$H$55)^(Z$1-$H$56-1))</f>
        <v>1972.7473035697635</v>
      </c>
      <c r="AA12" s="657">
        <f>IF(AA$1&lt;=$H$56,0,Sales!X4*AA$2*(1+$H$55)^(AA$1-$H$56-1))</f>
        <v>2086.2591834171676</v>
      </c>
    </row>
    <row r="13" spans="1:28">
      <c r="A13" s="1077">
        <v>5</v>
      </c>
      <c r="B13" s="1078" t="s">
        <v>113</v>
      </c>
      <c r="C13" s="1078"/>
      <c r="D13" s="1078"/>
      <c r="E13" s="1078"/>
      <c r="F13" s="1078"/>
      <c r="G13" s="1085"/>
      <c r="H13" s="1062"/>
      <c r="I13" s="1062"/>
      <c r="J13" s="1062"/>
      <c r="K13" s="1062"/>
      <c r="L13" s="1062"/>
      <c r="M13" s="1062"/>
      <c r="N13" s="1062"/>
      <c r="O13" s="1062"/>
      <c r="P13" s="1062"/>
      <c r="Q13" s="1062"/>
      <c r="R13" s="1273"/>
      <c r="S13" s="1064"/>
      <c r="T13" s="1064"/>
      <c r="U13" s="1064"/>
      <c r="V13" s="1064"/>
      <c r="W13" s="1064"/>
      <c r="X13" s="1064"/>
      <c r="Y13" s="1064"/>
      <c r="Z13" s="1064"/>
      <c r="AA13" s="1274"/>
    </row>
    <row r="14" spans="1:28">
      <c r="A14" s="1198"/>
      <c r="B14" s="1199" t="s">
        <v>524</v>
      </c>
      <c r="C14" s="1199"/>
      <c r="D14" s="1199"/>
      <c r="E14" s="1199"/>
      <c r="F14" s="1199"/>
      <c r="G14" s="660">
        <f>J14/$J$19</f>
        <v>0.80332146321619136</v>
      </c>
      <c r="H14" s="657">
        <f>IF(H$1&lt;=$H$56,0,Opex!D4*H$2*(1+$H$55)^(H$1-$H$56-1))</f>
        <v>1209.860012314324</v>
      </c>
      <c r="I14" s="657">
        <f>IF(I$1&lt;=$H$56,0,Opex!E4*I$2*(1+$H$55)^(I$1-$H$56-1))</f>
        <v>1421.6392860254332</v>
      </c>
      <c r="J14" s="657">
        <f>IF(J$1&lt;=$H$56,0,Opex!F4*J$2*(1+$H$55)^(J$1-$H$56-1))</f>
        <v>1503.4404105433366</v>
      </c>
      <c r="K14" s="657">
        <f>IF(K$1&lt;=$H$56,0,Opex!G4*K$2*(1+$H$55)^(K$1-$H$56-1))</f>
        <v>1589.9483717660003</v>
      </c>
      <c r="L14" s="657">
        <f>IF(L$1&lt;=$H$56,0,Opex!H4*L$2*(1+$H$55)^(L$1-$H$56-1))</f>
        <v>1681.4340010774154</v>
      </c>
      <c r="M14" s="657">
        <f>IF(M$1&lt;=$H$56,0,Opex!I4*M$2*(1+$H$55)^(M$1-$H$56-1))</f>
        <v>1778.18371349941</v>
      </c>
      <c r="N14" s="657">
        <f>IF(N$1&lt;=$H$56,0,Opex!J4*N$2*(1+$H$55)^(N$1-$H$56-1))</f>
        <v>1880.5004043741656</v>
      </c>
      <c r="O14" s="657">
        <f>IF(O$1&lt;=$H$56,0,Opex!K4*O$2*(1+$H$55)^(O$1-$H$56-1))</f>
        <v>1988.7043976418554</v>
      </c>
      <c r="P14" s="657">
        <f>IF(P$1&lt;=$H$56,0,Opex!L4*P$2*(1+$H$55)^(P$1-$H$56-1))</f>
        <v>2103.1344486821672</v>
      </c>
      <c r="Q14" s="657">
        <f>IF(Q$1&lt;=$H$56,0,Opex!M4*Q$2*(1+$H$55)^(Q$1-$H$56-1))</f>
        <v>2224.1488048593387</v>
      </c>
      <c r="R14" s="657">
        <f>IF(R$1&lt;=$H$56,0,Opex!N4*R$2*(1+$H$55)^(R$1-$H$56-1))</f>
        <v>2352.1263270909449</v>
      </c>
      <c r="S14" s="657">
        <f>IF(S$1&lt;=$H$56,0,Opex!O4*S$2*(1+$H$55)^(S$1-$H$56-1))</f>
        <v>2487.4676759517574</v>
      </c>
      <c r="T14" s="657">
        <f>IF(T$1&lt;=$H$56,0,Opex!P4*T$2*(1+$H$55)^(T$1-$H$56-1))</f>
        <v>2630.5965660260213</v>
      </c>
      <c r="U14" s="657">
        <f>IF(U$1&lt;=$H$56,0,Opex!Q4*U$2*(1+$H$55)^(U$1-$H$56-1))</f>
        <v>2781.9610924351587</v>
      </c>
      <c r="V14" s="657">
        <f>IF(V$1&lt;=$H$56,0,Opex!R4*V$2*(1+$H$55)^(V$1-$H$56-1))</f>
        <v>2942.035133693877</v>
      </c>
      <c r="W14" s="657">
        <f>IF(W$1&lt;=$H$56,0,Opex!S4*W$2*(1+$H$55)^(W$1-$H$56-1))</f>
        <v>3111.3198352866229</v>
      </c>
      <c r="X14" s="657">
        <f>IF(X$1&lt;=$H$56,0,Opex!T4*X$2*(1+$H$55)^(X$1-$H$56-1))</f>
        <v>3290.3451786090136</v>
      </c>
      <c r="Y14" s="657">
        <f>IF(Y$1&lt;=$H$56,0,Opex!U4*Y$2*(1+$H$55)^(Y$1-$H$56-1))</f>
        <v>3479.6716401861768</v>
      </c>
      <c r="Z14" s="657">
        <f>IF(Z$1&lt;=$H$56,0,Opex!V4*Z$2*(1+$H$55)^(Z$1-$H$56-1))</f>
        <v>3679.8919463624884</v>
      </c>
      <c r="AA14" s="657">
        <f>IF(AA$1&lt;=$H$56,0,Opex!W4*AA$2*(1+$H$55)^(AA$1-$H$56-1))</f>
        <v>3891.6329289561859</v>
      </c>
    </row>
    <row r="15" spans="1:28">
      <c r="A15" s="1198"/>
      <c r="B15" s="1199" t="s">
        <v>33</v>
      </c>
      <c r="C15" s="1199"/>
      <c r="D15" s="1199"/>
      <c r="E15" s="1199"/>
      <c r="F15" s="1199"/>
      <c r="G15" s="660">
        <f>J15/$J$19</f>
        <v>1.5701799590476826E-2</v>
      </c>
      <c r="H15" s="657">
        <f>IF(H$1&lt;=$H$56,0,Opex!$D$7*(1+$H$55)^(H$1-$H$56-1))</f>
        <v>26.91</v>
      </c>
      <c r="I15" s="657">
        <f>IF(I$1&lt;=$H$56,0,Opex!$D$7*(1+$H$55)^(I$1-$H$56-1))</f>
        <v>28.120949999999997</v>
      </c>
      <c r="J15" s="657">
        <f>IF(J$1&lt;=$H$56,0,Opex!$D$7*(1+$H$55)^(J$1-$H$56-1))</f>
        <v>29.386392749999995</v>
      </c>
      <c r="K15" s="657">
        <f>IF(K$1&lt;=$H$56,0,Opex!$D$7*(1+$H$55)^(K$1-$H$56-1))</f>
        <v>30.708780423749996</v>
      </c>
      <c r="L15" s="657">
        <f>IF(L$1&lt;=$H$56,0,Opex!$D$7*(1+$H$55)^(L$1-$H$56-1))</f>
        <v>32.090675542818737</v>
      </c>
      <c r="M15" s="657">
        <f>IF(M$1&lt;=$H$56,0,Opex!$D$7*(1+$H$55)^(M$1-$H$56-1))</f>
        <v>33.534755942245582</v>
      </c>
      <c r="N15" s="657">
        <f>IF(N$1&lt;=$H$56,0,Opex!$D$7*(1+$H$55)^(N$1-$H$56-1))</f>
        <v>35.043819959646619</v>
      </c>
      <c r="O15" s="657">
        <f>IF(O$1&lt;=$H$56,0,Opex!$D$7*(1+$H$55)^(O$1-$H$56-1))</f>
        <v>36.620791857830724</v>
      </c>
      <c r="P15" s="657">
        <f>IF(P$1&lt;=$H$56,0,Opex!$D$7*(1+$H$55)^(P$1-$H$56-1))</f>
        <v>38.26872749143309</v>
      </c>
      <c r="Q15" s="657">
        <f>IF(Q$1&lt;=$H$56,0,Opex!$D$7*(1+$H$55)^(Q$1-$H$56-1))</f>
        <v>39.990820228547577</v>
      </c>
      <c r="R15" s="657">
        <f>IF(R$1&lt;=$H$56,0,Opex!$D$7*(1+$H$55)^(R$1-$H$56-1))</f>
        <v>41.790407138832215</v>
      </c>
      <c r="S15" s="657">
        <f>IF(S$1&lt;=$H$56,0,Opex!$D$7*(1+$H$55)^(S$1-$H$56-1))</f>
        <v>43.67097546007966</v>
      </c>
      <c r="T15" s="657">
        <f>IF(T$1&lt;=$H$56,0,Opex!$D$7*(1+$H$55)^(T$1-$H$56-1))</f>
        <v>45.636169355783238</v>
      </c>
      <c r="U15" s="657">
        <f>IF(U$1&lt;=$H$56,0,Opex!$D$7*(1+$H$55)^(U$1-$H$56-1))</f>
        <v>47.689796976793488</v>
      </c>
      <c r="V15" s="657">
        <f>IF(V$1&lt;=$H$56,0,Opex!$D$7*(1+$H$55)^(V$1-$H$56-1))</f>
        <v>49.835837840749178</v>
      </c>
      <c r="W15" s="657">
        <f>IF(W$1&lt;=$H$56,0,Opex!$D$7*(1+$H$55)^(W$1-$H$56-1))</f>
        <v>52.078450543582896</v>
      </c>
      <c r="X15" s="657">
        <f>IF(X$1&lt;=$H$56,0,Opex!$D$7*(1+$H$55)^(X$1-$H$56-1))</f>
        <v>54.421980818044105</v>
      </c>
      <c r="Y15" s="657">
        <f>IF(Y$1&lt;=$H$56,0,Opex!$D$7*(1+$H$55)^(Y$1-$H$56-1))</f>
        <v>56.870969954856093</v>
      </c>
      <c r="Z15" s="657">
        <f>IF(Z$1&lt;=$H$56,0,Opex!$D$7*(1+$H$55)^(Z$1-$H$56-1))</f>
        <v>59.430163602824607</v>
      </c>
      <c r="AA15" s="657">
        <f>IF(AA$1&lt;=$H$56,0,Opex!$D$7*(1+$H$55)^(AA$1-$H$56-1))</f>
        <v>62.10452096495171</v>
      </c>
    </row>
    <row r="16" spans="1:28">
      <c r="A16" s="1198"/>
      <c r="B16" s="1199" t="s">
        <v>20</v>
      </c>
      <c r="C16" s="1199"/>
      <c r="D16" s="1199"/>
      <c r="E16" s="1199"/>
      <c r="F16" s="1199"/>
      <c r="G16" s="660">
        <f>J16/$J$19</f>
        <v>0.11615885025674834</v>
      </c>
      <c r="H16" s="657">
        <f>IF(H$1&lt;=$H$56,0,Opex!$D$9*H$2*(1+$H$55)^(H$1-$H$56-1))</f>
        <v>179.16743734740004</v>
      </c>
      <c r="I16" s="657">
        <f>IF(I$1&lt;=$H$56,0,Opex!$D$9*I$2*(1+$H$55)^(I$1-$H$56-1))</f>
        <v>208.03330225337001</v>
      </c>
      <c r="J16" s="657">
        <f>IF(J$1&lt;=$H$56,0,Opex!$D$9*J$2*(1+$H$55)^(J$1-$H$56-1))</f>
        <v>217.39480085477166</v>
      </c>
      <c r="K16" s="657">
        <f>IF(K$1&lt;=$H$56,0,Opex!$D$9*K$2*(1+$H$55)^(K$1-$H$56-1))</f>
        <v>227.17756689323639</v>
      </c>
      <c r="L16" s="657">
        <f>IF(L$1&lt;=$H$56,0,Opex!$D$9*L$2*(1+$H$55)^(L$1-$H$56-1))</f>
        <v>237.40055740343195</v>
      </c>
      <c r="M16" s="657">
        <f>IF(M$1&lt;=$H$56,0,Opex!$D$9*M$2*(1+$H$55)^(M$1-$H$56-1))</f>
        <v>248.08358248658638</v>
      </c>
      <c r="N16" s="657">
        <f>IF(N$1&lt;=$H$56,0,Opex!$D$9*N$2*(1+$H$55)^(N$1-$H$56-1))</f>
        <v>259.24734369848272</v>
      </c>
      <c r="O16" s="657">
        <f>IF(O$1&lt;=$H$56,0,Opex!$D$9*O$2*(1+$H$55)^(O$1-$H$56-1))</f>
        <v>270.91347416491448</v>
      </c>
      <c r="P16" s="657">
        <f>IF(P$1&lt;=$H$56,0,Opex!$D$9*P$2*(1+$H$55)^(P$1-$H$56-1))</f>
        <v>283.10458050233552</v>
      </c>
      <c r="Q16" s="657">
        <f>IF(Q$1&lt;=$H$56,0,Opex!$D$9*Q$2*(1+$H$55)^(Q$1-$H$56-1))</f>
        <v>295.84428662494059</v>
      </c>
      <c r="R16" s="657">
        <f>IF(R$1&lt;=$H$56,0,Opex!$D$9*R$2*(1+$H$55)^(R$1-$H$56-1))</f>
        <v>309.15727952306287</v>
      </c>
      <c r="S16" s="657">
        <f>IF(S$1&lt;=$H$56,0,Opex!$D$9*S$2*(1+$H$55)^(S$1-$H$56-1))</f>
        <v>323.0693571016007</v>
      </c>
      <c r="T16" s="657">
        <f>IF(T$1&lt;=$H$56,0,Opex!$D$9*T$2*(1+$H$55)^(T$1-$H$56-1))</f>
        <v>337.60747817117266</v>
      </c>
      <c r="U16" s="657">
        <f>IF(U$1&lt;=$H$56,0,Opex!$D$9*U$2*(1+$H$55)^(U$1-$H$56-1))</f>
        <v>352.79981468887541</v>
      </c>
      <c r="V16" s="657">
        <f>IF(V$1&lt;=$H$56,0,Opex!$D$9*V$2*(1+$H$55)^(V$1-$H$56-1))</f>
        <v>368.67580634987473</v>
      </c>
      <c r="W16" s="657">
        <f>IF(W$1&lt;=$H$56,0,Opex!$D$9*W$2*(1+$H$55)^(W$1-$H$56-1))</f>
        <v>385.26621763561917</v>
      </c>
      <c r="X16" s="657">
        <f>IF(X$1&lt;=$H$56,0,Opex!$D$9*X$2*(1+$H$55)^(X$1-$H$56-1))</f>
        <v>402.60319742922184</v>
      </c>
      <c r="Y16" s="657">
        <f>IF(Y$1&lt;=$H$56,0,Opex!$D$9*Y$2*(1+$H$55)^(Y$1-$H$56-1))</f>
        <v>420.72034131353684</v>
      </c>
      <c r="Z16" s="657">
        <f>IF(Z$1&lt;=$H$56,0,Opex!$D$9*Z$2*(1+$H$55)^(Z$1-$H$56-1))</f>
        <v>439.65275667264592</v>
      </c>
      <c r="AA16" s="657">
        <f>IF(AA$1&lt;=$H$56,0,Opex!$D$9*AA$2*(1+$H$55)^(AA$1-$H$56-1))</f>
        <v>459.43713072291496</v>
      </c>
      <c r="AB16" s="657"/>
    </row>
    <row r="17" spans="1:27">
      <c r="A17" s="1198"/>
      <c r="B17" s="1199" t="s">
        <v>23</v>
      </c>
      <c r="C17" s="1199"/>
      <c r="D17" s="1199"/>
      <c r="E17" s="1199"/>
      <c r="F17" s="1199"/>
      <c r="G17" s="660">
        <f>J17/$J$19</f>
        <v>1.7818791000494282E-2</v>
      </c>
      <c r="H17" s="657">
        <f>IF(H$1&lt;=$H$56,0,Opex!$D$12*H$2*(1+$H$55)^(H$1-$H$56-1))</f>
        <v>27.484320937499998</v>
      </c>
      <c r="I17" s="657">
        <f>IF(I$1&lt;=$H$56,0,Opex!$D$12*I$2*(1+$H$55)^(I$1-$H$56-1))</f>
        <v>31.912350421874997</v>
      </c>
      <c r="J17" s="657">
        <f>IF(J$1&lt;=$H$56,0,Opex!$D$12*J$2*(1+$H$55)^(J$1-$H$56-1))</f>
        <v>33.348406190859365</v>
      </c>
      <c r="K17" s="657">
        <f>IF(K$1&lt;=$H$56,0,Opex!$D$12*K$2*(1+$H$55)^(K$1-$H$56-1))</f>
        <v>34.849084469448037</v>
      </c>
      <c r="L17" s="657">
        <f>IF(L$1&lt;=$H$56,0,Opex!$D$12*L$2*(1+$H$55)^(L$1-$H$56-1))</f>
        <v>36.41729327057319</v>
      </c>
      <c r="M17" s="657">
        <f>IF(M$1&lt;=$H$56,0,Opex!$D$12*M$2*(1+$H$55)^(M$1-$H$56-1))</f>
        <v>38.056071467748986</v>
      </c>
      <c r="N17" s="657">
        <f>IF(N$1&lt;=$H$56,0,Opex!$D$12*N$2*(1+$H$55)^(N$1-$H$56-1))</f>
        <v>39.76859468379768</v>
      </c>
      <c r="O17" s="657">
        <f>IF(O$1&lt;=$H$56,0,Opex!$D$12*O$2*(1+$H$55)^(O$1-$H$56-1))</f>
        <v>41.558181444568575</v>
      </c>
      <c r="P17" s="657">
        <f>IF(P$1&lt;=$H$56,0,Opex!$D$12*P$2*(1+$H$55)^(P$1-$H$56-1))</f>
        <v>43.428299609574154</v>
      </c>
      <c r="Q17" s="657">
        <f>IF(Q$1&lt;=$H$56,0,Opex!$D$12*Q$2*(1+$H$55)^(Q$1-$H$56-1))</f>
        <v>45.382573092004982</v>
      </c>
      <c r="R17" s="657">
        <f>IF(R$1&lt;=$H$56,0,Opex!$D$12*R$2*(1+$H$55)^(R$1-$H$56-1))</f>
        <v>47.424788881145197</v>
      </c>
      <c r="S17" s="657">
        <f>IF(S$1&lt;=$H$56,0,Opex!$D$12*S$2*(1+$H$55)^(S$1-$H$56-1))</f>
        <v>49.558904380796733</v>
      </c>
      <c r="T17" s="657">
        <f>IF(T$1&lt;=$H$56,0,Opex!$D$12*T$2*(1+$H$55)^(T$1-$H$56-1))</f>
        <v>51.789055077932574</v>
      </c>
      <c r="U17" s="657">
        <f>IF(U$1&lt;=$H$56,0,Opex!$D$12*U$2*(1+$H$55)^(U$1-$H$56-1))</f>
        <v>54.119562556439547</v>
      </c>
      <c r="V17" s="657">
        <f>IF(V$1&lt;=$H$56,0,Opex!$D$12*V$2*(1+$H$55)^(V$1-$H$56-1))</f>
        <v>56.554942871479312</v>
      </c>
      <c r="W17" s="657">
        <f>IF(W$1&lt;=$H$56,0,Opex!$D$12*W$2*(1+$H$55)^(W$1-$H$56-1))</f>
        <v>59.099915300695884</v>
      </c>
      <c r="X17" s="657">
        <f>IF(X$1&lt;=$H$56,0,Opex!$D$12*X$2*(1+$H$55)^(X$1-$H$56-1))</f>
        <v>61.759411489227176</v>
      </c>
      <c r="Y17" s="657">
        <f>IF(Y$1&lt;=$H$56,0,Opex!$D$12*Y$2*(1+$H$55)^(Y$1-$H$56-1))</f>
        <v>64.5385850062424</v>
      </c>
      <c r="Z17" s="657">
        <f>IF(Z$1&lt;=$H$56,0,Opex!$D$12*Z$2*(1+$H$55)^(Z$1-$H$56-1))</f>
        <v>67.442821331523291</v>
      </c>
      <c r="AA17" s="657">
        <f>IF(AA$1&lt;=$H$56,0,Opex!$D$12*AA$2*(1+$H$55)^(AA$1-$H$56-1))</f>
        <v>70.477748291441841</v>
      </c>
    </row>
    <row r="18" spans="1:27">
      <c r="A18" s="1198"/>
      <c r="B18" s="1199" t="s">
        <v>25</v>
      </c>
      <c r="C18" s="1199"/>
      <c r="D18" s="1199"/>
      <c r="E18" s="1199"/>
      <c r="F18" s="1199"/>
      <c r="G18" s="660">
        <f>J18/$J$19</f>
        <v>4.6999095936089363E-2</v>
      </c>
      <c r="H18" s="657">
        <f>IF(H$1&lt;=$H$56,0,Opex!$D$15*H$2*(1+$H$55)^(H$1-$H$56-1))</f>
        <v>72.493034821722745</v>
      </c>
      <c r="I18" s="657">
        <f>IF(I$1&lt;=$H$56,0,Opex!$D$15*I$2*(1+$H$55)^(I$1-$H$56-1))</f>
        <v>84.172468209666945</v>
      </c>
      <c r="J18" s="657">
        <f>IF(J$1&lt;=$H$56,0,Opex!$D$15*J$2*(1+$H$55)^(J$1-$H$56-1))</f>
        <v>87.960229279101952</v>
      </c>
      <c r="K18" s="657">
        <f>IF(K$1&lt;=$H$56,0,Opex!$D$15*K$2*(1+$H$55)^(K$1-$H$56-1))</f>
        <v>91.918439596661543</v>
      </c>
      <c r="L18" s="657">
        <f>IF(L$1&lt;=$H$56,0,Opex!$D$15*L$2*(1+$H$55)^(L$1-$H$56-1))</f>
        <v>96.054769378511281</v>
      </c>
      <c r="M18" s="657">
        <f>IF(M$1&lt;=$H$56,0,Opex!$D$15*M$2*(1+$H$55)^(M$1-$H$56-1))</f>
        <v>100.37723400054429</v>
      </c>
      <c r="N18" s="657">
        <f>IF(N$1&lt;=$H$56,0,Opex!$D$15*N$2*(1+$H$55)^(N$1-$H$56-1))</f>
        <v>104.89420953056876</v>
      </c>
      <c r="O18" s="657">
        <f>IF(O$1&lt;=$H$56,0,Opex!$D$15*O$2*(1+$H$55)^(O$1-$H$56-1))</f>
        <v>109.61444895944436</v>
      </c>
      <c r="P18" s="657">
        <f>IF(P$1&lt;=$H$56,0,Opex!$D$15*P$2*(1+$H$55)^(P$1-$H$56-1))</f>
        <v>114.54709916261932</v>
      </c>
      <c r="Q18" s="657">
        <f>IF(Q$1&lt;=$H$56,0,Opex!$D$15*Q$2*(1+$H$55)^(Q$1-$H$56-1))</f>
        <v>119.70171862493719</v>
      </c>
      <c r="R18" s="657">
        <f>IF(R$1&lt;=$H$56,0,Opex!$D$15*R$2*(1+$H$55)^(R$1-$H$56-1))</f>
        <v>125.08829596305934</v>
      </c>
      <c r="S18" s="657">
        <f>IF(S$1&lt;=$H$56,0,Opex!$D$15*S$2*(1+$H$55)^(S$1-$H$56-1))</f>
        <v>130.71726928139702</v>
      </c>
      <c r="T18" s="657">
        <f>IF(T$1&lt;=$H$56,0,Opex!$D$15*T$2*(1+$H$55)^(T$1-$H$56-1))</f>
        <v>136.59954639905985</v>
      </c>
      <c r="U18" s="657">
        <f>IF(U$1&lt;=$H$56,0,Opex!$D$15*U$2*(1+$H$55)^(U$1-$H$56-1))</f>
        <v>142.74652598701755</v>
      </c>
      <c r="V18" s="657">
        <f>IF(V$1&lt;=$H$56,0,Opex!$D$15*V$2*(1+$H$55)^(V$1-$H$56-1))</f>
        <v>149.17011965643329</v>
      </c>
      <c r="W18" s="657">
        <f>IF(W$1&lt;=$H$56,0,Opex!$D$15*W$2*(1+$H$55)^(W$1-$H$56-1))</f>
        <v>155.8827750409728</v>
      </c>
      <c r="X18" s="657">
        <f>IF(X$1&lt;=$H$56,0,Opex!$D$15*X$2*(1+$H$55)^(X$1-$H$56-1))</f>
        <v>162.89749991781653</v>
      </c>
      <c r="Y18" s="657">
        <f>IF(Y$1&lt;=$H$56,0,Opex!$D$15*Y$2*(1+$H$55)^(Y$1-$H$56-1))</f>
        <v>170.22788741411827</v>
      </c>
      <c r="Z18" s="657">
        <f>IF(Z$1&lt;=$H$56,0,Opex!$D$15*Z$2*(1+$H$55)^(Z$1-$H$56-1))</f>
        <v>177.88814234775356</v>
      </c>
      <c r="AA18" s="657">
        <f>IF(AA$1&lt;=$H$56,0,Opex!$D$15*AA$2*(1+$H$55)^(AA$1-$H$56-1))</f>
        <v>185.89310875340246</v>
      </c>
    </row>
    <row r="19" spans="1:27" s="142" customFormat="1">
      <c r="A19" s="1071"/>
      <c r="B19" s="1088" t="s">
        <v>34</v>
      </c>
      <c r="C19" s="1088"/>
      <c r="D19" s="1088"/>
      <c r="E19" s="1088"/>
      <c r="F19" s="1088"/>
      <c r="G19" s="1089"/>
      <c r="H19" s="1075">
        <f t="shared" ref="H19:Q19" si="1">SUM(H14:H18)</f>
        <v>1515.9148054209468</v>
      </c>
      <c r="I19" s="1075">
        <f t="shared" si="1"/>
        <v>1773.8783569103452</v>
      </c>
      <c r="J19" s="1075">
        <f t="shared" si="1"/>
        <v>1871.5302396180693</v>
      </c>
      <c r="K19" s="1075">
        <f t="shared" si="1"/>
        <v>1974.6022431490962</v>
      </c>
      <c r="L19" s="1075">
        <f t="shared" si="1"/>
        <v>2083.3972966727506</v>
      </c>
      <c r="M19" s="1075">
        <f t="shared" si="1"/>
        <v>2198.2353573965352</v>
      </c>
      <c r="N19" s="1075">
        <f t="shared" si="1"/>
        <v>2319.4543722466615</v>
      </c>
      <c r="O19" s="1075">
        <f t="shared" si="1"/>
        <v>2447.4112940686136</v>
      </c>
      <c r="P19" s="1075">
        <f t="shared" si="1"/>
        <v>2582.4831554481293</v>
      </c>
      <c r="Q19" s="1075">
        <f t="shared" si="1"/>
        <v>2725.0682034297688</v>
      </c>
      <c r="R19" s="1280">
        <f t="shared" ref="R19:AA19" si="2">SUM(R14:R18)</f>
        <v>2875.5870985970441</v>
      </c>
      <c r="S19" s="1075">
        <f t="shared" si="2"/>
        <v>3034.4841821756318</v>
      </c>
      <c r="T19" s="1075">
        <f t="shared" si="2"/>
        <v>3202.2288150299696</v>
      </c>
      <c r="U19" s="1075">
        <f t="shared" si="2"/>
        <v>3379.3167926442848</v>
      </c>
      <c r="V19" s="1075">
        <f t="shared" si="2"/>
        <v>3566.2718404124134</v>
      </c>
      <c r="W19" s="1075">
        <f t="shared" si="2"/>
        <v>3763.6471938074937</v>
      </c>
      <c r="X19" s="1075">
        <f t="shared" si="2"/>
        <v>3972.0272682633235</v>
      </c>
      <c r="Y19" s="1075">
        <f t="shared" si="2"/>
        <v>4192.0294238749302</v>
      </c>
      <c r="Z19" s="1075">
        <f t="shared" si="2"/>
        <v>4424.3058303172356</v>
      </c>
      <c r="AA19" s="1281">
        <f t="shared" si="2"/>
        <v>4669.5454376888974</v>
      </c>
    </row>
    <row r="20" spans="1:27">
      <c r="A20" s="1198"/>
      <c r="B20" s="1199"/>
      <c r="C20" s="1199"/>
      <c r="D20" s="1199"/>
      <c r="E20" s="1199"/>
      <c r="F20" s="1199"/>
      <c r="G20" s="1082"/>
      <c r="H20" s="1068"/>
      <c r="I20" s="1068"/>
      <c r="J20" s="1068"/>
      <c r="K20" s="1068"/>
      <c r="L20" s="1068"/>
      <c r="M20" s="1068"/>
      <c r="N20" s="1068"/>
      <c r="O20" s="1068"/>
      <c r="P20" s="1068"/>
      <c r="Q20" s="1068"/>
      <c r="R20" s="1282"/>
      <c r="AA20" s="43"/>
    </row>
    <row r="21" spans="1:27" s="142" customFormat="1">
      <c r="A21" s="1202">
        <v>6</v>
      </c>
      <c r="B21" s="1203" t="s">
        <v>520</v>
      </c>
      <c r="C21" s="1203"/>
      <c r="D21" s="1203"/>
      <c r="E21" s="1203"/>
      <c r="F21" s="1203"/>
      <c r="G21" s="1098"/>
      <c r="H21" s="1099">
        <f t="shared" ref="H21:AA21" si="3">H10-H19</f>
        <v>519.36812508842831</v>
      </c>
      <c r="I21" s="1099">
        <f t="shared" si="3"/>
        <v>619.27964583069706</v>
      </c>
      <c r="J21" s="1099">
        <f t="shared" si="3"/>
        <v>661.03450482163021</v>
      </c>
      <c r="K21" s="1099">
        <f t="shared" si="3"/>
        <v>705.4905609510954</v>
      </c>
      <c r="L21" s="1099">
        <f t="shared" si="3"/>
        <v>752.81803563448739</v>
      </c>
      <c r="M21" s="1099">
        <f t="shared" si="3"/>
        <v>803.19769005294393</v>
      </c>
      <c r="N21" s="1099">
        <f t="shared" si="3"/>
        <v>856.82146980245579</v>
      </c>
      <c r="O21" s="1099">
        <f t="shared" si="3"/>
        <v>913.8931886274454</v>
      </c>
      <c r="P21" s="1099">
        <f t="shared" si="3"/>
        <v>974.62925359331666</v>
      </c>
      <c r="Q21" s="1099">
        <f t="shared" si="3"/>
        <v>1039.2594341936701</v>
      </c>
      <c r="R21" s="1283">
        <f t="shared" si="3"/>
        <v>1108.0276780374406</v>
      </c>
      <c r="S21" s="1099">
        <f t="shared" si="3"/>
        <v>1181.1929759197856</v>
      </c>
      <c r="T21" s="1099">
        <f t="shared" si="3"/>
        <v>1259.0302792485377</v>
      </c>
      <c r="U21" s="1099">
        <f t="shared" si="3"/>
        <v>1341.8314729760696</v>
      </c>
      <c r="V21" s="1099">
        <f t="shared" si="3"/>
        <v>1429.9064073750933</v>
      </c>
      <c r="W21" s="1099">
        <f t="shared" si="3"/>
        <v>1523.5839921968545</v>
      </c>
      <c r="X21" s="1099">
        <f t="shared" si="3"/>
        <v>1623.2133569620059</v>
      </c>
      <c r="Y21" s="1099">
        <f t="shared" si="3"/>
        <v>1729.1650813590159</v>
      </c>
      <c r="Z21" s="1099">
        <f t="shared" si="3"/>
        <v>1841.8324999627866</v>
      </c>
      <c r="AA21" s="1284">
        <f t="shared" si="3"/>
        <v>1961.6330857383491</v>
      </c>
    </row>
    <row r="22" spans="1:27">
      <c r="A22" s="1198"/>
      <c r="B22" s="1199" t="s">
        <v>523</v>
      </c>
      <c r="C22" s="1199"/>
      <c r="D22" s="1199"/>
      <c r="E22" s="1199"/>
      <c r="F22" s="1199"/>
      <c r="G22" s="1082"/>
      <c r="H22" s="709">
        <f>H21/H10</f>
        <v>0.25518227333555282</v>
      </c>
      <c r="I22" s="709">
        <f t="shared" ref="I22:AA22" si="4">I21/I10</f>
        <v>0.25877089816944604</v>
      </c>
      <c r="J22" s="709">
        <f t="shared" si="4"/>
        <v>0.26101386204358473</v>
      </c>
      <c r="K22" s="709">
        <f t="shared" si="4"/>
        <v>0.26323363126522598</v>
      </c>
      <c r="L22" s="709">
        <f t="shared" si="4"/>
        <v>0.26543049360856397</v>
      </c>
      <c r="M22" s="709">
        <f t="shared" si="4"/>
        <v>0.26760473325749357</v>
      </c>
      <c r="N22" s="709">
        <f t="shared" si="4"/>
        <v>0.26975663085032714</v>
      </c>
      <c r="O22" s="709">
        <f t="shared" si="4"/>
        <v>0.27188646352395407</v>
      </c>
      <c r="P22" s="709">
        <f t="shared" si="4"/>
        <v>0.27399450495745092</v>
      </c>
      <c r="Q22" s="709">
        <f t="shared" si="4"/>
        <v>0.2760810254151505</v>
      </c>
      <c r="R22" s="709">
        <f t="shared" si="4"/>
        <v>0.27814629178917399</v>
      </c>
      <c r="S22" s="709">
        <f t="shared" si="4"/>
        <v>0.2801905676414348</v>
      </c>
      <c r="T22" s="709">
        <f t="shared" si="4"/>
        <v>0.28221411324512036</v>
      </c>
      <c r="U22" s="709">
        <f t="shared" si="4"/>
        <v>0.28421718562565718</v>
      </c>
      <c r="V22" s="709">
        <f t="shared" si="4"/>
        <v>0.28620003860116661</v>
      </c>
      <c r="W22" s="709">
        <f t="shared" si="4"/>
        <v>0.28816292282241834</v>
      </c>
      <c r="X22" s="709">
        <f t="shared" si="4"/>
        <v>0.29010608581228559</v>
      </c>
      <c r="Y22" s="709">
        <f t="shared" si="4"/>
        <v>0.29202977200471086</v>
      </c>
      <c r="Z22" s="709">
        <f t="shared" si="4"/>
        <v>0.29393422278318559</v>
      </c>
      <c r="AA22" s="709">
        <f t="shared" si="4"/>
        <v>0.29581967651875285</v>
      </c>
    </row>
    <row r="23" spans="1:27">
      <c r="A23" s="1198"/>
      <c r="B23" s="1199"/>
      <c r="C23" s="1199"/>
      <c r="D23" s="1199"/>
      <c r="E23" s="1199"/>
      <c r="F23" s="1199"/>
      <c r="G23" s="1082"/>
      <c r="H23" s="1068"/>
      <c r="I23" s="1068"/>
      <c r="J23" s="1068"/>
      <c r="K23" s="1068"/>
      <c r="L23" s="1068"/>
      <c r="M23" s="1068"/>
      <c r="N23" s="1068"/>
      <c r="O23" s="1068"/>
      <c r="P23" s="1068"/>
      <c r="Q23" s="1068"/>
      <c r="R23" s="1285"/>
      <c r="S23" s="1068"/>
      <c r="T23" s="1068"/>
      <c r="U23" s="1068"/>
      <c r="V23" s="1068"/>
      <c r="W23" s="1068"/>
      <c r="X23" s="1068"/>
      <c r="Y23" s="1068"/>
      <c r="Z23" s="1068"/>
      <c r="AA23" s="1286"/>
    </row>
    <row r="24" spans="1:27" s="142" customFormat="1">
      <c r="A24" s="1077"/>
      <c r="B24" s="1078" t="s">
        <v>36</v>
      </c>
      <c r="C24" s="1060">
        <f>+C7</f>
        <v>-88.43</v>
      </c>
      <c r="D24" s="1060">
        <f>+D7</f>
        <v>-442.17</v>
      </c>
      <c r="E24" s="1060">
        <f>+E7</f>
        <v>-619.04</v>
      </c>
      <c r="F24" s="1060">
        <f>+F7</f>
        <v>-619.04</v>
      </c>
      <c r="G24" s="1061"/>
      <c r="H24" s="1079">
        <f>H21+SUM(C24:F24)</f>
        <v>-1249.3118749115715</v>
      </c>
      <c r="I24" s="1079">
        <f t="shared" ref="I24:AA24" si="5">I21</f>
        <v>619.27964583069706</v>
      </c>
      <c r="J24" s="1079">
        <f t="shared" si="5"/>
        <v>661.03450482163021</v>
      </c>
      <c r="K24" s="1079">
        <f t="shared" si="5"/>
        <v>705.4905609510954</v>
      </c>
      <c r="L24" s="1079">
        <f t="shared" si="5"/>
        <v>752.81803563448739</v>
      </c>
      <c r="M24" s="1079">
        <f t="shared" si="5"/>
        <v>803.19769005294393</v>
      </c>
      <c r="N24" s="1079">
        <f t="shared" si="5"/>
        <v>856.82146980245579</v>
      </c>
      <c r="O24" s="1079">
        <f t="shared" si="5"/>
        <v>913.8931886274454</v>
      </c>
      <c r="P24" s="1079">
        <f t="shared" si="5"/>
        <v>974.62925359331666</v>
      </c>
      <c r="Q24" s="1079">
        <f t="shared" si="5"/>
        <v>1039.2594341936701</v>
      </c>
      <c r="R24" s="1278">
        <f t="shared" si="5"/>
        <v>1108.0276780374406</v>
      </c>
      <c r="S24" s="1079">
        <f t="shared" si="5"/>
        <v>1181.1929759197856</v>
      </c>
      <c r="T24" s="1079">
        <f t="shared" si="5"/>
        <v>1259.0302792485377</v>
      </c>
      <c r="U24" s="1079">
        <f t="shared" si="5"/>
        <v>1341.8314729760696</v>
      </c>
      <c r="V24" s="1079">
        <f t="shared" si="5"/>
        <v>1429.9064073750933</v>
      </c>
      <c r="W24" s="1079">
        <f t="shared" si="5"/>
        <v>1523.5839921968545</v>
      </c>
      <c r="X24" s="1079">
        <f t="shared" si="5"/>
        <v>1623.2133569620059</v>
      </c>
      <c r="Y24" s="1079">
        <f t="shared" si="5"/>
        <v>1729.1650813590159</v>
      </c>
      <c r="Z24" s="1079">
        <f t="shared" si="5"/>
        <v>1841.8324999627866</v>
      </c>
      <c r="AA24" s="1279">
        <f t="shared" si="5"/>
        <v>1961.6330857383491</v>
      </c>
    </row>
    <row r="25" spans="1:27">
      <c r="A25" s="1198"/>
      <c r="B25" s="1199"/>
      <c r="C25" s="1199"/>
      <c r="D25" s="1199"/>
      <c r="E25" s="1199"/>
      <c r="F25" s="1199"/>
      <c r="G25" s="1082"/>
      <c r="H25" s="1068"/>
      <c r="I25" s="1068"/>
      <c r="J25" s="1068"/>
      <c r="K25" s="1068"/>
      <c r="L25" s="1068"/>
      <c r="M25" s="1068"/>
      <c r="N25" s="1068"/>
      <c r="O25" s="1068"/>
      <c r="P25" s="1068"/>
      <c r="Q25" s="1068"/>
      <c r="R25" s="1285"/>
      <c r="S25" s="1068"/>
      <c r="T25" s="1068"/>
      <c r="U25" s="1068"/>
      <c r="V25" s="1068"/>
      <c r="W25" s="1068"/>
      <c r="X25" s="1068"/>
      <c r="Y25" s="1068"/>
      <c r="Z25" s="1068"/>
      <c r="AA25" s="1286"/>
    </row>
    <row r="26" spans="1:27">
      <c r="A26" s="1198"/>
      <c r="B26" s="1199" t="s">
        <v>37</v>
      </c>
      <c r="C26" s="1199"/>
      <c r="D26" s="1199"/>
      <c r="E26" s="1199"/>
      <c r="F26" s="1199"/>
      <c r="G26" s="1082">
        <v>1</v>
      </c>
      <c r="H26" s="1068">
        <f>G26/(1+0.1)</f>
        <v>0.90909090909090906</v>
      </c>
      <c r="I26" s="1068">
        <f>H26/(1+0.1)</f>
        <v>0.82644628099173545</v>
      </c>
      <c r="J26" s="1068">
        <f t="shared" ref="J26:AA26" si="6">I26/(1+0.1)</f>
        <v>0.75131480090157765</v>
      </c>
      <c r="K26" s="1068">
        <f t="shared" si="6"/>
        <v>0.68301345536507052</v>
      </c>
      <c r="L26" s="1068">
        <f t="shared" si="6"/>
        <v>0.62092132305915493</v>
      </c>
      <c r="M26" s="1068">
        <f t="shared" si="6"/>
        <v>0.56447393005377711</v>
      </c>
      <c r="N26" s="1068">
        <f t="shared" si="6"/>
        <v>0.51315811823070645</v>
      </c>
      <c r="O26" s="1068">
        <f t="shared" si="6"/>
        <v>0.46650738020973309</v>
      </c>
      <c r="P26" s="1068">
        <f t="shared" si="6"/>
        <v>0.42409761837248461</v>
      </c>
      <c r="Q26" s="1068">
        <f t="shared" si="6"/>
        <v>0.38554328942953142</v>
      </c>
      <c r="R26" s="1285">
        <f t="shared" si="6"/>
        <v>0.35049389948139215</v>
      </c>
      <c r="S26" s="1068">
        <f t="shared" si="6"/>
        <v>0.31863081771035645</v>
      </c>
      <c r="T26" s="1068">
        <f t="shared" si="6"/>
        <v>0.28966437973668768</v>
      </c>
      <c r="U26" s="1068">
        <f t="shared" si="6"/>
        <v>0.26333125430607968</v>
      </c>
      <c r="V26" s="1068">
        <f t="shared" si="6"/>
        <v>0.23939204936916333</v>
      </c>
      <c r="W26" s="1068">
        <f t="shared" si="6"/>
        <v>0.21762913579014848</v>
      </c>
      <c r="X26" s="1068">
        <f t="shared" si="6"/>
        <v>0.19784466890013497</v>
      </c>
      <c r="Y26" s="1068">
        <f t="shared" si="6"/>
        <v>0.17985878990921358</v>
      </c>
      <c r="Z26" s="1068">
        <f t="shared" si="6"/>
        <v>0.16350799082655779</v>
      </c>
      <c r="AA26" s="1286">
        <f t="shared" si="6"/>
        <v>0.14864362802414344</v>
      </c>
    </row>
    <row r="27" spans="1:27">
      <c r="A27" s="1198"/>
      <c r="B27" s="1199" t="s">
        <v>38</v>
      </c>
      <c r="C27" s="1084"/>
      <c r="D27" s="1084"/>
      <c r="E27" s="1084"/>
      <c r="F27" s="1084"/>
      <c r="G27" s="672"/>
      <c r="H27" s="657">
        <f>H24*H26</f>
        <v>-1135.7380681014286</v>
      </c>
      <c r="I27" s="657">
        <f t="shared" ref="I27:AA27" si="7">I24*I26</f>
        <v>511.80136019065867</v>
      </c>
      <c r="J27" s="657">
        <f t="shared" si="7"/>
        <v>496.64500737913608</v>
      </c>
      <c r="K27" s="657">
        <f t="shared" si="7"/>
        <v>481.85954576264959</v>
      </c>
      <c r="L27" s="657">
        <f t="shared" si="7"/>
        <v>467.44077070895997</v>
      </c>
      <c r="M27" s="657">
        <f t="shared" si="7"/>
        <v>453.38415671430079</v>
      </c>
      <c r="N27" s="657">
        <f t="shared" si="7"/>
        <v>439.68489310349628</v>
      </c>
      <c r="O27" s="657">
        <f t="shared" si="7"/>
        <v>426.337917218109</v>
      </c>
      <c r="P27" s="657">
        <f t="shared" si="7"/>
        <v>413.33794524507795</v>
      </c>
      <c r="Q27" s="657">
        <f t="shared" si="7"/>
        <v>400.67950082970123</v>
      </c>
      <c r="R27" s="673">
        <f t="shared" si="7"/>
        <v>388.35694160865506</v>
      </c>
      <c r="S27" s="657">
        <f t="shared" si="7"/>
        <v>376.36448379105065</v>
      </c>
      <c r="T27" s="657">
        <f t="shared" si="7"/>
        <v>364.69622490823633</v>
      </c>
      <c r="U27" s="657">
        <f t="shared" si="7"/>
        <v>353.34616484616288</v>
      </c>
      <c r="V27" s="657">
        <f t="shared" si="7"/>
        <v>342.30822526762131</v>
      </c>
      <c r="W27" s="657">
        <f t="shared" si="7"/>
        <v>331.57626752550578</v>
      </c>
      <c r="X27" s="657">
        <f t="shared" si="7"/>
        <v>321.14410916242468</v>
      </c>
      <c r="Y27" s="657">
        <f t="shared" si="7"/>
        <v>311.00553908649943</v>
      </c>
      <c r="Z27" s="657">
        <f t="shared" si="7"/>
        <v>301.15433150797134</v>
      </c>
      <c r="AA27" s="674">
        <f t="shared" si="7"/>
        <v>291.58425871634381</v>
      </c>
    </row>
    <row r="28" spans="1:27">
      <c r="A28" s="1198"/>
      <c r="B28" s="1199" t="s">
        <v>39</v>
      </c>
      <c r="C28" s="1199"/>
      <c r="D28" s="1199"/>
      <c r="E28" s="1199"/>
      <c r="F28" s="1199"/>
      <c r="G28" s="672"/>
      <c r="H28" s="657">
        <f>H24</f>
        <v>-1249.3118749115715</v>
      </c>
      <c r="I28" s="657">
        <f t="shared" ref="I28:AA28" si="8">I24</f>
        <v>619.27964583069706</v>
      </c>
      <c r="J28" s="657">
        <f t="shared" si="8"/>
        <v>661.03450482163021</v>
      </c>
      <c r="K28" s="657">
        <f>K24</f>
        <v>705.4905609510954</v>
      </c>
      <c r="L28" s="657">
        <f t="shared" si="8"/>
        <v>752.81803563448739</v>
      </c>
      <c r="M28" s="657">
        <f t="shared" si="8"/>
        <v>803.19769005294393</v>
      </c>
      <c r="N28" s="657">
        <f t="shared" si="8"/>
        <v>856.82146980245579</v>
      </c>
      <c r="O28" s="657">
        <f t="shared" si="8"/>
        <v>913.8931886274454</v>
      </c>
      <c r="P28" s="657">
        <f t="shared" si="8"/>
        <v>974.62925359331666</v>
      </c>
      <c r="Q28" s="657">
        <f t="shared" si="8"/>
        <v>1039.2594341936701</v>
      </c>
      <c r="R28" s="673">
        <f t="shared" si="8"/>
        <v>1108.0276780374406</v>
      </c>
      <c r="S28" s="657">
        <f t="shared" si="8"/>
        <v>1181.1929759197856</v>
      </c>
      <c r="T28" s="657">
        <f t="shared" si="8"/>
        <v>1259.0302792485377</v>
      </c>
      <c r="U28" s="657">
        <f t="shared" si="8"/>
        <v>1341.8314729760696</v>
      </c>
      <c r="V28" s="657">
        <f t="shared" si="8"/>
        <v>1429.9064073750933</v>
      </c>
      <c r="W28" s="657">
        <f t="shared" si="8"/>
        <v>1523.5839921968545</v>
      </c>
      <c r="X28" s="657">
        <f t="shared" si="8"/>
        <v>1623.2133569620059</v>
      </c>
      <c r="Y28" s="657">
        <f t="shared" si="8"/>
        <v>1729.1650813590159</v>
      </c>
      <c r="Z28" s="657">
        <f t="shared" si="8"/>
        <v>1841.8324999627866</v>
      </c>
      <c r="AA28" s="674">
        <f t="shared" si="8"/>
        <v>1961.6330857383491</v>
      </c>
    </row>
    <row r="29" spans="1:27">
      <c r="A29" s="1197"/>
      <c r="B29" s="1200" t="s">
        <v>495</v>
      </c>
      <c r="C29" s="1200"/>
      <c r="D29" s="1200"/>
      <c r="E29" s="1200"/>
      <c r="F29" s="1200"/>
      <c r="G29" s="676"/>
      <c r="H29" s="677">
        <f>G28+H24</f>
        <v>-1249.3118749115715</v>
      </c>
      <c r="I29" s="677">
        <f>H29+I24</f>
        <v>-630.03222908087446</v>
      </c>
      <c r="J29" s="677">
        <f t="shared" ref="J29:AA29" si="9">I29+J24</f>
        <v>31.002275740755749</v>
      </c>
      <c r="K29" s="677">
        <f>J29+K24</f>
        <v>736.49283669185115</v>
      </c>
      <c r="L29" s="677">
        <f t="shared" si="9"/>
        <v>1489.3108723263385</v>
      </c>
      <c r="M29" s="677">
        <f t="shared" si="9"/>
        <v>2292.5085623792825</v>
      </c>
      <c r="N29" s="677">
        <f t="shared" si="9"/>
        <v>3149.3300321817383</v>
      </c>
      <c r="O29" s="677">
        <f t="shared" si="9"/>
        <v>4063.2232208091837</v>
      </c>
      <c r="P29" s="677">
        <f t="shared" si="9"/>
        <v>5037.8524744024999</v>
      </c>
      <c r="Q29" s="677">
        <f t="shared" si="9"/>
        <v>6077.11190859617</v>
      </c>
      <c r="R29" s="678">
        <f t="shared" si="9"/>
        <v>7185.1395866336106</v>
      </c>
      <c r="S29" s="677">
        <f t="shared" si="9"/>
        <v>8366.3325625533962</v>
      </c>
      <c r="T29" s="677">
        <f t="shared" si="9"/>
        <v>9625.3628418019343</v>
      </c>
      <c r="U29" s="677">
        <f t="shared" si="9"/>
        <v>10967.194314778004</v>
      </c>
      <c r="V29" s="677">
        <f t="shared" si="9"/>
        <v>12397.100722153096</v>
      </c>
      <c r="W29" s="677">
        <f t="shared" si="9"/>
        <v>13920.684714349951</v>
      </c>
      <c r="X29" s="677">
        <f t="shared" si="9"/>
        <v>15543.898071311956</v>
      </c>
      <c r="Y29" s="677">
        <f t="shared" si="9"/>
        <v>17273.063152670973</v>
      </c>
      <c r="Z29" s="677">
        <f t="shared" si="9"/>
        <v>19114.895652633761</v>
      </c>
      <c r="AA29" s="679">
        <f t="shared" si="9"/>
        <v>21076.528738372108</v>
      </c>
    </row>
    <row r="30" spans="1:27">
      <c r="A30" s="1198"/>
      <c r="B30" s="1199"/>
      <c r="C30" s="1199"/>
      <c r="D30" s="1199"/>
      <c r="E30" s="1199"/>
      <c r="F30" s="1199"/>
      <c r="G30" s="1082"/>
      <c r="H30" s="657"/>
      <c r="I30" s="657"/>
      <c r="J30" s="657"/>
      <c r="K30" s="657"/>
      <c r="L30" s="657"/>
      <c r="M30" s="657"/>
      <c r="N30" s="657"/>
      <c r="O30" s="657"/>
      <c r="P30" s="657"/>
      <c r="Q30" s="657"/>
      <c r="R30" s="673"/>
      <c r="S30" s="657"/>
      <c r="T30" s="657"/>
      <c r="U30" s="657"/>
      <c r="V30" s="657"/>
      <c r="W30" s="657"/>
      <c r="X30" s="657"/>
      <c r="Y30" s="657"/>
      <c r="Z30" s="657"/>
      <c r="AA30" s="674"/>
    </row>
    <row r="31" spans="1:27">
      <c r="A31" s="1198"/>
      <c r="B31" s="1199"/>
      <c r="C31" s="1199"/>
      <c r="D31" s="1199"/>
      <c r="E31" s="1199"/>
      <c r="F31" s="1199"/>
      <c r="G31" s="1082"/>
      <c r="H31" s="657"/>
      <c r="I31" s="657"/>
      <c r="J31" s="657"/>
      <c r="K31" s="657"/>
      <c r="L31" s="657"/>
      <c r="M31" s="657"/>
      <c r="N31" s="657"/>
      <c r="O31" s="657"/>
      <c r="P31" s="657"/>
      <c r="Q31" s="657"/>
      <c r="R31" s="673"/>
      <c r="S31" s="657"/>
      <c r="T31" s="657"/>
      <c r="U31" s="657"/>
      <c r="V31" s="657"/>
      <c r="W31" s="657"/>
      <c r="X31" s="657"/>
      <c r="Y31" s="657"/>
      <c r="Z31" s="657"/>
      <c r="AA31" s="674"/>
    </row>
    <row r="32" spans="1:27">
      <c r="A32" s="1198"/>
      <c r="B32" s="680" t="s">
        <v>455</v>
      </c>
      <c r="C32" s="681"/>
      <c r="D32" s="681"/>
      <c r="E32" s="681"/>
      <c r="F32" s="681"/>
      <c r="G32" s="682">
        <f>NPV(0%,(H27:AA27))+G27</f>
        <v>6336.969575471132</v>
      </c>
      <c r="H32" s="1287"/>
      <c r="I32" s="1068"/>
      <c r="J32" s="1068"/>
      <c r="K32" s="1068"/>
      <c r="L32" s="1068"/>
      <c r="M32" s="1068"/>
      <c r="N32" s="1068"/>
      <c r="O32" s="1068"/>
      <c r="P32" s="1068"/>
      <c r="Q32" s="1068"/>
      <c r="R32" s="1285"/>
      <c r="S32" s="1068"/>
      <c r="T32" s="1068"/>
      <c r="U32" s="1068"/>
      <c r="V32" s="1068"/>
      <c r="W32" s="1068"/>
      <c r="X32" s="1068"/>
      <c r="Y32" s="1068"/>
      <c r="Z32" s="1068"/>
      <c r="AA32" s="1286"/>
    </row>
    <row r="33" spans="1:27">
      <c r="A33" s="1198"/>
      <c r="B33" s="1288" t="s">
        <v>41</v>
      </c>
      <c r="C33" s="1276"/>
      <c r="D33" s="1276"/>
      <c r="E33" s="1276"/>
      <c r="F33" s="1276"/>
      <c r="G33" s="685">
        <f>IRR(C24:AA24,0.1)</f>
        <v>0.21197582212861299</v>
      </c>
      <c r="H33" s="1286"/>
      <c r="I33" s="1068"/>
      <c r="J33" s="1068"/>
      <c r="K33" s="1068"/>
      <c r="L33" s="1068"/>
      <c r="M33" s="1068"/>
      <c r="N33" s="1068"/>
      <c r="O33" s="1068"/>
      <c r="P33" s="1068"/>
      <c r="Q33" s="1068"/>
      <c r="R33" s="1285"/>
      <c r="S33" s="1068"/>
      <c r="T33" s="1068"/>
      <c r="U33" s="1068"/>
      <c r="V33" s="1068"/>
      <c r="W33" s="1068"/>
      <c r="X33" s="1068"/>
      <c r="Y33" s="1068"/>
      <c r="Z33" s="1068"/>
      <c r="AA33" s="1286"/>
    </row>
    <row r="34" spans="1:27">
      <c r="A34" s="1198"/>
      <c r="B34" s="1289" t="s">
        <v>500</v>
      </c>
      <c r="C34" s="1290"/>
      <c r="D34" s="1290"/>
      <c r="E34" s="1290"/>
      <c r="F34" s="1290"/>
      <c r="G34" s="688">
        <f>IF(SUM(H39:AA39)&lt;=25,SUM(H39:AA39)," N/A ")</f>
        <v>2.9531003669027518</v>
      </c>
      <c r="H34" s="1291"/>
      <c r="I34" s="1068"/>
      <c r="J34" s="1068"/>
      <c r="K34" s="1068"/>
      <c r="L34" s="1068"/>
      <c r="M34" s="1068"/>
      <c r="N34" s="1068"/>
      <c r="O34" s="1068"/>
      <c r="P34" s="1068"/>
      <c r="Q34" s="1068"/>
      <c r="R34" s="1285"/>
      <c r="S34" s="1068"/>
      <c r="T34" s="1068"/>
      <c r="U34" s="1068"/>
      <c r="V34" s="1068"/>
      <c r="W34" s="1068"/>
      <c r="X34" s="1068"/>
      <c r="Y34" s="1068"/>
      <c r="Z34" s="1068"/>
      <c r="AA34" s="1286"/>
    </row>
    <row r="35" spans="1:27">
      <c r="A35" s="1198"/>
      <c r="B35" s="1292" t="s">
        <v>501</v>
      </c>
      <c r="C35" s="1293"/>
      <c r="D35" s="1293"/>
      <c r="E35" s="1293"/>
      <c r="F35" s="1293"/>
      <c r="G35" s="688">
        <f>IF(SUM(H40:AA40)&lt;=25,SUM(H40:AA40)," N/A ")</f>
        <v>3.2685765883475626</v>
      </c>
      <c r="H35" s="1294"/>
      <c r="I35" s="1068"/>
      <c r="J35" s="1068"/>
      <c r="K35" s="1068"/>
      <c r="L35" s="1068"/>
      <c r="M35" s="1068"/>
      <c r="N35" s="1068"/>
      <c r="O35" s="1068"/>
      <c r="P35" s="1068"/>
      <c r="Q35" s="1068"/>
      <c r="R35" s="1285"/>
      <c r="S35" s="1068"/>
      <c r="T35" s="1068"/>
      <c r="U35" s="1068"/>
      <c r="V35" s="1068"/>
      <c r="W35" s="1068"/>
      <c r="X35" s="1068"/>
      <c r="Y35" s="1068"/>
      <c r="Z35" s="1068"/>
      <c r="AA35" s="1286"/>
    </row>
    <row r="36" spans="1:27">
      <c r="A36" s="1206"/>
      <c r="G36" s="1070"/>
      <c r="H36" s="693">
        <v>1</v>
      </c>
      <c r="I36" s="693">
        <v>2</v>
      </c>
      <c r="J36" s="693">
        <v>3</v>
      </c>
      <c r="K36" s="693">
        <v>4</v>
      </c>
      <c r="L36" s="693">
        <v>5</v>
      </c>
      <c r="M36" s="693">
        <v>6</v>
      </c>
      <c r="N36" s="693">
        <v>7</v>
      </c>
      <c r="O36" s="693">
        <v>8</v>
      </c>
      <c r="P36" s="693">
        <v>9</v>
      </c>
      <c r="Q36" s="693">
        <v>10</v>
      </c>
      <c r="R36" s="694">
        <v>11</v>
      </c>
      <c r="S36" s="693">
        <v>12</v>
      </c>
      <c r="T36" s="693">
        <v>13</v>
      </c>
      <c r="U36" s="693">
        <v>14</v>
      </c>
      <c r="V36" s="693">
        <v>15</v>
      </c>
      <c r="W36" s="693">
        <v>16</v>
      </c>
      <c r="X36" s="693">
        <v>17</v>
      </c>
      <c r="Y36" s="693">
        <v>18</v>
      </c>
      <c r="Z36" s="693">
        <v>19</v>
      </c>
      <c r="AA36" s="695">
        <v>20</v>
      </c>
    </row>
    <row r="37" spans="1:27">
      <c r="A37" s="859"/>
      <c r="B37" s="1295" t="s">
        <v>502</v>
      </c>
      <c r="C37" s="843"/>
      <c r="D37" s="843"/>
      <c r="E37" s="843"/>
      <c r="F37" s="843"/>
      <c r="G37" s="1296"/>
      <c r="H37" s="700">
        <f t="shared" ref="H37:AA37" si="10">IF(H29&lt;0,1,IF(H28=0,0,-G29/H28))</f>
        <v>1</v>
      </c>
      <c r="I37" s="700">
        <f t="shared" si="10"/>
        <v>1</v>
      </c>
      <c r="J37" s="700">
        <f t="shared" si="10"/>
        <v>0.95310036690275157</v>
      </c>
      <c r="K37" s="700">
        <f t="shared" si="10"/>
        <v>-4.3944281407479843E-2</v>
      </c>
      <c r="L37" s="700">
        <f t="shared" si="10"/>
        <v>-0.97831454857630096</v>
      </c>
      <c r="M37" s="700">
        <f t="shared" si="10"/>
        <v>-1.8542270362208941</v>
      </c>
      <c r="N37" s="700">
        <f t="shared" si="10"/>
        <v>-2.6755965427755108</v>
      </c>
      <c r="O37" s="700">
        <f t="shared" si="10"/>
        <v>-3.446059201854478</v>
      </c>
      <c r="P37" s="700">
        <f t="shared" si="10"/>
        <v>-4.1689937028143458</v>
      </c>
      <c r="Q37" s="700">
        <f t="shared" si="10"/>
        <v>-4.847540766672199</v>
      </c>
      <c r="R37" s="701">
        <f t="shared" si="10"/>
        <v>-5.4846210334385006</v>
      </c>
      <c r="S37" s="700">
        <f t="shared" si="10"/>
        <v>-6.0829515016702498</v>
      </c>
      <c r="T37" s="700">
        <f t="shared" si="10"/>
        <v>-6.6450606474269298</v>
      </c>
      <c r="U37" s="700">
        <f t="shared" si="10"/>
        <v>-7.1733023376279048</v>
      </c>
      <c r="V37" s="700">
        <f t="shared" si="10"/>
        <v>-7.6698686418999227</v>
      </c>
      <c r="W37" s="700">
        <f t="shared" si="10"/>
        <v>-8.1368016372223284</v>
      </c>
      <c r="X37" s="700">
        <f t="shared" si="10"/>
        <v>-8.5760042908985188</v>
      </c>
      <c r="Y37" s="700">
        <f t="shared" si="10"/>
        <v>-8.9892504994927513</v>
      </c>
      <c r="Z37" s="700">
        <f t="shared" si="10"/>
        <v>-9.3781943542748696</v>
      </c>
      <c r="AA37" s="702">
        <f t="shared" si="10"/>
        <v>-9.7443786973235138</v>
      </c>
    </row>
    <row r="38" spans="1:27">
      <c r="B38" s="1205" t="s">
        <v>503</v>
      </c>
      <c r="G38" s="1297"/>
      <c r="H38" s="700">
        <f>IF(H29&lt;0,1,IF(H29=0,0,-G29/H27))</f>
        <v>1</v>
      </c>
      <c r="I38" s="700">
        <f t="shared" ref="I38:AA38" si="11">IF(I29&lt;0,1,IF(I29=0,0,-H29/I27))</f>
        <v>1</v>
      </c>
      <c r="J38" s="700">
        <f t="shared" si="11"/>
        <v>1.2685765883475626</v>
      </c>
      <c r="K38" s="700">
        <f t="shared" si="11"/>
        <v>-6.4338822408691251E-2</v>
      </c>
      <c r="L38" s="700">
        <f t="shared" si="11"/>
        <v>-1.5755853636276189</v>
      </c>
      <c r="M38" s="700">
        <f t="shared" si="11"/>
        <v>-3.2848763025145256</v>
      </c>
      <c r="N38" s="700">
        <f t="shared" si="11"/>
        <v>-5.2139807356075227</v>
      </c>
      <c r="O38" s="700">
        <f t="shared" si="11"/>
        <v>-7.386933943692795</v>
      </c>
      <c r="P38" s="700">
        <f t="shared" si="11"/>
        <v>-9.8302690753446349</v>
      </c>
      <c r="Q38" s="700">
        <f t="shared" si="11"/>
        <v>-12.5732723135834</v>
      </c>
      <c r="R38" s="700">
        <f t="shared" si="11"/>
        <v>-15.648263897185695</v>
      </c>
      <c r="S38" s="700">
        <f t="shared" si="11"/>
        <v>-19.090907607059552</v>
      </c>
      <c r="T38" s="700">
        <f t="shared" si="11"/>
        <v>-22.940551591008393</v>
      </c>
      <c r="U38" s="700">
        <f t="shared" si="11"/>
        <v>-27.240603689564736</v>
      </c>
      <c r="V38" s="700">
        <f t="shared" si="11"/>
        <v>-32.038944744035</v>
      </c>
      <c r="W38" s="700">
        <f t="shared" si="11"/>
        <v>-37.388383718383814</v>
      </c>
      <c r="X38" s="700">
        <f t="shared" si="11"/>
        <v>-43.347158852318543</v>
      </c>
      <c r="Y38" s="700">
        <f t="shared" si="11"/>
        <v>-49.979489487448518</v>
      </c>
      <c r="Z38" s="700">
        <f t="shared" si="11"/>
        <v>-57.356183675590827</v>
      </c>
      <c r="AA38" s="700">
        <f t="shared" si="11"/>
        <v>-65.555307192453512</v>
      </c>
    </row>
    <row r="39" spans="1:27" ht="13.5" customHeight="1">
      <c r="B39" s="1295" t="s">
        <v>502</v>
      </c>
      <c r="C39" s="1298"/>
      <c r="D39" s="1298"/>
      <c r="E39" s="1298"/>
      <c r="F39" s="1298"/>
      <c r="H39" s="693">
        <f t="shared" ref="H39:AA40" si="12">IF(H37&gt;0,H37,0)</f>
        <v>1</v>
      </c>
      <c r="I39" s="693">
        <f t="shared" si="12"/>
        <v>1</v>
      </c>
      <c r="J39" s="693">
        <f t="shared" si="12"/>
        <v>0.95310036690275157</v>
      </c>
      <c r="K39" s="693">
        <f>IF(K37&gt;0,K37,0)</f>
        <v>0</v>
      </c>
      <c r="L39" s="693">
        <f t="shared" si="12"/>
        <v>0</v>
      </c>
      <c r="M39" s="693">
        <f t="shared" si="12"/>
        <v>0</v>
      </c>
      <c r="N39" s="693">
        <f t="shared" si="12"/>
        <v>0</v>
      </c>
      <c r="O39" s="693">
        <f t="shared" si="12"/>
        <v>0</v>
      </c>
      <c r="P39" s="693">
        <f t="shared" si="12"/>
        <v>0</v>
      </c>
      <c r="Q39" s="693">
        <f t="shared" si="12"/>
        <v>0</v>
      </c>
      <c r="R39" s="694">
        <f t="shared" si="12"/>
        <v>0</v>
      </c>
      <c r="S39" s="693">
        <f t="shared" si="12"/>
        <v>0</v>
      </c>
      <c r="T39" s="693">
        <f t="shared" si="12"/>
        <v>0</v>
      </c>
      <c r="U39" s="693">
        <f t="shared" si="12"/>
        <v>0</v>
      </c>
      <c r="V39" s="693">
        <f t="shared" si="12"/>
        <v>0</v>
      </c>
      <c r="W39" s="693">
        <f t="shared" si="12"/>
        <v>0</v>
      </c>
      <c r="X39" s="693">
        <f t="shared" si="12"/>
        <v>0</v>
      </c>
      <c r="Y39" s="693">
        <f t="shared" si="12"/>
        <v>0</v>
      </c>
      <c r="Z39" s="693">
        <f>IF(Z37&gt;0,Z37,0)</f>
        <v>0</v>
      </c>
      <c r="AA39" s="695">
        <f t="shared" si="12"/>
        <v>0</v>
      </c>
    </row>
    <row r="40" spans="1:27">
      <c r="B40" s="1205" t="s">
        <v>503</v>
      </c>
      <c r="C40" s="1298"/>
      <c r="D40" s="1298"/>
      <c r="E40" s="1298"/>
      <c r="F40" s="1298"/>
      <c r="H40" s="693">
        <f t="shared" si="12"/>
        <v>1</v>
      </c>
      <c r="I40" s="693">
        <f t="shared" si="12"/>
        <v>1</v>
      </c>
      <c r="J40" s="693">
        <f t="shared" si="12"/>
        <v>1.2685765883475626</v>
      </c>
      <c r="K40" s="693">
        <f t="shared" si="12"/>
        <v>0</v>
      </c>
      <c r="L40" s="693">
        <f t="shared" si="12"/>
        <v>0</v>
      </c>
      <c r="M40" s="693">
        <f t="shared" si="12"/>
        <v>0</v>
      </c>
      <c r="N40" s="693">
        <f t="shared" si="12"/>
        <v>0</v>
      </c>
      <c r="O40" s="693">
        <f t="shared" si="12"/>
        <v>0</v>
      </c>
      <c r="P40" s="693">
        <f t="shared" si="12"/>
        <v>0</v>
      </c>
      <c r="Q40" s="693">
        <f t="shared" si="12"/>
        <v>0</v>
      </c>
      <c r="R40" s="693">
        <f t="shared" si="12"/>
        <v>0</v>
      </c>
      <c r="S40" s="693">
        <f t="shared" si="12"/>
        <v>0</v>
      </c>
      <c r="T40" s="693">
        <f t="shared" si="12"/>
        <v>0</v>
      </c>
      <c r="U40" s="693">
        <f t="shared" si="12"/>
        <v>0</v>
      </c>
      <c r="V40" s="693">
        <f t="shared" si="12"/>
        <v>0</v>
      </c>
      <c r="W40" s="693">
        <f t="shared" si="12"/>
        <v>0</v>
      </c>
      <c r="X40" s="693">
        <f t="shared" si="12"/>
        <v>0</v>
      </c>
      <c r="Y40" s="693">
        <f t="shared" si="12"/>
        <v>0</v>
      </c>
      <c r="Z40" s="693">
        <f t="shared" si="12"/>
        <v>0</v>
      </c>
      <c r="AA40" s="693">
        <f t="shared" si="12"/>
        <v>0</v>
      </c>
    </row>
    <row r="42" spans="1:27">
      <c r="L42" s="1128"/>
      <c r="M42" s="1128"/>
      <c r="N42" s="1128"/>
      <c r="O42" s="1128"/>
      <c r="P42" s="1128"/>
      <c r="Q42" s="1128"/>
    </row>
    <row r="43" spans="1:27" ht="25.5">
      <c r="B43" s="1298" t="s">
        <v>163</v>
      </c>
      <c r="L43" s="1128"/>
      <c r="M43" s="1128"/>
      <c r="N43" s="1128"/>
      <c r="O43" s="1128"/>
      <c r="P43" s="1128"/>
      <c r="Q43" s="1128"/>
    </row>
    <row r="44" spans="1:27">
      <c r="B44" s="1298" t="s">
        <v>42</v>
      </c>
      <c r="L44" s="1128"/>
      <c r="M44" s="1128"/>
      <c r="N44" s="1128"/>
      <c r="O44" s="1128"/>
      <c r="P44" s="1128"/>
      <c r="Q44" s="1128"/>
    </row>
    <row r="45" spans="1:27">
      <c r="B45" s="1" t="s">
        <v>496</v>
      </c>
    </row>
    <row r="46" spans="1:27">
      <c r="B46" s="1" t="s">
        <v>43</v>
      </c>
      <c r="H46" s="1070">
        <v>1</v>
      </c>
    </row>
    <row r="47" spans="1:27">
      <c r="B47" s="1" t="s">
        <v>80</v>
      </c>
    </row>
    <row r="48" spans="1:27">
      <c r="B48" s="1" t="s">
        <v>497</v>
      </c>
    </row>
    <row r="49" spans="2:16">
      <c r="B49" s="1" t="s">
        <v>44</v>
      </c>
    </row>
    <row r="51" spans="2:16" ht="14.45" customHeight="1">
      <c r="B51" s="1" t="s">
        <v>45</v>
      </c>
    </row>
    <row r="52" spans="2:16">
      <c r="B52" s="1" t="s">
        <v>46</v>
      </c>
    </row>
    <row r="53" spans="2:16">
      <c r="B53" s="1" t="s">
        <v>498</v>
      </c>
      <c r="E53" s="1299"/>
      <c r="F53" s="1299"/>
      <c r="G53" s="1299"/>
      <c r="I53" s="1128"/>
      <c r="J53" s="1128"/>
      <c r="K53" s="1128"/>
      <c r="L53" s="1128"/>
      <c r="M53" s="1128"/>
      <c r="N53" s="1128"/>
      <c r="P53" s="1128"/>
    </row>
    <row r="54" spans="2:16">
      <c r="E54" s="1299"/>
      <c r="F54" s="1299"/>
      <c r="G54" s="1299"/>
      <c r="I54" s="1201"/>
      <c r="J54" s="1447"/>
      <c r="K54" s="1447"/>
      <c r="L54" s="1447"/>
      <c r="M54" s="1447"/>
      <c r="N54" s="1447"/>
    </row>
    <row r="55" spans="2:16" ht="38.25">
      <c r="B55" s="324"/>
      <c r="E55" s="1299"/>
      <c r="F55" s="1299"/>
      <c r="G55" s="620" t="s">
        <v>521</v>
      </c>
      <c r="H55" s="1300">
        <v>4.4999999999999998E-2</v>
      </c>
      <c r="I55" s="1299"/>
      <c r="J55" s="1299"/>
      <c r="K55" s="1299"/>
      <c r="L55" s="1128"/>
      <c r="M55" s="1128"/>
      <c r="N55" s="1128"/>
      <c r="P55" s="1128"/>
    </row>
    <row r="56" spans="2:16" ht="25.5" customHeight="1">
      <c r="E56" s="1299"/>
      <c r="F56" s="1299"/>
      <c r="G56" s="929" t="s">
        <v>456</v>
      </c>
      <c r="H56" s="1301">
        <v>4</v>
      </c>
      <c r="I56" s="1201"/>
      <c r="J56" s="1447"/>
      <c r="K56" s="1447"/>
      <c r="L56" s="1447"/>
      <c r="M56" s="1447"/>
      <c r="N56" s="1447"/>
    </row>
    <row r="57" spans="2:16" ht="19.5" customHeight="1">
      <c r="I57" s="1201"/>
      <c r="J57" s="1447"/>
      <c r="K57" s="1447"/>
      <c r="L57" s="1447"/>
      <c r="M57" s="1447"/>
      <c r="N57" s="1447"/>
    </row>
    <row r="58" spans="2:16">
      <c r="I58" s="1128"/>
      <c r="J58" s="1128"/>
      <c r="K58" s="1128"/>
      <c r="L58" s="1128"/>
      <c r="M58" s="1128"/>
      <c r="N58" s="1128"/>
      <c r="P58" s="1128"/>
    </row>
    <row r="59" spans="2:16">
      <c r="I59" s="1128"/>
      <c r="J59" s="1128"/>
      <c r="K59" s="1128"/>
      <c r="L59" s="1128"/>
      <c r="M59" s="1128"/>
      <c r="N59" s="1128"/>
      <c r="P59" s="1128"/>
    </row>
    <row r="70" spans="8:13">
      <c r="H70" s="1068"/>
      <c r="I70" s="1068"/>
      <c r="J70" s="1068"/>
      <c r="K70" s="1068"/>
      <c r="L70" s="1068"/>
      <c r="M70" s="1068"/>
    </row>
    <row r="71" spans="8:13">
      <c r="H71" s="1131" t="s">
        <v>91</v>
      </c>
      <c r="I71" s="1131" t="s">
        <v>147</v>
      </c>
      <c r="J71" s="1131" t="s">
        <v>11</v>
      </c>
      <c r="K71" s="1131"/>
      <c r="L71" s="1131">
        <v>0.05</v>
      </c>
      <c r="M71" s="1131"/>
    </row>
    <row r="72" spans="8:13">
      <c r="H72" s="1131">
        <v>350000</v>
      </c>
      <c r="I72" s="1131">
        <v>200000</v>
      </c>
      <c r="J72" s="1131">
        <v>120000</v>
      </c>
      <c r="K72" s="1131"/>
      <c r="L72" s="1131"/>
      <c r="M72" s="1131"/>
    </row>
  </sheetData>
  <mergeCells count="10">
    <mergeCell ref="R3:AA3"/>
    <mergeCell ref="B4:B5"/>
    <mergeCell ref="A6:G6"/>
    <mergeCell ref="J54:N54"/>
    <mergeCell ref="J56:N56"/>
    <mergeCell ref="J57:N57"/>
    <mergeCell ref="A1:B1"/>
    <mergeCell ref="A2:B2"/>
    <mergeCell ref="A3:A5"/>
    <mergeCell ref="H3:Q3"/>
  </mergeCells>
  <hyperlinks>
    <hyperlink ref="B32" r:id="rId1" display="NPV@12%" xr:uid="{1948CB4D-F4C8-41B4-A3A3-0598A4CFF045}"/>
  </hyperlinks>
  <pageMargins left="0.7" right="0.7" top="0.75" bottom="0.75" header="0.3" footer="0.3"/>
  <pageSetup orientation="portrait"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14D18-B0EC-43A0-90A0-30237033F9B8}">
  <sheetPr codeName="Sheet40"/>
  <dimension ref="A1:AA73"/>
  <sheetViews>
    <sheetView showGridLines="0" zoomScale="96" zoomScaleNormal="96" workbookViewId="0">
      <pane ySplit="8" topLeftCell="A9" activePane="bottomLeft" state="frozen"/>
      <selection activeCell="G10" sqref="G10"/>
      <selection pane="bottomLeft" activeCell="G38" sqref="G38"/>
    </sheetView>
  </sheetViews>
  <sheetFormatPr defaultColWidth="8.7109375" defaultRowHeight="12.75"/>
  <cols>
    <col min="1" max="1" width="8.85546875" style="347" bestFit="1" customWidth="1"/>
    <col min="2" max="2" width="60" style="1" bestFit="1" customWidth="1"/>
    <col min="3" max="3" width="20" style="1" bestFit="1" customWidth="1"/>
    <col min="4" max="4" width="8.140625" style="1" customWidth="1"/>
    <col min="5" max="5" width="20" style="1" bestFit="1" customWidth="1"/>
    <col min="6" max="6" width="12.28515625" style="1" customWidth="1"/>
    <col min="7" max="7" width="11.140625" style="1" customWidth="1"/>
    <col min="8" max="8" width="18" style="1070" bestFit="1" customWidth="1"/>
    <col min="9" max="9" width="17.140625" style="1070" customWidth="1"/>
    <col min="10" max="10" width="18.5703125" style="1070" bestFit="1" customWidth="1"/>
    <col min="11" max="11" width="18.7109375" style="1070" bestFit="1" customWidth="1"/>
    <col min="12" max="12" width="18.5703125" style="1070" bestFit="1" customWidth="1"/>
    <col min="13" max="17" width="18.7109375" style="1070" bestFit="1" customWidth="1"/>
    <col min="18" max="18" width="15" style="1070" customWidth="1"/>
    <col min="19" max="19" width="16.28515625" style="1070" customWidth="1"/>
    <col min="20" max="20" width="16.42578125" style="1070" customWidth="1"/>
    <col min="21" max="21" width="18" style="1070" customWidth="1"/>
    <col min="22" max="22" width="18.7109375" style="1070" customWidth="1"/>
    <col min="23" max="23" width="19.140625" style="1070" customWidth="1"/>
    <col min="24" max="24" width="20.42578125" style="1070" customWidth="1"/>
    <col min="25" max="25" width="19" style="1070" customWidth="1"/>
    <col min="26" max="26" width="19.28515625" style="1070" customWidth="1"/>
    <col min="27" max="16384" width="8.7109375" style="1"/>
  </cols>
  <sheetData>
    <row r="1" spans="1:27" ht="12.75" customHeight="1">
      <c r="A1" s="1440" t="str">
        <f>'[5]Opex PVC'!A62</f>
        <v>Capacity for 350 KTPA PVC Resin and 200 KTPA Phenol + 123 KTPA Acetone</v>
      </c>
      <c r="B1" s="1441"/>
      <c r="C1" s="1441"/>
      <c r="D1" s="1441"/>
      <c r="E1" s="1441"/>
      <c r="F1" s="1441"/>
      <c r="G1" s="1441"/>
      <c r="H1" s="1441"/>
      <c r="I1" s="1053"/>
      <c r="J1" s="1053"/>
      <c r="K1" s="1053"/>
      <c r="L1" s="1053"/>
      <c r="M1" s="1053"/>
      <c r="N1" s="1053"/>
      <c r="O1" s="1053"/>
      <c r="P1" s="1053"/>
      <c r="Q1" s="1053"/>
      <c r="R1" s="1053"/>
      <c r="S1" s="1053"/>
      <c r="T1" s="1053"/>
      <c r="U1" s="1053"/>
      <c r="V1" s="1053"/>
      <c r="W1" s="1053"/>
      <c r="X1" s="1053"/>
      <c r="Y1" s="1053"/>
      <c r="Z1" s="1053"/>
    </row>
    <row r="2" spans="1:27" s="142" customFormat="1" ht="15" customHeight="1">
      <c r="A2" s="1440" t="s">
        <v>578</v>
      </c>
      <c r="B2" s="1441"/>
      <c r="C2" s="723">
        <v>1</v>
      </c>
      <c r="D2" s="723">
        <v>2</v>
      </c>
      <c r="E2" s="723">
        <v>3</v>
      </c>
      <c r="F2" s="723">
        <v>4</v>
      </c>
      <c r="G2" s="723"/>
      <c r="H2" s="723">
        <v>5</v>
      </c>
      <c r="I2" s="723">
        <v>6</v>
      </c>
      <c r="J2" s="723">
        <v>7</v>
      </c>
      <c r="K2" s="723">
        <v>8</v>
      </c>
      <c r="L2" s="723">
        <v>9</v>
      </c>
      <c r="M2" s="723">
        <v>10</v>
      </c>
      <c r="N2" s="723">
        <v>11</v>
      </c>
      <c r="O2" s="723">
        <v>12</v>
      </c>
      <c r="P2" s="723">
        <v>13</v>
      </c>
      <c r="Q2" s="723">
        <v>14</v>
      </c>
      <c r="R2" s="723">
        <v>15</v>
      </c>
      <c r="S2" s="723">
        <v>16</v>
      </c>
      <c r="T2" s="723">
        <v>17</v>
      </c>
      <c r="U2" s="723">
        <v>18</v>
      </c>
      <c r="V2" s="723">
        <v>19</v>
      </c>
      <c r="W2" s="723">
        <v>20</v>
      </c>
      <c r="X2" s="723">
        <v>21</v>
      </c>
      <c r="Y2" s="723">
        <v>22</v>
      </c>
      <c r="Z2" s="723">
        <v>23</v>
      </c>
    </row>
    <row r="3" spans="1:27" s="142" customFormat="1" ht="15" customHeight="1">
      <c r="A3" s="1448" t="s">
        <v>253</v>
      </c>
      <c r="B3" s="1449"/>
      <c r="C3" s="922"/>
      <c r="D3" s="922"/>
      <c r="E3" s="922"/>
      <c r="F3" s="922"/>
      <c r="G3" s="922"/>
      <c r="H3" s="1054">
        <v>0.7</v>
      </c>
      <c r="I3" s="1054">
        <v>0.9</v>
      </c>
      <c r="J3" s="1054">
        <v>1</v>
      </c>
      <c r="K3" s="1054">
        <v>1</v>
      </c>
      <c r="L3" s="1054">
        <v>1</v>
      </c>
      <c r="M3" s="1054">
        <v>1</v>
      </c>
      <c r="N3" s="1054">
        <v>1</v>
      </c>
      <c r="O3" s="1054">
        <v>1</v>
      </c>
      <c r="P3" s="1054">
        <v>1</v>
      </c>
      <c r="Q3" s="1054">
        <v>1</v>
      </c>
      <c r="R3" s="1054">
        <v>1</v>
      </c>
      <c r="S3" s="1054">
        <v>1</v>
      </c>
      <c r="T3" s="1054">
        <v>1</v>
      </c>
      <c r="U3" s="1054">
        <v>1</v>
      </c>
      <c r="V3" s="1054">
        <v>1</v>
      </c>
      <c r="W3" s="1054">
        <v>1</v>
      </c>
      <c r="X3" s="1054">
        <v>1</v>
      </c>
      <c r="Y3" s="1054">
        <v>1</v>
      </c>
      <c r="Z3" s="1054">
        <v>1</v>
      </c>
    </row>
    <row r="4" spans="1:27" ht="15" customHeight="1">
      <c r="A4" s="1444" t="s">
        <v>27</v>
      </c>
      <c r="B4" s="1451"/>
      <c r="C4" s="621"/>
      <c r="D4" s="621"/>
      <c r="E4" s="621"/>
      <c r="F4" s="621"/>
      <c r="G4" s="622"/>
      <c r="H4" s="1431" t="s">
        <v>28</v>
      </c>
      <c r="I4" s="1431"/>
      <c r="J4" s="1431"/>
      <c r="K4" s="1431"/>
      <c r="L4" s="1431"/>
      <c r="M4" s="1431"/>
      <c r="N4" s="1431"/>
      <c r="O4" s="1431"/>
      <c r="P4" s="1431"/>
      <c r="Q4" s="1431"/>
      <c r="R4" s="1431" t="s">
        <v>28</v>
      </c>
      <c r="S4" s="1431"/>
      <c r="T4" s="1431"/>
      <c r="U4" s="1431"/>
      <c r="V4" s="1431"/>
      <c r="W4" s="1431"/>
      <c r="X4" s="1431"/>
      <c r="Y4" s="1431"/>
      <c r="Z4" s="1431"/>
    </row>
    <row r="5" spans="1:27">
      <c r="A5" s="1055"/>
      <c r="B5" s="1450"/>
      <c r="C5" s="1056">
        <v>2023</v>
      </c>
      <c r="D5" s="1056">
        <v>2024</v>
      </c>
      <c r="E5" s="1056">
        <v>2025</v>
      </c>
      <c r="F5" s="1056">
        <v>2026</v>
      </c>
      <c r="G5" s="1056" t="s">
        <v>172</v>
      </c>
      <c r="H5" s="1056">
        <v>2027</v>
      </c>
      <c r="I5" s="1056">
        <v>2028</v>
      </c>
      <c r="J5" s="1056">
        <v>2029</v>
      </c>
      <c r="K5" s="1056">
        <v>2030</v>
      </c>
      <c r="L5" s="1056">
        <v>2031</v>
      </c>
      <c r="M5" s="1056">
        <v>2032</v>
      </c>
      <c r="N5" s="1056">
        <v>2033</v>
      </c>
      <c r="O5" s="1056">
        <v>2034</v>
      </c>
      <c r="P5" s="1056">
        <v>2035</v>
      </c>
      <c r="Q5" s="1056">
        <v>2036</v>
      </c>
      <c r="R5" s="1056">
        <v>2037</v>
      </c>
      <c r="S5" s="1056">
        <v>2038</v>
      </c>
      <c r="T5" s="1056">
        <v>2039</v>
      </c>
      <c r="U5" s="1056">
        <v>2040</v>
      </c>
      <c r="V5" s="1056">
        <v>2041</v>
      </c>
      <c r="W5" s="1056">
        <v>2042</v>
      </c>
      <c r="X5" s="1056">
        <v>2043</v>
      </c>
      <c r="Y5" s="1056">
        <v>2044</v>
      </c>
      <c r="Z5" s="1056">
        <v>2045</v>
      </c>
    </row>
    <row r="6" spans="1:27">
      <c r="A6" s="1057"/>
      <c r="B6" s="1434"/>
      <c r="C6" s="625">
        <v>0.05</v>
      </c>
      <c r="D6" s="625">
        <v>0.25</v>
      </c>
      <c r="E6" s="625">
        <v>0.35</v>
      </c>
      <c r="F6" s="625">
        <v>0.35</v>
      </c>
      <c r="G6" s="626"/>
      <c r="H6" s="627"/>
      <c r="I6" s="627"/>
      <c r="J6" s="627"/>
      <c r="K6" s="627"/>
      <c r="L6" s="627"/>
      <c r="M6" s="627"/>
      <c r="N6" s="628"/>
      <c r="O6" s="627"/>
      <c r="P6" s="628"/>
      <c r="Q6" s="627"/>
      <c r="R6" s="732"/>
      <c r="S6" s="732"/>
      <c r="T6" s="732"/>
      <c r="U6" s="732"/>
      <c r="V6" s="732"/>
      <c r="W6" s="732"/>
      <c r="X6" s="732"/>
      <c r="Y6" s="732"/>
      <c r="Z6" s="732"/>
    </row>
    <row r="7" spans="1:27" ht="19.5" customHeight="1">
      <c r="A7" s="1436" t="s">
        <v>275</v>
      </c>
      <c r="B7" s="1437"/>
      <c r="C7" s="1437"/>
      <c r="D7" s="1437"/>
      <c r="E7" s="1437"/>
      <c r="F7" s="1437"/>
      <c r="G7" s="1437"/>
      <c r="H7" s="629"/>
      <c r="I7" s="629"/>
      <c r="J7" s="629"/>
      <c r="K7" s="629"/>
      <c r="L7" s="629"/>
      <c r="M7" s="629"/>
      <c r="N7" s="630"/>
      <c r="O7" s="629"/>
      <c r="P7" s="630"/>
      <c r="Q7" s="629"/>
      <c r="R7" s="1058"/>
      <c r="S7" s="1058"/>
      <c r="T7" s="1058"/>
      <c r="U7" s="1058"/>
      <c r="V7" s="1058"/>
      <c r="W7" s="1058"/>
      <c r="X7" s="1058"/>
      <c r="Y7" s="1058"/>
      <c r="Z7" s="1058"/>
    </row>
    <row r="8" spans="1:27" ht="21.75" customHeight="1">
      <c r="A8" s="1047">
        <v>1</v>
      </c>
      <c r="B8" s="1059" t="s">
        <v>579</v>
      </c>
      <c r="C8" s="1060">
        <f>ROUND($G8*C$6,2)</f>
        <v>296.41000000000003</v>
      </c>
      <c r="D8" s="1060">
        <f>ROUND($G8*D$6,2)</f>
        <v>1482.03</v>
      </c>
      <c r="E8" s="1060">
        <f>ROUND($G8*E$6,2)</f>
        <v>2074.84</v>
      </c>
      <c r="F8" s="1060">
        <f>ROUND($G8*F$6,2)</f>
        <v>2074.84</v>
      </c>
      <c r="G8" s="1061">
        <f>'[5]Cashflow 350 KTPA'!G8+Capex!$D$22</f>
        <v>5928.1247678079999</v>
      </c>
      <c r="H8" s="1062"/>
      <c r="I8" s="1063"/>
      <c r="J8" s="1062"/>
      <c r="K8" s="1062"/>
      <c r="L8" s="1062"/>
      <c r="M8" s="1062"/>
      <c r="N8" s="636"/>
      <c r="O8" s="1062"/>
      <c r="P8" s="1062"/>
      <c r="Q8" s="1062"/>
      <c r="R8" s="1064"/>
      <c r="S8" s="1064"/>
      <c r="T8" s="1064"/>
      <c r="U8" s="1064"/>
      <c r="V8" s="1064"/>
      <c r="W8" s="1064"/>
      <c r="X8" s="1064"/>
      <c r="Y8" s="1064"/>
      <c r="Z8" s="1064"/>
    </row>
    <row r="9" spans="1:27" ht="21.75" customHeight="1">
      <c r="A9" s="1048"/>
      <c r="B9" s="1065" t="s">
        <v>580</v>
      </c>
      <c r="C9" s="1066">
        <f t="shared" ref="C9:E9" si="0">$G$9*C6</f>
        <v>138.30000000000001</v>
      </c>
      <c r="D9" s="1066">
        <f t="shared" si="0"/>
        <v>691.5</v>
      </c>
      <c r="E9" s="1066">
        <f t="shared" si="0"/>
        <v>968.09999999999991</v>
      </c>
      <c r="F9" s="1066">
        <f>$G$9*F6</f>
        <v>968.09999999999991</v>
      </c>
      <c r="G9" s="1067">
        <f>G10+G11</f>
        <v>2766</v>
      </c>
      <c r="H9" s="1068"/>
      <c r="I9" s="709"/>
      <c r="J9" s="1068"/>
      <c r="K9" s="1068"/>
      <c r="L9" s="1068"/>
      <c r="M9" s="1068"/>
      <c r="N9" s="1069"/>
      <c r="O9" s="1068"/>
      <c r="P9" s="1068"/>
      <c r="Q9" s="1068"/>
    </row>
    <row r="10" spans="1:27" ht="21.75" customHeight="1">
      <c r="A10" s="1191"/>
      <c r="B10" s="1194" t="s">
        <v>629</v>
      </c>
      <c r="G10" s="1082">
        <v>2366</v>
      </c>
      <c r="H10" s="1068"/>
      <c r="I10" s="709"/>
      <c r="J10" s="1068"/>
      <c r="K10" s="1068"/>
      <c r="L10" s="1068"/>
      <c r="M10" s="1068"/>
      <c r="N10" s="1069"/>
      <c r="O10" s="1068"/>
      <c r="P10" s="1068"/>
      <c r="Q10" s="1068"/>
    </row>
    <row r="11" spans="1:27" ht="21.75" customHeight="1">
      <c r="A11" s="1191"/>
      <c r="B11" s="1194" t="s">
        <v>630</v>
      </c>
      <c r="C11" s="1066"/>
      <c r="D11" s="1066"/>
      <c r="E11" s="1066"/>
      <c r="F11" s="1066"/>
      <c r="G11" s="1082">
        <f>400</f>
        <v>400</v>
      </c>
      <c r="H11" s="1068"/>
      <c r="I11" s="709"/>
      <c r="J11" s="1068"/>
      <c r="K11" s="1068"/>
      <c r="L11" s="1068"/>
      <c r="M11" s="1068"/>
      <c r="N11" s="1069"/>
      <c r="O11" s="1068"/>
      <c r="P11" s="1068"/>
      <c r="Q11" s="1068"/>
    </row>
    <row r="12" spans="1:27" s="142" customFormat="1" ht="25.5" customHeight="1">
      <c r="A12" s="1071"/>
      <c r="B12" s="1072" t="s">
        <v>274</v>
      </c>
      <c r="C12" s="1073">
        <f>SUM(C8:C9)</f>
        <v>434.71000000000004</v>
      </c>
      <c r="D12" s="1073">
        <f t="shared" ref="D12:E12" si="1">SUM(D8:D9)</f>
        <v>2173.5299999999997</v>
      </c>
      <c r="E12" s="1073">
        <f t="shared" si="1"/>
        <v>3042.94</v>
      </c>
      <c r="F12" s="1073">
        <f>SUM(F8:F9)</f>
        <v>3042.94</v>
      </c>
      <c r="G12" s="640">
        <f>-G8-G9</f>
        <v>-8694.1247678079999</v>
      </c>
      <c r="H12" s="1074"/>
      <c r="I12" s="1074"/>
      <c r="J12" s="1074"/>
      <c r="K12" s="1074"/>
      <c r="L12" s="1074"/>
      <c r="M12" s="1074"/>
      <c r="N12" s="1075"/>
      <c r="O12" s="1075"/>
      <c r="P12" s="1075"/>
      <c r="Q12" s="1075"/>
      <c r="R12" s="1076"/>
      <c r="S12" s="1076"/>
      <c r="T12" s="1076"/>
      <c r="U12" s="1076"/>
      <c r="V12" s="1076"/>
      <c r="W12" s="1076"/>
      <c r="X12" s="1076"/>
      <c r="Y12" s="1076"/>
      <c r="Z12" s="1076"/>
    </row>
    <row r="13" spans="1:27">
      <c r="A13" s="1077">
        <v>2</v>
      </c>
      <c r="B13" s="1078" t="s">
        <v>31</v>
      </c>
      <c r="C13" s="1078"/>
      <c r="D13" s="1078"/>
      <c r="E13" s="1078"/>
      <c r="F13" s="1078"/>
      <c r="G13" s="1061"/>
      <c r="H13" s="1079">
        <f>H14+H15+H16+H17</f>
        <v>4462.0699498387557</v>
      </c>
      <c r="I13" s="1079">
        <f t="shared" ref="I13:Z13" si="2">I14+I15+I16+I17</f>
        <v>5683.2465087559422</v>
      </c>
      <c r="J13" s="1079">
        <f t="shared" si="2"/>
        <v>6387.4183718636496</v>
      </c>
      <c r="K13" s="1079">
        <f t="shared" si="2"/>
        <v>6745.1065192482647</v>
      </c>
      <c r="L13" s="1079">
        <f t="shared" si="2"/>
        <v>7122.9575780771747</v>
      </c>
      <c r="M13" s="1079">
        <f t="shared" si="2"/>
        <v>7522.114327358614</v>
      </c>
      <c r="N13" s="1079">
        <f t="shared" si="2"/>
        <v>7943.784602961111</v>
      </c>
      <c r="O13" s="1079">
        <f t="shared" si="2"/>
        <v>8389.2450144748764</v>
      </c>
      <c r="P13" s="1079">
        <f t="shared" si="2"/>
        <v>8859.844875037139</v>
      </c>
      <c r="Q13" s="1079">
        <f t="shared" si="2"/>
        <v>9357.010356351675</v>
      </c>
      <c r="R13" s="1079">
        <f t="shared" si="2"/>
        <v>9882.2488818362544</v>
      </c>
      <c r="S13" s="1079">
        <f t="shared" si="2"/>
        <v>10437.153771576115</v>
      </c>
      <c r="T13" s="1079">
        <f t="shared" si="2"/>
        <v>11023.409153548455</v>
      </c>
      <c r="U13" s="1079">
        <f t="shared" si="2"/>
        <v>11642.795156415499</v>
      </c>
      <c r="V13" s="1079">
        <f t="shared" si="2"/>
        <v>12297.193400063969</v>
      </c>
      <c r="W13" s="1079">
        <f t="shared" si="2"/>
        <v>12988.592801000088</v>
      </c>
      <c r="X13" s="1079">
        <f t="shared" si="2"/>
        <v>13719.095710693789</v>
      </c>
      <c r="Y13" s="1079">
        <f t="shared" si="2"/>
        <v>14490.924406007694</v>
      </c>
      <c r="Z13" s="1079">
        <f t="shared" si="2"/>
        <v>15306.427951947659</v>
      </c>
    </row>
    <row r="14" spans="1:27" s="142" customFormat="1">
      <c r="A14" s="1048"/>
      <c r="B14" s="1080" t="s">
        <v>91</v>
      </c>
      <c r="C14" s="1080"/>
      <c r="D14" s="1080"/>
      <c r="E14" s="1080"/>
      <c r="F14" s="1080"/>
      <c r="G14" s="1081">
        <v>1</v>
      </c>
      <c r="H14" s="1068">
        <f>IF(H$2&lt;=$C$50,0,'PVC Sales'!E5*H$3*(1+$C$49)^(H$2-$C$50-1))</f>
        <v>1831.362974583333</v>
      </c>
      <c r="I14" s="1068">
        <f>IF(I$2&lt;=$C$50,0,'PVC Sales'!F5*I$3*(1+$C$49)^(I$2-$C$50-1))</f>
        <v>2490.0937716096746</v>
      </c>
      <c r="J14" s="1068">
        <f>IF(J$2&lt;=$C$50,0,'PVC Sales'!G5*J$3*(1+$C$49)^(J$2-$C$50-1))</f>
        <v>2925.9708524756611</v>
      </c>
      <c r="K14" s="1068">
        <f>IF(K$2&lt;=$C$50,0,'PVC Sales'!H5*K$3*(1+$C$49)^(K$2-$C$50-1))</f>
        <v>3094.3312153271104</v>
      </c>
      <c r="L14" s="1068">
        <f>IF(L$2&lt;=$C$50,0,'PVC Sales'!I5*L$3*(1+$C$49)^(L$2-$C$50-1))</f>
        <v>3272.3790334570317</v>
      </c>
      <c r="M14" s="1068">
        <f>IF(M$2&lt;=$C$50,0,'PVC Sales'!J5*M$3*(1+$C$49)^(M$2-$C$50-1))</f>
        <v>3460.6717230421491</v>
      </c>
      <c r="N14" s="1068">
        <f>IF(N$2&lt;=$C$50,0,'PVC Sales'!K5*N$3*(1+$C$49)^(N$2-$C$50-1))</f>
        <v>3659.7987739859932</v>
      </c>
      <c r="O14" s="1068">
        <f>IF(O$2&lt;=$C$50,0,'PVC Sales'!L5*O$3*(1+$C$49)^(O$2-$C$50-1))</f>
        <v>3870.3835954411475</v>
      </c>
      <c r="P14" s="1068">
        <f>IF(P$2&lt;=$C$50,0,'PVC Sales'!M5*P$3*(1+$C$49)^(P$2-$C$50-1))</f>
        <v>4093.0854675228293</v>
      </c>
      <c r="Q14" s="1068">
        <f>IF(Q$2&lt;=$C$50,0,'PVC Sales'!N5*Q$3*(1+$C$49)^(Q$2-$C$50-1))</f>
        <v>4328.6016053240928</v>
      </c>
      <c r="R14" s="1068">
        <f>IF(R$2&lt;=$C$50,0,'PVC Sales'!O5*R$3*(1+$C$49)^(R$2-$C$50-1))</f>
        <v>4577.6693416944408</v>
      </c>
      <c r="S14" s="1068">
        <f>IF(S$2&lt;=$C$50,0,'PVC Sales'!P5*S$3*(1+$C$49)^(S$2-$C$50-1))</f>
        <v>4841.0684356155389</v>
      </c>
      <c r="T14" s="1068">
        <f>IF(T$2&lt;=$C$50,0,'PVC Sales'!Q5*T$3*(1+$C$49)^(T$2-$C$50-1))</f>
        <v>5119.6235134008557</v>
      </c>
      <c r="U14" s="1068">
        <f>IF(U$2&lt;=$C$50,0,'PVC Sales'!R5*U$3*(1+$C$49)^(U$2-$C$50-1))</f>
        <v>5414.2066503619417</v>
      </c>
      <c r="V14" s="1068">
        <f>IF(V$2&lt;=$C$50,0,'PVC Sales'!S5*V$3*(1+$C$49)^(V$2-$C$50-1))</f>
        <v>5725.7401010237663</v>
      </c>
      <c r="W14" s="1068">
        <f>IF(W$2&lt;=$C$50,0,'PVC Sales'!T5*W$3*(1+$C$49)^(W$2-$C$50-1))</f>
        <v>6055.1991864366746</v>
      </c>
      <c r="X14" s="1068">
        <f>IF(X$2&lt;=$C$50,0,'PVC Sales'!U5*X$3*(1+$C$49)^(X$2-$C$50-1))</f>
        <v>6403.615347624238</v>
      </c>
      <c r="Y14" s="1068">
        <f>IF(Y$2&lt;=$C$50,0,'PVC Sales'!V5*Y$3*(1+$C$49)^(Y$2-$C$50-1))</f>
        <v>6772.0793747265361</v>
      </c>
      <c r="Z14" s="1068">
        <f>IF(Z$2&lt;=$C$50,0,'PVC Sales'!W5*Z$3*(1+$C$49)^(Z$2-$C$50-1))</f>
        <v>7161.7448219482994</v>
      </c>
    </row>
    <row r="15" spans="1:27">
      <c r="A15" s="1048"/>
      <c r="B15" s="1080" t="s">
        <v>147</v>
      </c>
      <c r="C15" s="1080"/>
      <c r="D15" s="1080"/>
      <c r="E15" s="1080"/>
      <c r="F15" s="1080"/>
      <c r="G15" s="1082"/>
      <c r="H15" s="657">
        <f>'Cashflow PhenolOption1-Propane'!H11</f>
        <v>1386.6910392857144</v>
      </c>
      <c r="I15" s="657">
        <f>'Cashflow PhenolOption1-Propane'!I11</f>
        <v>1631.0337042469644</v>
      </c>
      <c r="J15" s="657">
        <f>'Cashflow PhenolOption1-Propane'!J11</f>
        <v>1726.5878138102726</v>
      </c>
      <c r="K15" s="657">
        <f>'Cashflow PhenolOption1-Propane'!K11</f>
        <v>1827.7399608823475</v>
      </c>
      <c r="L15" s="657">
        <f>'Cashflow PhenolOption1-Propane'!L11</f>
        <v>1934.8181064906394</v>
      </c>
      <c r="M15" s="657">
        <f>'Cashflow PhenolOption1-Propane'!M11</f>
        <v>2048.1694252593934</v>
      </c>
      <c r="N15" s="657">
        <f>'Cashflow PhenolOption1-Propane'!N11</f>
        <v>2168.1614310382142</v>
      </c>
      <c r="O15" s="657">
        <f>'Cashflow PhenolOption1-Propane'!O11</f>
        <v>2295.1831684755884</v>
      </c>
      <c r="P15" s="657">
        <f>'Cashflow PhenolOption1-Propane'!P11</f>
        <v>2429.6464744007299</v>
      </c>
      <c r="Q15" s="657">
        <f>'Cashflow PhenolOption1-Propane'!Q11</f>
        <v>2571.9873131034965</v>
      </c>
      <c r="R15" s="657">
        <f>'Cashflow PhenolOption1-Propane'!R11</f>
        <v>2722.6671898416648</v>
      </c>
      <c r="S15" s="657">
        <f>'Cashflow PhenolOption1-Propane'!S11</f>
        <v>2882.1746471585388</v>
      </c>
      <c r="T15" s="657">
        <f>'Cashflow PhenolOption1-Propane'!T11</f>
        <v>3051.026848862321</v>
      </c>
      <c r="U15" s="657">
        <f>'Cashflow PhenolOption1-Propane'!U11</f>
        <v>3229.7712568029201</v>
      </c>
      <c r="V15" s="657">
        <f>'Cashflow PhenolOption1-Propane'!V11</f>
        <v>3418.9874058827181</v>
      </c>
      <c r="W15" s="657">
        <f>'Cashflow PhenolOption1-Propane'!W11</f>
        <v>3619.2887830563573</v>
      </c>
      <c r="X15" s="657">
        <f>'Cashflow PhenolOption1-Propane'!X11</f>
        <v>3831.3248164117126</v>
      </c>
      <c r="Y15" s="657">
        <f>'Cashflow PhenolOption1-Propane'!Y11</f>
        <v>4055.7829807811931</v>
      </c>
      <c r="Z15" s="657">
        <f>'Cashflow PhenolOption1-Propane'!Z11</f>
        <v>4293.3910267102583</v>
      </c>
      <c r="AA15" s="657"/>
    </row>
    <row r="16" spans="1:27">
      <c r="A16" s="1048"/>
      <c r="B16" s="1080" t="s">
        <v>11</v>
      </c>
      <c r="C16" s="1080"/>
      <c r="D16" s="1080"/>
      <c r="E16" s="1080"/>
      <c r="F16" s="1080"/>
      <c r="G16" s="1082"/>
      <c r="H16" s="657">
        <f>'Cashflow PhenolOption1-Propane'!H12</f>
        <v>648.5918912236607</v>
      </c>
      <c r="I16" s="657">
        <f>'Cashflow PhenolOption1-Propane'!I12</f>
        <v>762.12429849407783</v>
      </c>
      <c r="J16" s="657">
        <f>'Cashflow PhenolOption1-Propane'!J12</f>
        <v>805.97693062942699</v>
      </c>
      <c r="K16" s="657">
        <f>'Cashflow PhenolOption1-Propane'!K12</f>
        <v>852.35284321784422</v>
      </c>
      <c r="L16" s="657">
        <f>'Cashflow PhenolOption1-Propane'!L12</f>
        <v>901.39722581659873</v>
      </c>
      <c r="M16" s="657">
        <f>'Cashflow PhenolOption1-Propane'!M12</f>
        <v>953.26362219008581</v>
      </c>
      <c r="N16" s="657">
        <f>'Cashflow PhenolOption1-Propane'!N12</f>
        <v>1008.1144110109032</v>
      </c>
      <c r="O16" s="657">
        <f>'Cashflow PhenolOption1-Propane'!O12</f>
        <v>1066.1213142204706</v>
      </c>
      <c r="P16" s="657">
        <f>'Cashflow PhenolOption1-Propane'!P12</f>
        <v>1127.4659346407161</v>
      </c>
      <c r="Q16" s="657">
        <f>'Cashflow PhenolOption1-Propane'!Q12</f>
        <v>1192.3403245199427</v>
      </c>
      <c r="R16" s="657">
        <f>'Cashflow PhenolOption1-Propane'!R12</f>
        <v>1260.9475867928199</v>
      </c>
      <c r="S16" s="657">
        <f>'Cashflow PhenolOption1-Propane'!S12</f>
        <v>1333.5025109368789</v>
      </c>
      <c r="T16" s="657">
        <f>'Cashflow PhenolOption1-Propane'!T12</f>
        <v>1410.2322454161865</v>
      </c>
      <c r="U16" s="657">
        <f>'Cashflow PhenolOption1-Propane'!U12</f>
        <v>1491.3770088174342</v>
      </c>
      <c r="V16" s="657">
        <f>'Cashflow PhenolOption1-Propane'!V12</f>
        <v>1577.1908419047888</v>
      </c>
      <c r="W16" s="657">
        <f>'Cashflow PhenolOption1-Propane'!W12</f>
        <v>1667.9424029479906</v>
      </c>
      <c r="X16" s="657">
        <f>'Cashflow PhenolOption1-Propane'!X12</f>
        <v>1763.9158088136171</v>
      </c>
      <c r="Y16" s="657">
        <f>'Cashflow PhenolOption1-Propane'!Y12</f>
        <v>1865.4115244527527</v>
      </c>
      <c r="Z16" s="657">
        <f>'Cashflow PhenolOption1-Propane'!Z12</f>
        <v>1972.7473035697635</v>
      </c>
      <c r="AA16" s="657"/>
    </row>
    <row r="17" spans="1:26">
      <c r="A17" s="1083"/>
      <c r="B17" s="1050" t="s">
        <v>581</v>
      </c>
      <c r="C17" s="1084"/>
      <c r="D17" s="1084"/>
      <c r="E17" s="1084"/>
      <c r="F17" s="1084"/>
      <c r="G17" s="1067"/>
      <c r="H17" s="1068">
        <f>IF(H$2&lt;=$C$50,0,'Net Change in Margin'!$B$46*H$3*(1+$C$49)^(H$2-$C$50-1))</f>
        <v>595.42404474604734</v>
      </c>
      <c r="I17" s="1068">
        <f>IF(I$2&lt;=$C$50,0,'Net Change in Margin'!$B$46*I$3*(1+$C$49)^(I$2-$C$50-1))</f>
        <v>799.99473440522513</v>
      </c>
      <c r="J17" s="1068">
        <f>IF(J$2&lt;=$C$50,0,'Net Change in Margin'!$B$46*J$3*(1+$C$49)^(J$2-$C$50-1))</f>
        <v>928.8827749482889</v>
      </c>
      <c r="K17" s="1068">
        <f>IF(K$2&lt;=$C$50,0,'Net Change in Margin'!$B$46*K$3*(1+$C$49)^(K$2-$C$50-1))</f>
        <v>970.68249982096199</v>
      </c>
      <c r="L17" s="1068">
        <f>IF(L$2&lt;=$C$50,0,'Net Change in Margin'!$B$46*L$3*(1+$C$49)^(L$2-$C$50-1))</f>
        <v>1014.3632123129049</v>
      </c>
      <c r="M17" s="1068">
        <f>IF(M$2&lt;=$C$50,0,'Net Change in Margin'!$B$46*M$3*(1+$C$49)^(M$2-$C$50-1))</f>
        <v>1060.0095568669858</v>
      </c>
      <c r="N17" s="1068">
        <f>IF(N$2&lt;=$C$50,0,'Net Change in Margin'!$B$46*N$3*(1+$C$49)^(N$2-$C$50-1))</f>
        <v>1107.7099869259998</v>
      </c>
      <c r="O17" s="1068">
        <f>IF(O$2&lt;=$C$50,0,'Net Change in Margin'!$B$46*O$3*(1+$C$49)^(O$2-$C$50-1))</f>
        <v>1157.5569363376699</v>
      </c>
      <c r="P17" s="1068">
        <f>IF(P$2&lt;=$C$50,0,'Net Change in Margin'!$B$46*P$3*(1+$C$49)^(P$2-$C$50-1))</f>
        <v>1209.6469984728647</v>
      </c>
      <c r="Q17" s="1068">
        <f>IF(Q$2&lt;=$C$50,0,'Net Change in Margin'!$B$46*Q$3*(1+$C$49)^(Q$2-$C$50-1))</f>
        <v>1264.0811134041435</v>
      </c>
      <c r="R17" s="1068">
        <f>IF(R$2&lt;=$C$50,0,'Net Change in Margin'!$B$46*R$3*(1+$C$49)^(R$2-$C$50-1))</f>
        <v>1320.9647635073297</v>
      </c>
      <c r="S17" s="1068">
        <f>IF(S$2&lt;=$C$50,0,'Net Change in Margin'!$B$46*S$3*(1+$C$49)^(S$2-$C$50-1))</f>
        <v>1380.4081778651596</v>
      </c>
      <c r="T17" s="1068">
        <f>IF(T$2&lt;=$C$50,0,'Net Change in Margin'!$B$46*T$3*(1+$C$49)^(T$2-$C$50-1))</f>
        <v>1442.5265458690913</v>
      </c>
      <c r="U17" s="1068">
        <f>IF(U$2&lt;=$C$50,0,'Net Change in Margin'!$B$46*U$3*(1+$C$49)^(U$2-$C$50-1))</f>
        <v>1507.4402404332006</v>
      </c>
      <c r="V17" s="1068">
        <f>IF(V$2&lt;=$C$50,0,'Net Change in Margin'!$B$46*V$3*(1+$C$49)^(V$2-$C$50-1))</f>
        <v>1575.2750512526941</v>
      </c>
      <c r="W17" s="1068">
        <f>IF(W$2&lt;=$C$50,0,'Net Change in Margin'!$B$46*W$3*(1+$C$49)^(W$2-$C$50-1))</f>
        <v>1646.1624285590656</v>
      </c>
      <c r="X17" s="1068">
        <f>IF(X$2&lt;=$C$50,0,'Net Change in Margin'!$B$46*X$3*(1+$C$49)^(X$2-$C$50-1))</f>
        <v>1720.2397378442229</v>
      </c>
      <c r="Y17" s="1068">
        <f>IF(Y$2&lt;=$C$50,0,'Net Change in Margin'!$B$46*Y$3*(1+$C$49)^(Y$2-$C$50-1))</f>
        <v>1797.6505260472129</v>
      </c>
      <c r="Z17" s="1068">
        <f>IF(Z$2&lt;=$C$50,0,'Net Change in Margin'!$B$46*Z$3*(1+$C$49)^(Z$2-$C$50-1))</f>
        <v>1878.5447997193371</v>
      </c>
    </row>
    <row r="18" spans="1:26">
      <c r="A18" s="1048"/>
      <c r="B18" s="1050"/>
      <c r="C18" s="1050"/>
      <c r="D18" s="1050"/>
      <c r="E18" s="1050"/>
      <c r="F18" s="1050"/>
      <c r="G18" s="1082"/>
      <c r="H18" s="1068"/>
      <c r="I18" s="1068"/>
      <c r="J18" s="1068"/>
      <c r="K18" s="1068"/>
      <c r="L18" s="1068"/>
      <c r="M18" s="1068"/>
      <c r="N18" s="1068"/>
      <c r="O18" s="1068"/>
      <c r="P18" s="1068"/>
      <c r="Q18" s="1068"/>
    </row>
    <row r="19" spans="1:26">
      <c r="A19" s="1077">
        <v>3</v>
      </c>
      <c r="B19" s="1078" t="s">
        <v>113</v>
      </c>
      <c r="C19" s="1078"/>
      <c r="D19" s="1078"/>
      <c r="E19" s="1078"/>
      <c r="F19" s="1078"/>
      <c r="G19" s="1085"/>
      <c r="H19" s="1062"/>
      <c r="I19" s="1062"/>
      <c r="J19" s="1062"/>
      <c r="K19" s="1062"/>
      <c r="L19" s="1062"/>
      <c r="M19" s="1062"/>
      <c r="N19" s="1062"/>
      <c r="O19" s="1062"/>
      <c r="P19" s="1062"/>
      <c r="Q19" s="1062"/>
      <c r="R19" s="1064"/>
      <c r="S19" s="1064"/>
      <c r="T19" s="1064"/>
      <c r="U19" s="1064"/>
      <c r="V19" s="1064"/>
      <c r="W19" s="1064"/>
      <c r="X19" s="1064"/>
      <c r="Y19" s="1064"/>
      <c r="Z19" s="1064"/>
    </row>
    <row r="20" spans="1:26">
      <c r="A20" s="1048"/>
      <c r="B20" s="1050" t="s">
        <v>15</v>
      </c>
      <c r="C20" s="1050"/>
      <c r="D20" s="1050"/>
      <c r="E20" s="1050"/>
      <c r="F20" s="1086"/>
      <c r="G20" s="660">
        <f t="shared" ref="G20:G25" si="3">J20/$J$26</f>
        <v>0.72814134316327628</v>
      </c>
      <c r="H20" s="1068">
        <f>IF(H$2&lt;=$C$50,0,'Opex PVC'!E64*H$3*(1+$C$49)^(H$2-$C$50-1))+'Cashflow PhenolOption1-Propane'!H14</f>
        <v>1748.6078524609516</v>
      </c>
      <c r="I20" s="1068">
        <f>IF(I$2&lt;=$C$50,0,'Opex PVC'!F64*I$3*(1+$C$49)^(I$2-$C$50-1))+'Cashflow PhenolOption1-Propane'!I14</f>
        <v>2155.6917227446902</v>
      </c>
      <c r="J20" s="1068">
        <f>IF(J$2&lt;=$C$50,0,'Opex PVC'!G64*J$3*(1+$C$49)^(J$2-$C$50-1))+'Cashflow PhenolOption1-Propane'!J14</f>
        <v>2368.8825241386103</v>
      </c>
      <c r="K20" s="1068">
        <f>IF(K$2&lt;=$C$50,0,'Opex PVC'!H64*K$3*(1+$C$49)^(K$2-$C$50-1))+'Cashflow PhenolOption1-Propane'!K14</f>
        <v>2507.6298695010551</v>
      </c>
      <c r="L20" s="1068">
        <f>IF(L$2&lt;=$C$50,0,'Opex PVC'!I64*L$3*(1+$C$49)^(L$2-$C$50-1))+'Cashflow PhenolOption1-Propane'!L14</f>
        <v>2652.0147899086583</v>
      </c>
      <c r="M20" s="1068">
        <f>IF(M$2&lt;=$C$50,0,'Opex PVC'!J64*M$3*(1+$C$49)^(M$2-$C$50-1))+'Cashflow PhenolOption1-Propane'!M14</f>
        <v>2806.0316806140627</v>
      </c>
      <c r="N20" s="1068">
        <f>IF(N$2&lt;=$C$50,0,'Opex PVC'!K64*N$3*(1+$C$49)^(N$2-$C$50-1))+'Cashflow PhenolOption1-Propane'!N14</f>
        <v>2968.6722547547934</v>
      </c>
      <c r="O20" s="1068">
        <f>IF(O$2&lt;=$C$50,0,'Opex PVC'!L64*O$3*(1+$C$49)^(O$2-$C$50-1))+'Cashflow PhenolOption1-Propane'!O14</f>
        <v>3141.1953656688565</v>
      </c>
      <c r="P20" s="1068">
        <f>IF(P$2&lt;=$C$50,0,'Opex PVC'!M64*P$3*(1+$C$49)^(P$2-$C$50-1))+'Cashflow PhenolOption1-Propane'!P14</f>
        <v>3325.5528061942059</v>
      </c>
      <c r="Q20" s="1068">
        <f>IF(Q$2&lt;=$C$50,0,'Opex PVC'!N64*Q$3*(1+$C$49)^(Q$2-$C$50-1))+'Cashflow PhenolOption1-Propane'!Q14</f>
        <v>3514.8612311688603</v>
      </c>
      <c r="R20" s="1068">
        <f>IF(R$2&lt;=$C$50,0,'Opex PVC'!O64*R$3*(1+$C$49)^(R$2-$C$50-1))+'Cashflow PhenolOption1-Propane'!R14</f>
        <v>3716.0273108219212</v>
      </c>
      <c r="S20" s="1068">
        <f>IF(S$2&lt;=$C$50,0,'Opex PVC'!P64*S$3*(1+$C$49)^(S$2-$C$50-1))+'Cashflow PhenolOption1-Propane'!S14</f>
        <v>3929.1348840226146</v>
      </c>
      <c r="T20" s="1068">
        <f>IF(T$2&lt;=$C$50,0,'Opex PVC'!Q64*T$3*(1+$C$49)^(T$2-$C$50-1))+'Cashflow PhenolOption1-Propane'!T14</f>
        <v>4152.9574919006245</v>
      </c>
      <c r="U20" s="1068">
        <f>IF(U$2&lt;=$C$50,0,'Opex PVC'!R64*U$3*(1+$C$49)^(U$2-$C$50-1))+'Cashflow PhenolOption1-Propane'!U14</f>
        <v>4389.2141917997706</v>
      </c>
      <c r="V20" s="1068">
        <f>IF(V$2&lt;=$C$50,0,'Opex PVC'!S64*V$3*(1+$C$49)^(V$2-$C$50-1))+'Cashflow PhenolOption1-Propane'!V14</f>
        <v>4638.7463333160231</v>
      </c>
      <c r="W20" s="1068">
        <f>IF(W$2&lt;=$C$50,0,'Opex PVC'!T64*W$3*(1+$C$49)^(W$2-$C$50-1))+'Cashflow PhenolOption1-Propane'!W14</f>
        <v>4904.7732657332253</v>
      </c>
      <c r="X20" s="1068">
        <f>IF(X$2&lt;=$C$50,0,'Opex PVC'!U64*X$3*(1+$C$49)^(X$2-$C$50-1))+'Cashflow PhenolOption1-Propane'!X14</f>
        <v>5186.6190876765486</v>
      </c>
      <c r="Y20" s="1068">
        <f>IF(Y$2&lt;=$C$50,0,'Opex PVC'!V64*Y$3*(1+$C$49)^(Y$2-$C$50-1))+'Cashflow PhenolOption1-Propane'!Y14</f>
        <v>5486.047953098946</v>
      </c>
      <c r="Z20" s="1068">
        <f>IF(Z$2&lt;=$C$50,0,'Opex PVC'!W64*Z$3*(1+$C$49)^(Z$2-$C$50-1))+'Cashflow PhenolOption1-Propane'!Z14</f>
        <v>5800.6668206967606</v>
      </c>
    </row>
    <row r="21" spans="1:26">
      <c r="A21" s="1048"/>
      <c r="B21" s="1050" t="s">
        <v>17</v>
      </c>
      <c r="C21" s="1050"/>
      <c r="D21" s="1050"/>
      <c r="E21" s="1050"/>
      <c r="F21" s="1087">
        <f>'Cashflow - PVC Phenol Propane'!J20+'Cashflow - PVC Phenol Propane'!J21+'Cashflow - PVC Phenol Propane'!J23+'Cashflow - PVC Phenol Propane'!J25</f>
        <v>3085.7593496383379</v>
      </c>
      <c r="G21" s="660">
        <f t="shared" si="3"/>
        <v>4.5953566390873057E-2</v>
      </c>
      <c r="H21" s="1068">
        <f>IF(H$2&lt;=$C$50,0,'Opex PVC'!E68*H$3*(1+$C$49)^(H$2-$C$50-1))</f>
        <v>92.910999999999987</v>
      </c>
      <c r="I21" s="1068">
        <f>IF(I$2&lt;=$C$50,0,'Opex PVC'!F68*I$3*(1+$C$49)^(I$2-$C$50-1))</f>
        <v>126.76746975749997</v>
      </c>
      <c r="J21" s="1068">
        <f>IF(J$2&lt;=$C$50,0,'Opex PVC'!G68*J$3*(1+$C$49)^(J$2-$C$50-1))</f>
        <v>149.50201821018209</v>
      </c>
      <c r="K21" s="1068">
        <f>IF(K$2&lt;=$C$50,0,'Opex PVC'!H68*K$3*(1+$C$49)^(K$2-$C$50-1))</f>
        <v>158.46369243876413</v>
      </c>
      <c r="L21" s="1068">
        <f>IF(L$2&lt;=$C$50,0,'Opex PVC'!I68*L$3*(1+$C$49)^(L$2-$C$50-1))</f>
        <v>167.91288241888759</v>
      </c>
      <c r="M21" s="1068">
        <f>IF(M$2&lt;=$C$50,0,'Opex PVC'!J68*M$3*(1+$C$49)^(M$2-$C$50-1))</f>
        <v>177.8202462202492</v>
      </c>
      <c r="N21" s="1068">
        <f>IF(N$2&lt;=$C$50,0,'Opex PVC'!K68*N$3*(1+$C$49)^(N$2-$C$50-1))</f>
        <v>188.31217420798251</v>
      </c>
      <c r="O21" s="1068">
        <f>IF(O$2&lt;=$C$50,0,'Opex PVC'!L68*O$3*(1+$C$49)^(O$2-$C$50-1))</f>
        <v>199.42315742277611</v>
      </c>
      <c r="P21" s="1068">
        <f>IF(P$2&lt;=$C$50,0,'Opex PVC'!M68*P$3*(1+$C$49)^(P$2-$C$50-1))</f>
        <v>211.18972198019213</v>
      </c>
      <c r="Q21" s="1068">
        <f>IF(Q$2&lt;=$C$50,0,'Opex PVC'!N68*Q$3*(1+$C$49)^(Q$2-$C$50-1))</f>
        <v>223.65054914618941</v>
      </c>
      <c r="R21" s="1068">
        <f>IF(R$2&lt;=$C$50,0,'Opex PVC'!O68*R$3*(1+$C$49)^(R$2-$C$50-1))</f>
        <v>236.84660249746196</v>
      </c>
      <c r="S21" s="1068">
        <f>IF(S$2&lt;=$C$50,0,'Opex PVC'!P68*S$3*(1+$C$49)^(S$2-$C$50-1))</f>
        <v>250.82126258461975</v>
      </c>
      <c r="T21" s="1068">
        <f>IF(T$2&lt;=$C$50,0,'Opex PVC'!Q68*T$3*(1+$C$49)^(T$2-$C$50-1))</f>
        <v>265.62046954089999</v>
      </c>
      <c r="U21" s="1068">
        <f>IF(U$2&lt;=$C$50,0,'Opex PVC'!R68*U$3*(1+$C$49)^(U$2-$C$50-1))</f>
        <v>281.29287410522176</v>
      </c>
      <c r="V21" s="1068">
        <f>IF(V$2&lt;=$C$50,0,'Opex PVC'!S68*V$3*(1+$C$49)^(V$2-$C$50-1))</f>
        <v>297.88999755605204</v>
      </c>
      <c r="W21" s="1068">
        <f>IF(W$2&lt;=$C$50,0,'Opex PVC'!T68*W$3*(1+$C$49)^(W$2-$C$50-1))</f>
        <v>315.46640108185181</v>
      </c>
      <c r="X21" s="1068">
        <f>IF(X$2&lt;=$C$50,0,'Opex PVC'!U68*X$3*(1+$C$49)^(X$2-$C$50-1))</f>
        <v>334.07986514488414</v>
      </c>
      <c r="Y21" s="1068">
        <f>IF(Y$2&lt;=$C$50,0,'Opex PVC'!V68*Y$3*(1+$C$49)^(Y$2-$C$50-1))</f>
        <v>353.79157942802772</v>
      </c>
      <c r="Z21" s="1068">
        <f>IF(Z$2&lt;=$C$50,0,'Opex PVC'!W68*Z$3*(1+$C$49)^(Z$2-$C$50-1))</f>
        <v>374.66634398901959</v>
      </c>
    </row>
    <row r="22" spans="1:26">
      <c r="A22" s="1048"/>
      <c r="B22" s="1050" t="s">
        <v>18</v>
      </c>
      <c r="C22" s="1050"/>
      <c r="D22" s="1050"/>
      <c r="E22" s="1050"/>
      <c r="F22" s="1087">
        <f>'Cashflow - PVC Phenol Propane'!J22+'Cashflow - PVC Phenol Propane'!J24</f>
        <v>167.56851916174415</v>
      </c>
      <c r="G22" s="660">
        <f t="shared" si="3"/>
        <v>1.8065435723106826E-2</v>
      </c>
      <c r="H22" s="1068">
        <f>IF(H$2&lt;=$C$50,0,'Opex PVC'!$E$69*(1+$C$49)^(H$2-$C$50-1))+'Cashflow PhenolOption1-Propane'!H15</f>
        <v>53.82</v>
      </c>
      <c r="I22" s="1068">
        <f>IF(I$2&lt;=$C$50,0,'Opex PVC'!$E$69*(1+$C$49)^(I$2-$C$50-1))+'Cashflow PhenolOption1-Propane'!I15</f>
        <v>56.241899999999994</v>
      </c>
      <c r="J22" s="1068">
        <f>IF(J$2&lt;=$C$50,0,'Opex PVC'!$E$69*(1+$C$49)^(J$2-$C$50-1))+'Cashflow PhenolOption1-Propane'!J15</f>
        <v>58.772785499999991</v>
      </c>
      <c r="K22" s="1068">
        <f>IF(K$2&lt;=$C$50,0,'Opex PVC'!$E$69*(1+$C$49)^(K$2-$C$50-1))+'Cashflow PhenolOption1-Propane'!K15</f>
        <v>61.417560847499992</v>
      </c>
      <c r="L22" s="1068">
        <f>IF(L$2&lt;=$C$50,0,'Opex PVC'!$E$69*(1+$C$49)^(L$2-$C$50-1))+'Cashflow PhenolOption1-Propane'!L15</f>
        <v>64.181351085637473</v>
      </c>
      <c r="M22" s="1068">
        <f>IF(M$2&lt;=$C$50,0,'Opex PVC'!$E$69*(1+$C$49)^(M$2-$C$50-1))+'Cashflow PhenolOption1-Propane'!M15</f>
        <v>67.069511884491163</v>
      </c>
      <c r="N22" s="1068">
        <f>IF(N$2&lt;=$C$50,0,'Opex PVC'!$E$69*(1+$C$49)^(N$2-$C$50-1))+'Cashflow PhenolOption1-Propane'!N15</f>
        <v>70.087639919293238</v>
      </c>
      <c r="O22" s="1068">
        <f>IF(O$2&lt;=$C$50,0,'Opex PVC'!$E$69*(1+$C$49)^(O$2-$C$50-1))+'Cashflow PhenolOption1-Propane'!O15</f>
        <v>73.241583715661449</v>
      </c>
      <c r="P22" s="1068">
        <f>IF(P$2&lt;=$C$50,0,'Opex PVC'!$E$69*(1+$C$49)^(P$2-$C$50-1))+'Cashflow PhenolOption1-Propane'!P15</f>
        <v>76.53745498286618</v>
      </c>
      <c r="Q22" s="1068">
        <f>IF(Q$2&lt;=$C$50,0,'Opex PVC'!$E$69*(1+$C$49)^(Q$2-$C$50-1))+'Cashflow PhenolOption1-Propane'!Q15</f>
        <v>79.981640457095153</v>
      </c>
      <c r="R22" s="1068">
        <f>IF(R$2&lt;=$C$50,0,'Opex PVC'!$E$69*(1+$C$49)^(R$2-$C$50-1))+'Cashflow PhenolOption1-Propane'!R15</f>
        <v>83.58081427766443</v>
      </c>
      <c r="S22" s="1068">
        <f>IF(S$2&lt;=$C$50,0,'Opex PVC'!$E$69*(1+$C$49)^(S$2-$C$50-1))+'Cashflow PhenolOption1-Propane'!S15</f>
        <v>87.34195092015932</v>
      </c>
      <c r="T22" s="1068">
        <f>IF(T$2&lt;=$C$50,0,'Opex PVC'!$E$69*(1+$C$49)^(T$2-$C$50-1))+'Cashflow PhenolOption1-Propane'!T15</f>
        <v>91.272338711566476</v>
      </c>
      <c r="U22" s="1068">
        <f>IF(U$2&lt;=$C$50,0,'Opex PVC'!$E$69*(1+$C$49)^(U$2-$C$50-1))+'Cashflow PhenolOption1-Propane'!U15</f>
        <v>95.379593953586976</v>
      </c>
      <c r="V22" s="1068">
        <f>IF(V$2&lt;=$C$50,0,'Opex PVC'!$E$69*(1+$C$49)^(V$2-$C$50-1))+'Cashflow PhenolOption1-Propane'!V15</f>
        <v>99.671675681498357</v>
      </c>
      <c r="W22" s="1068">
        <f>IF(W$2&lt;=$C$50,0,'Opex PVC'!$E$69*(1+$C$49)^(W$2-$C$50-1))+'Cashflow PhenolOption1-Propane'!W15</f>
        <v>104.15690108716579</v>
      </c>
      <c r="X22" s="1068">
        <f>IF(X$2&lt;=$C$50,0,'Opex PVC'!$E$69*(1+$C$49)^(X$2-$C$50-1))+'Cashflow PhenolOption1-Propane'!X15</f>
        <v>108.84396163608821</v>
      </c>
      <c r="Y22" s="1068">
        <f>IF(Y$2&lt;=$C$50,0,'Opex PVC'!$E$69*(1+$C$49)^(Y$2-$C$50-1))+'Cashflow PhenolOption1-Propane'!Y15</f>
        <v>113.74193990971219</v>
      </c>
      <c r="Z22" s="1068">
        <f>IF(Z$2&lt;=$C$50,0,'Opex PVC'!$E$69*(1+$C$49)^(Z$2-$C$50-1))+'Cashflow PhenolOption1-Propane'!Z15</f>
        <v>118.86032720564921</v>
      </c>
    </row>
    <row r="23" spans="1:26">
      <c r="A23" s="1048"/>
      <c r="B23" s="1050" t="s">
        <v>20</v>
      </c>
      <c r="C23" s="1050"/>
      <c r="D23" s="1050"/>
      <c r="E23" s="1050"/>
      <c r="F23" s="1050"/>
      <c r="G23" s="660">
        <f t="shared" si="3"/>
        <v>0.11958866322264293</v>
      </c>
      <c r="H23" s="1068">
        <f>IF(H$2&lt;=$C$50,0,'Opex PVC'!$E$71*(1+$C$49)^(H$2-$C$50-1))+'Cashflow PhenolOption1-Propane'!H16</f>
        <v>336.36743734740003</v>
      </c>
      <c r="I23" s="1068">
        <f>IF(I$2&lt;=$C$50,0,'Opex PVC'!$E$71*(1+$C$49)^(I$2-$C$50-1))+'Cashflow PhenolOption1-Propane'!I16</f>
        <v>372.30730225336998</v>
      </c>
      <c r="J23" s="1068">
        <f>IF(J$2&lt;=$C$50,0,'Opex PVC'!$E$71*(1+$C$49)^(J$2-$C$50-1))+'Cashflow PhenolOption1-Propane'!J16</f>
        <v>389.06113085477159</v>
      </c>
      <c r="K23" s="1068">
        <f>IF(K$2&lt;=$C$50,0,'Opex PVC'!$E$71*(1+$C$49)^(K$2-$C$50-1))+'Cashflow PhenolOption1-Propane'!K16</f>
        <v>406.56888174323637</v>
      </c>
      <c r="L23" s="1068">
        <f>IF(L$2&lt;=$C$50,0,'Opex PVC'!$E$71*(1+$C$49)^(L$2-$C$50-1))+'Cashflow PhenolOption1-Propane'!L16</f>
        <v>424.86448142168183</v>
      </c>
      <c r="M23" s="1068">
        <f>IF(M$2&lt;=$C$50,0,'Opex PVC'!$E$71*(1+$C$49)^(M$2-$C$50-1))+'Cashflow PhenolOption1-Propane'!M16</f>
        <v>443.98338308565752</v>
      </c>
      <c r="N23" s="1068">
        <f>IF(N$2&lt;=$C$50,0,'Opex PVC'!$E$71*(1+$C$49)^(N$2-$C$50-1))+'Cashflow PhenolOption1-Propane'!N16</f>
        <v>463.96263532451201</v>
      </c>
      <c r="O23" s="1068">
        <f>IF(O$2&lt;=$C$50,0,'Opex PVC'!$E$71*(1+$C$49)^(O$2-$C$50-1))+'Cashflow PhenolOption1-Propane'!O16</f>
        <v>484.84095391411512</v>
      </c>
      <c r="P23" s="1068">
        <f>IF(P$2&lt;=$C$50,0,'Opex PVC'!$E$71*(1+$C$49)^(P$2-$C$50-1))+'Cashflow PhenolOption1-Propane'!P16</f>
        <v>506.65879684025015</v>
      </c>
      <c r="Q23" s="1068">
        <f>IF(Q$2&lt;=$C$50,0,'Opex PVC'!$E$71*(1+$C$49)^(Q$2-$C$50-1))+'Cashflow PhenolOption1-Propane'!Q16</f>
        <v>529.45844269806139</v>
      </c>
      <c r="R23" s="1068">
        <f>IF(R$2&lt;=$C$50,0,'Opex PVC'!$E$71*(1+$C$49)^(R$2-$C$50-1))+'Cashflow PhenolOption1-Propane'!R16</f>
        <v>553.28407261947405</v>
      </c>
      <c r="S23" s="1068">
        <f>IF(S$2&lt;=$C$50,0,'Opex PVC'!$E$71*(1+$C$49)^(S$2-$C$50-1))+'Cashflow PhenolOption1-Propane'!S16</f>
        <v>578.18185588735037</v>
      </c>
      <c r="T23" s="1068">
        <f>IF(T$2&lt;=$C$50,0,'Opex PVC'!$E$71*(1+$C$49)^(T$2-$C$50-1))+'Cashflow PhenolOption1-Propane'!T16</f>
        <v>604.20003940228094</v>
      </c>
      <c r="U23" s="1068">
        <f>IF(U$2&lt;=$C$50,0,'Opex PVC'!$E$71*(1+$C$49)^(U$2-$C$50-1))+'Cashflow PhenolOption1-Propane'!U16</f>
        <v>631.38904117538368</v>
      </c>
      <c r="V23" s="1068">
        <f>IF(V$2&lt;=$C$50,0,'Opex PVC'!$E$71*(1+$C$49)^(V$2-$C$50-1))+'Cashflow PhenolOption1-Propane'!V16</f>
        <v>659.80154802827565</v>
      </c>
      <c r="W23" s="1068">
        <f>IF(W$2&lt;=$C$50,0,'Opex PVC'!$E$71*(1+$C$49)^(W$2-$C$50-1))+'Cashflow PhenolOption1-Propane'!W16</f>
        <v>689.4926176895483</v>
      </c>
      <c r="X23" s="1068">
        <f>IF(X$2&lt;=$C$50,0,'Opex PVC'!$E$71*(1+$C$49)^(X$2-$C$50-1))+'Cashflow PhenolOption1-Propane'!X16</f>
        <v>720.51978548557759</v>
      </c>
      <c r="Y23" s="1068">
        <f>IF(Y$2&lt;=$C$50,0,'Opex PVC'!$E$71*(1+$C$49)^(Y$2-$C$50-1))+'Cashflow PhenolOption1-Propane'!Y16</f>
        <v>752.94317583242855</v>
      </c>
      <c r="Z23" s="1068">
        <f>IF(Z$2&lt;=$C$50,0,'Opex PVC'!$E$71*(1+$C$49)^(Z$2-$C$50-1))+'Cashflow PhenolOption1-Propane'!Z16</f>
        <v>786.82561874488772</v>
      </c>
    </row>
    <row r="24" spans="1:26" s="142" customFormat="1">
      <c r="A24" s="1048"/>
      <c r="B24" s="1050" t="s">
        <v>23</v>
      </c>
      <c r="C24" s="1050"/>
      <c r="D24" s="1050"/>
      <c r="E24" s="1050"/>
      <c r="F24" s="1050"/>
      <c r="G24" s="660">
        <f t="shared" si="3"/>
        <v>3.3441367746888384E-2</v>
      </c>
      <c r="H24" s="1068">
        <f>IF(H$2&lt;=$C$50,0,'Opex PVC'!$E$74*(1+$C$49)^(H$2-$C$50-1))+'Cashflow PhenolOption1-Propane'!H17</f>
        <v>96.573698443403998</v>
      </c>
      <c r="I24" s="1068">
        <f>IF(I$2&lt;=$C$50,0,'Opex PVC'!$E$74*(1+$C$49)^(I$2-$C$50-1))+'Cashflow PhenolOption1-Propane'!I17</f>
        <v>104.11074991554466</v>
      </c>
      <c r="J24" s="1068">
        <f>IF(J$2&lt;=$C$50,0,'Opex PVC'!$E$74*(1+$C$49)^(J$2-$C$50-1))+'Cashflow PhenolOption1-Propane'!J17</f>
        <v>108.79573366174417</v>
      </c>
      <c r="K24" s="1068">
        <f>IF(K$2&lt;=$C$50,0,'Opex PVC'!$E$74*(1+$C$49)^(K$2-$C$50-1))+'Cashflow PhenolOption1-Propane'!K17</f>
        <v>113.69154167652266</v>
      </c>
      <c r="L24" s="1068">
        <f>IF(L$2&lt;=$C$50,0,'Opex PVC'!$E$74*(1+$C$49)^(L$2-$C$50-1))+'Cashflow PhenolOption1-Propane'!L17</f>
        <v>118.80766105196614</v>
      </c>
      <c r="M24" s="1068">
        <f>IF(M$2&lt;=$C$50,0,'Opex PVC'!$E$74*(1+$C$49)^(M$2-$C$50-1))+'Cashflow PhenolOption1-Propane'!M17</f>
        <v>124.15400579930463</v>
      </c>
      <c r="N24" s="1068">
        <f>IF(N$2&lt;=$C$50,0,'Opex PVC'!$E$74*(1+$C$49)^(N$2-$C$50-1))+'Cashflow PhenolOption1-Propane'!N17</f>
        <v>129.7409360602733</v>
      </c>
      <c r="O24" s="1068">
        <f>IF(O$2&lt;=$C$50,0,'Opex PVC'!$E$74*(1+$C$49)^(O$2-$C$50-1))+'Cashflow PhenolOption1-Propane'!O17</f>
        <v>135.5792781829856</v>
      </c>
      <c r="P24" s="1068">
        <f>IF(P$2&lt;=$C$50,0,'Opex PVC'!$E$74*(1+$C$49)^(P$2-$C$50-1))+'Cashflow PhenolOption1-Propane'!P17</f>
        <v>141.68034570121992</v>
      </c>
      <c r="Q24" s="1068">
        <f>IF(Q$2&lt;=$C$50,0,'Opex PVC'!$E$74*(1+$C$49)^(Q$2-$C$50-1))+'Cashflow PhenolOption1-Propane'!Q17</f>
        <v>148.05596125777478</v>
      </c>
      <c r="R24" s="1068">
        <f>IF(R$2&lt;=$C$50,0,'Opex PVC'!$E$74*(1+$C$49)^(R$2-$C$50-1))+'Cashflow PhenolOption1-Propane'!R17</f>
        <v>154.71847951437462</v>
      </c>
      <c r="S24" s="1068">
        <f>IF(S$2&lt;=$C$50,0,'Opex PVC'!$E$74*(1+$C$49)^(S$2-$C$50-1))+'Cashflow PhenolOption1-Propane'!S17</f>
        <v>161.68081109252148</v>
      </c>
      <c r="T24" s="1068">
        <f>IF(T$2&lt;=$C$50,0,'Opex PVC'!$E$74*(1+$C$49)^(T$2-$C$50-1))+'Cashflow PhenolOption1-Propane'!T17</f>
        <v>168.95644759168493</v>
      </c>
      <c r="U24" s="1068">
        <f>IF(U$2&lt;=$C$50,0,'Opex PVC'!$E$74*(1+$C$49)^(U$2-$C$50-1))+'Cashflow PhenolOption1-Propane'!U17</f>
        <v>176.55948773331076</v>
      </c>
      <c r="V24" s="1068">
        <f>IF(V$2&lt;=$C$50,0,'Opex PVC'!$E$74*(1+$C$49)^(V$2-$C$50-1))+'Cashflow PhenolOption1-Propane'!V17</f>
        <v>184.50466468130969</v>
      </c>
      <c r="W24" s="1068">
        <f>IF(W$2&lt;=$C$50,0,'Opex PVC'!$E$74*(1+$C$49)^(W$2-$C$50-1))+'Cashflow PhenolOption1-Propane'!W17</f>
        <v>192.80737459196865</v>
      </c>
      <c r="X24" s="1068">
        <f>IF(X$2&lt;=$C$50,0,'Opex PVC'!$E$74*(1+$C$49)^(X$2-$C$50-1))+'Cashflow PhenolOption1-Propane'!X17</f>
        <v>201.48370644860717</v>
      </c>
      <c r="Y24" s="1068">
        <f>IF(Y$2&lt;=$C$50,0,'Opex PVC'!$E$74*(1+$C$49)^(Y$2-$C$50-1))+'Cashflow PhenolOption1-Propane'!Y17</f>
        <v>210.5504732387945</v>
      </c>
      <c r="Z24" s="1068">
        <f>IF(Z$2&lt;=$C$50,0,'Opex PVC'!$E$74*(1+$C$49)^(Z$2-$C$50-1))+'Cashflow PhenolOption1-Propane'!Z17</f>
        <v>220.02524453454021</v>
      </c>
    </row>
    <row r="25" spans="1:26">
      <c r="A25" s="1048"/>
      <c r="B25" s="1050" t="s">
        <v>25</v>
      </c>
      <c r="C25" s="1050"/>
      <c r="D25" s="1050"/>
      <c r="E25" s="1050"/>
      <c r="F25" s="1050"/>
      <c r="G25" s="660">
        <f t="shared" si="3"/>
        <v>5.4809623753212661E-2</v>
      </c>
      <c r="H25" s="1068">
        <f>IF(H$2&lt;=$C$50,0,'Opex PVC'!$E$77*(1+$C$49)^(H$2-$C$50-1))+'Cashflow PhenolOption1-Propane'!H18</f>
        <v>155.23239257971522</v>
      </c>
      <c r="I25" s="1068">
        <f>IF(I$2&lt;=$C$50,0,'Opex PVC'!$E$77*(1+$C$49)^(I$2-$C$50-1))+'Cashflow PhenolOption1-Propane'!I18</f>
        <v>170.63509706676908</v>
      </c>
      <c r="J25" s="1068">
        <f>IF(J$2&lt;=$C$50,0,'Opex PVC'!$E$77*(1+$C$49)^(J$2-$C$50-1))+'Cashflow PhenolOption1-Propane'!J18</f>
        <v>178.31367643477367</v>
      </c>
      <c r="K25" s="1068">
        <f>IF(K$2&lt;=$C$50,0,'Opex PVC'!$E$77*(1+$C$49)^(K$2-$C$50-1))+'Cashflow PhenolOption1-Propane'!K18</f>
        <v>186.33779187433851</v>
      </c>
      <c r="L25" s="1068">
        <f>IF(L$2&lt;=$C$50,0,'Opex PVC'!$E$77*(1+$C$49)^(L$2-$C$50-1))+'Cashflow PhenolOption1-Propane'!L18</f>
        <v>194.72299250868366</v>
      </c>
      <c r="M25" s="1068">
        <f>IF(M$2&lt;=$C$50,0,'Opex PVC'!$E$77*(1+$C$49)^(M$2-$C$50-1))+'Cashflow PhenolOption1-Propane'!M18</f>
        <v>203.48552717157443</v>
      </c>
      <c r="N25" s="1068">
        <f>IF(N$2&lt;=$C$50,0,'Opex PVC'!$E$77*(1+$C$49)^(N$2-$C$50-1))+'Cashflow PhenolOption1-Propane'!N18</f>
        <v>212.64237589429524</v>
      </c>
      <c r="O25" s="1068">
        <f>IF(O$2&lt;=$C$50,0,'Opex PVC'!$E$77*(1+$C$49)^(O$2-$C$50-1))+'Cashflow PhenolOption1-Propane'!O18</f>
        <v>222.21128280953855</v>
      </c>
      <c r="P25" s="1068">
        <f>IF(P$2&lt;=$C$50,0,'Opex PVC'!$E$77*(1+$C$49)^(P$2-$C$50-1))+'Cashflow PhenolOption1-Propane'!P18</f>
        <v>232.2107905359677</v>
      </c>
      <c r="Q25" s="1068">
        <f>IF(Q$2&lt;=$C$50,0,'Opex PVC'!$E$77*(1+$C$49)^(Q$2-$C$50-1))+'Cashflow PhenolOption1-Propane'!Q18</f>
        <v>242.66027611008622</v>
      </c>
      <c r="R25" s="1068">
        <f>IF(R$2&lt;=$C$50,0,'Opex PVC'!$E$77*(1+$C$49)^(R$2-$C$50-1))+'Cashflow PhenolOption1-Propane'!R18</f>
        <v>253.57998853504006</v>
      </c>
      <c r="S25" s="1068">
        <f>IF(S$2&lt;=$C$50,0,'Opex PVC'!$E$77*(1+$C$49)^(S$2-$C$50-1))+'Cashflow PhenolOption1-Propane'!S18</f>
        <v>264.99108801911689</v>
      </c>
      <c r="T25" s="1068">
        <f>IF(T$2&lt;=$C$50,0,'Opex PVC'!$E$77*(1+$C$49)^(T$2-$C$50-1))+'Cashflow PhenolOption1-Propane'!T18</f>
        <v>276.91568697997707</v>
      </c>
      <c r="U25" s="1068">
        <f>IF(U$2&lt;=$C$50,0,'Opex PVC'!$E$77*(1+$C$49)^(U$2-$C$50-1))+'Cashflow PhenolOption1-Propane'!U18</f>
        <v>289.37689289407604</v>
      </c>
      <c r="V25" s="1068">
        <f>IF(V$2&lt;=$C$50,0,'Opex PVC'!$E$77*(1+$C$49)^(V$2-$C$50-1))+'Cashflow PhenolOption1-Propane'!V18</f>
        <v>302.39885307430939</v>
      </c>
      <c r="W25" s="1068">
        <f>IF(W$2&lt;=$C$50,0,'Opex PVC'!$E$77*(1+$C$49)^(W$2-$C$50-1))+'Cashflow PhenolOption1-Propane'!W18</f>
        <v>316.00680146265336</v>
      </c>
      <c r="X25" s="1068">
        <f>IF(X$2&lt;=$C$50,0,'Opex PVC'!$E$77*(1+$C$49)^(X$2-$C$50-1))+'Cashflow PhenolOption1-Propane'!X18</f>
        <v>330.22710752847263</v>
      </c>
      <c r="Y25" s="1068">
        <f>IF(Y$2&lt;=$C$50,0,'Opex PVC'!$E$77*(1+$C$49)^(Y$2-$C$50-1))+'Cashflow PhenolOption1-Propane'!Y18</f>
        <v>345.08732736725392</v>
      </c>
      <c r="Z25" s="1068">
        <f>IF(Z$2&lt;=$C$50,0,'Opex PVC'!$E$77*(1+$C$49)^(Z$2-$C$50-1))+'Cashflow PhenolOption1-Propane'!Z18</f>
        <v>360.61625709878024</v>
      </c>
    </row>
    <row r="26" spans="1:26" s="142" customFormat="1">
      <c r="A26" s="1071"/>
      <c r="B26" s="1088" t="s">
        <v>34</v>
      </c>
      <c r="C26" s="1088"/>
      <c r="D26" s="1088"/>
      <c r="E26" s="1088"/>
      <c r="F26" s="1088"/>
      <c r="G26" s="1089"/>
      <c r="H26" s="1075">
        <f t="shared" ref="H26:Q26" si="4">SUM(H20:H25)</f>
        <v>2483.5123808314702</v>
      </c>
      <c r="I26" s="1075">
        <f t="shared" si="4"/>
        <v>2985.7542417378736</v>
      </c>
      <c r="J26" s="1090">
        <f t="shared" si="4"/>
        <v>3253.3278688000814</v>
      </c>
      <c r="K26" s="1075">
        <f t="shared" si="4"/>
        <v>3434.1093380814168</v>
      </c>
      <c r="L26" s="1075">
        <f t="shared" si="4"/>
        <v>3622.5041583955144</v>
      </c>
      <c r="M26" s="1075">
        <f t="shared" si="4"/>
        <v>3822.5443547753398</v>
      </c>
      <c r="N26" s="1075">
        <f t="shared" si="4"/>
        <v>4033.4180161611498</v>
      </c>
      <c r="O26" s="1075">
        <f t="shared" si="4"/>
        <v>4256.4916217139335</v>
      </c>
      <c r="P26" s="1075">
        <f t="shared" si="4"/>
        <v>4493.829916234703</v>
      </c>
      <c r="Q26" s="1075">
        <f t="shared" si="4"/>
        <v>4738.6681008380674</v>
      </c>
      <c r="R26" s="1075">
        <f t="shared" ref="R26:Z26" si="5">SUM(R20:R25)</f>
        <v>4998.0372682659363</v>
      </c>
      <c r="S26" s="1075">
        <f t="shared" si="5"/>
        <v>5272.1518525263818</v>
      </c>
      <c r="T26" s="1075">
        <f t="shared" si="5"/>
        <v>5559.9224741270336</v>
      </c>
      <c r="U26" s="1075">
        <f t="shared" si="5"/>
        <v>5863.2120816613497</v>
      </c>
      <c r="V26" s="1075">
        <f t="shared" si="5"/>
        <v>6183.0130723374677</v>
      </c>
      <c r="W26" s="1075">
        <f t="shared" si="5"/>
        <v>6522.7033616464114</v>
      </c>
      <c r="X26" s="1075">
        <f t="shared" si="5"/>
        <v>6881.7735139201786</v>
      </c>
      <c r="Y26" s="1075">
        <f t="shared" si="5"/>
        <v>7262.1624488751631</v>
      </c>
      <c r="Z26" s="1075">
        <f t="shared" si="5"/>
        <v>7661.6606122696376</v>
      </c>
    </row>
    <row r="27" spans="1:26" s="1096" customFormat="1">
      <c r="A27" s="1091"/>
      <c r="B27" s="1092" t="s">
        <v>13</v>
      </c>
      <c r="C27" s="1092"/>
      <c r="D27" s="1092"/>
      <c r="E27" s="1092"/>
      <c r="F27" s="1092"/>
      <c r="G27" s="1093"/>
      <c r="H27" s="1094"/>
      <c r="I27" s="1094"/>
      <c r="J27" s="1094">
        <f>J26-J25</f>
        <v>3075.0141923653077</v>
      </c>
      <c r="K27" s="1094"/>
      <c r="L27" s="1094"/>
      <c r="M27" s="1094"/>
      <c r="N27" s="1094"/>
      <c r="O27" s="1094"/>
      <c r="P27" s="1094"/>
      <c r="Q27" s="1094"/>
      <c r="R27" s="1095"/>
      <c r="S27" s="1095"/>
      <c r="T27" s="1095"/>
      <c r="U27" s="1095"/>
      <c r="V27" s="1095"/>
      <c r="W27" s="1095"/>
      <c r="X27" s="1095"/>
      <c r="Y27" s="1095"/>
      <c r="Z27" s="1095"/>
    </row>
    <row r="28" spans="1:26">
      <c r="A28" s="1097">
        <v>4</v>
      </c>
      <c r="B28" s="619" t="s">
        <v>520</v>
      </c>
      <c r="C28" s="619"/>
      <c r="D28" s="619"/>
      <c r="E28" s="619"/>
      <c r="F28" s="619"/>
      <c r="G28" s="1098"/>
      <c r="H28" s="1099">
        <f t="shared" ref="H28:Z28" si="6">H13-H26</f>
        <v>1978.5575690072856</v>
      </c>
      <c r="I28" s="1099">
        <f t="shared" si="6"/>
        <v>2697.4922670180686</v>
      </c>
      <c r="J28" s="1099">
        <f t="shared" si="6"/>
        <v>3134.0905030635681</v>
      </c>
      <c r="K28" s="1099">
        <f t="shared" si="6"/>
        <v>3310.9971811668479</v>
      </c>
      <c r="L28" s="1099">
        <f t="shared" si="6"/>
        <v>3500.4534196816603</v>
      </c>
      <c r="M28" s="1099">
        <f t="shared" si="6"/>
        <v>3699.5699725832742</v>
      </c>
      <c r="N28" s="1099">
        <f t="shared" si="6"/>
        <v>3910.3665867999612</v>
      </c>
      <c r="O28" s="1099">
        <f t="shared" si="6"/>
        <v>4132.7533927609429</v>
      </c>
      <c r="P28" s="1099">
        <f t="shared" si="6"/>
        <v>4366.014958802436</v>
      </c>
      <c r="Q28" s="1099">
        <f t="shared" si="6"/>
        <v>4618.3422555136076</v>
      </c>
      <c r="R28" s="1099">
        <f t="shared" si="6"/>
        <v>4884.2116135703181</v>
      </c>
      <c r="S28" s="1099">
        <f t="shared" si="6"/>
        <v>5165.0019190497333</v>
      </c>
      <c r="T28" s="1099">
        <f t="shared" si="6"/>
        <v>5463.4866794214213</v>
      </c>
      <c r="U28" s="1099">
        <f t="shared" si="6"/>
        <v>5779.5830747541495</v>
      </c>
      <c r="V28" s="1099">
        <f t="shared" si="6"/>
        <v>6114.1803277265008</v>
      </c>
      <c r="W28" s="1099">
        <f t="shared" si="6"/>
        <v>6465.8894393536766</v>
      </c>
      <c r="X28" s="1099">
        <f t="shared" si="6"/>
        <v>6837.3221967736108</v>
      </c>
      <c r="Y28" s="1099">
        <f t="shared" si="6"/>
        <v>7228.7619571325313</v>
      </c>
      <c r="Z28" s="1099">
        <f t="shared" si="6"/>
        <v>7644.767339678021</v>
      </c>
    </row>
    <row r="29" spans="1:26">
      <c r="A29" s="1077"/>
      <c r="B29" s="1078" t="s">
        <v>36</v>
      </c>
      <c r="C29" s="1060">
        <f t="shared" ref="C29:E29" si="7">-C12</f>
        <v>-434.71000000000004</v>
      </c>
      <c r="D29" s="1060">
        <f t="shared" si="7"/>
        <v>-2173.5299999999997</v>
      </c>
      <c r="E29" s="1060">
        <f t="shared" si="7"/>
        <v>-3042.94</v>
      </c>
      <c r="F29" s="1060">
        <f>-F12</f>
        <v>-3042.94</v>
      </c>
      <c r="G29" s="1061"/>
      <c r="H29" s="1079">
        <f>H28+SUM(C29:F29)</f>
        <v>-6715.5624309927152</v>
      </c>
      <c r="I29" s="1079">
        <f t="shared" ref="I29:Z29" si="8">I28</f>
        <v>2697.4922670180686</v>
      </c>
      <c r="J29" s="1079">
        <f t="shared" si="8"/>
        <v>3134.0905030635681</v>
      </c>
      <c r="K29" s="1079">
        <f t="shared" si="8"/>
        <v>3310.9971811668479</v>
      </c>
      <c r="L29" s="1079">
        <f t="shared" si="8"/>
        <v>3500.4534196816603</v>
      </c>
      <c r="M29" s="1079">
        <f t="shared" si="8"/>
        <v>3699.5699725832742</v>
      </c>
      <c r="N29" s="1079">
        <f t="shared" si="8"/>
        <v>3910.3665867999612</v>
      </c>
      <c r="O29" s="1079">
        <f t="shared" si="8"/>
        <v>4132.7533927609429</v>
      </c>
      <c r="P29" s="1079">
        <f t="shared" si="8"/>
        <v>4366.014958802436</v>
      </c>
      <c r="Q29" s="1079">
        <f t="shared" si="8"/>
        <v>4618.3422555136076</v>
      </c>
      <c r="R29" s="1079">
        <f t="shared" si="8"/>
        <v>4884.2116135703181</v>
      </c>
      <c r="S29" s="1079">
        <f t="shared" si="8"/>
        <v>5165.0019190497333</v>
      </c>
      <c r="T29" s="1079">
        <f t="shared" si="8"/>
        <v>5463.4866794214213</v>
      </c>
      <c r="U29" s="1079">
        <f t="shared" si="8"/>
        <v>5779.5830747541495</v>
      </c>
      <c r="V29" s="1079">
        <f t="shared" si="8"/>
        <v>6114.1803277265008</v>
      </c>
      <c r="W29" s="1079">
        <f t="shared" si="8"/>
        <v>6465.8894393536766</v>
      </c>
      <c r="X29" s="1079">
        <f t="shared" si="8"/>
        <v>6837.3221967736108</v>
      </c>
      <c r="Y29" s="1079">
        <f t="shared" si="8"/>
        <v>7228.7619571325313</v>
      </c>
      <c r="Z29" s="1079">
        <f t="shared" si="8"/>
        <v>7644.767339678021</v>
      </c>
    </row>
    <row r="30" spans="1:26">
      <c r="A30" s="1048"/>
      <c r="B30" s="1084" t="s">
        <v>523</v>
      </c>
      <c r="C30" s="1050"/>
      <c r="D30" s="1050"/>
      <c r="E30" s="1050"/>
      <c r="F30" s="1050"/>
      <c r="G30" s="1082"/>
      <c r="H30" s="709">
        <f>H28/H13</f>
        <v>0.44341697715401884</v>
      </c>
      <c r="I30" s="709">
        <f t="shared" ref="I30:Z30" si="9">I28/I13</f>
        <v>0.47463932153253496</v>
      </c>
      <c r="J30" s="709">
        <f t="shared" si="9"/>
        <v>0.49066623173912094</v>
      </c>
      <c r="K30" s="709">
        <f t="shared" si="9"/>
        <v>0.49087396495791075</v>
      </c>
      <c r="L30" s="709">
        <f t="shared" si="9"/>
        <v>0.49143257997987394</v>
      </c>
      <c r="M30" s="709">
        <f t="shared" si="9"/>
        <v>0.49182581008209375</v>
      </c>
      <c r="N30" s="709">
        <f t="shared" si="9"/>
        <v>0.49225486115803541</v>
      </c>
      <c r="O30" s="709">
        <f t="shared" si="9"/>
        <v>0.49262518684699924</v>
      </c>
      <c r="P30" s="709">
        <f t="shared" si="9"/>
        <v>0.4927868399935314</v>
      </c>
      <c r="Q30" s="709">
        <f t="shared" si="9"/>
        <v>0.49357028363002819</v>
      </c>
      <c r="R30" s="709">
        <f t="shared" si="9"/>
        <v>0.49424090325711023</v>
      </c>
      <c r="S30" s="709">
        <f t="shared" si="9"/>
        <v>0.49486689878190482</v>
      </c>
      <c r="T30" s="709">
        <f t="shared" si="9"/>
        <v>0.49562586340748455</v>
      </c>
      <c r="U30" s="709">
        <f t="shared" si="9"/>
        <v>0.49640855113468529</v>
      </c>
      <c r="V30" s="709">
        <f t="shared" si="9"/>
        <v>0.49720128234257871</v>
      </c>
      <c r="W30" s="709">
        <f t="shared" si="9"/>
        <v>0.49781293003933574</v>
      </c>
      <c r="X30" s="709">
        <f t="shared" si="9"/>
        <v>0.49837994726168727</v>
      </c>
      <c r="Y30" s="709">
        <f t="shared" si="9"/>
        <v>0.49884753757569861</v>
      </c>
      <c r="Z30" s="709">
        <f t="shared" si="9"/>
        <v>0.49944816410972404</v>
      </c>
    </row>
    <row r="31" spans="1:26">
      <c r="A31" s="1048"/>
      <c r="B31" s="1084" t="s">
        <v>37</v>
      </c>
      <c r="C31" s="1050"/>
      <c r="D31" s="1050"/>
      <c r="E31" s="1050"/>
      <c r="F31" s="1050"/>
      <c r="G31" s="1082">
        <v>1</v>
      </c>
      <c r="H31" s="1068">
        <f>G31/(1+0.1)</f>
        <v>0.90909090909090906</v>
      </c>
      <c r="I31" s="1068">
        <f>H31/(1+0.1)</f>
        <v>0.82644628099173545</v>
      </c>
      <c r="J31" s="1068">
        <f t="shared" ref="J31:Z31" si="10">I31/(1+0.1)</f>
        <v>0.75131480090157765</v>
      </c>
      <c r="K31" s="1068">
        <f t="shared" si="10"/>
        <v>0.68301345536507052</v>
      </c>
      <c r="L31" s="1068">
        <f t="shared" si="10"/>
        <v>0.62092132305915493</v>
      </c>
      <c r="M31" s="1068">
        <f t="shared" si="10"/>
        <v>0.56447393005377711</v>
      </c>
      <c r="N31" s="1068">
        <f t="shared" si="10"/>
        <v>0.51315811823070645</v>
      </c>
      <c r="O31" s="1068">
        <f t="shared" si="10"/>
        <v>0.46650738020973309</v>
      </c>
      <c r="P31" s="1068">
        <f t="shared" si="10"/>
        <v>0.42409761837248461</v>
      </c>
      <c r="Q31" s="1068">
        <f t="shared" si="10"/>
        <v>0.38554328942953142</v>
      </c>
      <c r="R31" s="1068">
        <f t="shared" si="10"/>
        <v>0.35049389948139215</v>
      </c>
      <c r="S31" s="1068">
        <f t="shared" si="10"/>
        <v>0.31863081771035645</v>
      </c>
      <c r="T31" s="1068">
        <f t="shared" si="10"/>
        <v>0.28966437973668768</v>
      </c>
      <c r="U31" s="1068">
        <f t="shared" si="10"/>
        <v>0.26333125430607968</v>
      </c>
      <c r="V31" s="1068">
        <f t="shared" si="10"/>
        <v>0.23939204936916333</v>
      </c>
      <c r="W31" s="1068">
        <f t="shared" si="10"/>
        <v>0.21762913579014848</v>
      </c>
      <c r="X31" s="1068">
        <f t="shared" si="10"/>
        <v>0.19784466890013497</v>
      </c>
      <c r="Y31" s="1068">
        <f t="shared" si="10"/>
        <v>0.17985878990921358</v>
      </c>
      <c r="Z31" s="1068">
        <f t="shared" si="10"/>
        <v>0.16350799082655779</v>
      </c>
    </row>
    <row r="32" spans="1:26" hidden="1">
      <c r="A32" s="1048"/>
      <c r="B32" s="1050" t="s">
        <v>38</v>
      </c>
      <c r="C32" s="1060"/>
      <c r="D32" s="1060"/>
      <c r="E32" s="1060"/>
      <c r="F32" s="1060"/>
      <c r="G32" s="672"/>
      <c r="H32" s="657">
        <f>H29*H31</f>
        <v>-6105.056755447923</v>
      </c>
      <c r="I32" s="657">
        <f t="shared" ref="I32:Z32" si="11">I29*I31</f>
        <v>2229.3324520810484</v>
      </c>
      <c r="J32" s="657">
        <f t="shared" si="11"/>
        <v>2354.6885823167299</v>
      </c>
      <c r="K32" s="657">
        <f t="shared" si="11"/>
        <v>2261.455625412777</v>
      </c>
      <c r="L32" s="657">
        <f t="shared" si="11"/>
        <v>2173.5061686556796</v>
      </c>
      <c r="M32" s="657">
        <f t="shared" si="11"/>
        <v>2088.3108019330252</v>
      </c>
      <c r="N32" s="657">
        <f t="shared" si="11"/>
        <v>2006.6363592744985</v>
      </c>
      <c r="O32" s="657">
        <f t="shared" si="11"/>
        <v>1927.9599583097936</v>
      </c>
      <c r="P32" s="657">
        <f t="shared" si="11"/>
        <v>1851.6165458067546</v>
      </c>
      <c r="Q32" s="657">
        <f t="shared" si="11"/>
        <v>1780.5708649021178</v>
      </c>
      <c r="R32" s="657">
        <f t="shared" si="11"/>
        <v>1711.8863743325633</v>
      </c>
      <c r="S32" s="657">
        <f t="shared" si="11"/>
        <v>1645.7287849423767</v>
      </c>
      <c r="T32" s="657">
        <f t="shared" si="11"/>
        <v>1582.5774801942614</v>
      </c>
      <c r="U32" s="657">
        <f t="shared" si="11"/>
        <v>1521.9448604411989</v>
      </c>
      <c r="V32" s="657">
        <f t="shared" si="11"/>
        <v>1463.6861588670697</v>
      </c>
      <c r="W32" s="657">
        <f t="shared" si="11"/>
        <v>1407.1659308011883</v>
      </c>
      <c r="X32" s="657">
        <f t="shared" si="11"/>
        <v>1352.7277461842184</v>
      </c>
      <c r="Y32" s="657">
        <f t="shared" si="11"/>
        <v>1300.1563781516156</v>
      </c>
      <c r="Z32" s="657">
        <f t="shared" si="11"/>
        <v>1249.9805480472423</v>
      </c>
    </row>
    <row r="33" spans="1:27" hidden="1">
      <c r="A33" s="1048"/>
      <c r="B33" s="1050" t="s">
        <v>39</v>
      </c>
      <c r="C33" s="1050"/>
      <c r="D33" s="1050"/>
      <c r="E33" s="1050"/>
      <c r="F33" s="1050"/>
      <c r="G33" s="672"/>
      <c r="H33" s="657">
        <f>H29</f>
        <v>-6715.5624309927152</v>
      </c>
      <c r="I33" s="657">
        <f t="shared" ref="I33:Z33" si="12">I29</f>
        <v>2697.4922670180686</v>
      </c>
      <c r="J33" s="657">
        <f t="shared" si="12"/>
        <v>3134.0905030635681</v>
      </c>
      <c r="K33" s="657">
        <f t="shared" si="12"/>
        <v>3310.9971811668479</v>
      </c>
      <c r="L33" s="657">
        <f t="shared" si="12"/>
        <v>3500.4534196816603</v>
      </c>
      <c r="M33" s="657">
        <f t="shared" si="12"/>
        <v>3699.5699725832742</v>
      </c>
      <c r="N33" s="657">
        <f t="shared" si="12"/>
        <v>3910.3665867999612</v>
      </c>
      <c r="O33" s="657">
        <f t="shared" si="12"/>
        <v>4132.7533927609429</v>
      </c>
      <c r="P33" s="657">
        <f t="shared" si="12"/>
        <v>4366.014958802436</v>
      </c>
      <c r="Q33" s="657">
        <f t="shared" si="12"/>
        <v>4618.3422555136076</v>
      </c>
      <c r="R33" s="657">
        <f t="shared" si="12"/>
        <v>4884.2116135703181</v>
      </c>
      <c r="S33" s="657">
        <f t="shared" si="12"/>
        <v>5165.0019190497333</v>
      </c>
      <c r="T33" s="657">
        <f t="shared" si="12"/>
        <v>5463.4866794214213</v>
      </c>
      <c r="U33" s="657">
        <f t="shared" si="12"/>
        <v>5779.5830747541495</v>
      </c>
      <c r="V33" s="657">
        <f t="shared" si="12"/>
        <v>6114.1803277265008</v>
      </c>
      <c r="W33" s="657">
        <f t="shared" si="12"/>
        <v>6465.8894393536766</v>
      </c>
      <c r="X33" s="657">
        <f t="shared" si="12"/>
        <v>6837.3221967736108</v>
      </c>
      <c r="Y33" s="657">
        <f t="shared" si="12"/>
        <v>7228.7619571325313</v>
      </c>
      <c r="Z33" s="657">
        <f t="shared" si="12"/>
        <v>7644.767339678021</v>
      </c>
    </row>
    <row r="34" spans="1:27" hidden="1">
      <c r="A34" s="1049"/>
      <c r="B34" s="1051" t="s">
        <v>495</v>
      </c>
      <c r="C34" s="1051"/>
      <c r="D34" s="1051"/>
      <c r="E34" s="1051"/>
      <c r="F34" s="1051"/>
      <c r="G34" s="676"/>
      <c r="H34" s="677">
        <f>H29</f>
        <v>-6715.5624309927152</v>
      </c>
      <c r="I34" s="677">
        <f>H34+I29</f>
        <v>-4018.0701639746467</v>
      </c>
      <c r="J34" s="677">
        <f t="shared" ref="J34:Z34" si="13">I34+J29</f>
        <v>-883.97966091107855</v>
      </c>
      <c r="K34" s="677">
        <f t="shared" si="13"/>
        <v>2427.0175202557693</v>
      </c>
      <c r="L34" s="677">
        <f t="shared" si="13"/>
        <v>5927.4709399374296</v>
      </c>
      <c r="M34" s="677">
        <f t="shared" si="13"/>
        <v>9627.0409125207043</v>
      </c>
      <c r="N34" s="677">
        <f t="shared" si="13"/>
        <v>13537.407499320665</v>
      </c>
      <c r="O34" s="677">
        <f t="shared" si="13"/>
        <v>17670.160892081607</v>
      </c>
      <c r="P34" s="677">
        <f t="shared" si="13"/>
        <v>22036.175850884043</v>
      </c>
      <c r="Q34" s="677">
        <f t="shared" si="13"/>
        <v>26654.518106397649</v>
      </c>
      <c r="R34" s="677">
        <f t="shared" si="13"/>
        <v>31538.729719967967</v>
      </c>
      <c r="S34" s="677">
        <f t="shared" si="13"/>
        <v>36703.7316390177</v>
      </c>
      <c r="T34" s="677">
        <f t="shared" si="13"/>
        <v>42167.218318439118</v>
      </c>
      <c r="U34" s="677">
        <f t="shared" si="13"/>
        <v>47946.801393193266</v>
      </c>
      <c r="V34" s="677">
        <f t="shared" si="13"/>
        <v>54060.981720919764</v>
      </c>
      <c r="W34" s="677">
        <f t="shared" si="13"/>
        <v>60526.87116027344</v>
      </c>
      <c r="X34" s="677">
        <f t="shared" si="13"/>
        <v>67364.193357047057</v>
      </c>
      <c r="Y34" s="677">
        <f t="shared" si="13"/>
        <v>74592.955314179591</v>
      </c>
      <c r="Z34" s="677">
        <f t="shared" si="13"/>
        <v>82237.722653857607</v>
      </c>
    </row>
    <row r="35" spans="1:27">
      <c r="A35" s="1048"/>
      <c r="B35" s="1050"/>
      <c r="C35" s="1050"/>
      <c r="D35" s="1050"/>
      <c r="E35" s="1050"/>
      <c r="F35" s="1050"/>
      <c r="G35" s="1082"/>
      <c r="H35" s="657"/>
      <c r="I35" s="657"/>
      <c r="J35" s="657"/>
      <c r="K35" s="657"/>
      <c r="L35" s="657"/>
      <c r="M35" s="657"/>
      <c r="N35" s="657"/>
      <c r="O35" s="657"/>
      <c r="P35" s="657"/>
      <c r="Q35" s="657"/>
      <c r="R35" s="657"/>
      <c r="S35" s="657"/>
      <c r="T35" s="657"/>
      <c r="U35" s="657"/>
      <c r="V35" s="657"/>
      <c r="W35" s="657"/>
      <c r="X35" s="657"/>
      <c r="Y35" s="657"/>
      <c r="Z35" s="657"/>
    </row>
    <row r="36" spans="1:27">
      <c r="A36" s="1048"/>
      <c r="B36" s="1050"/>
      <c r="C36" s="1050"/>
      <c r="D36" s="1050"/>
      <c r="E36" s="1050"/>
      <c r="F36" s="1050"/>
      <c r="G36" s="1082"/>
      <c r="H36" s="657"/>
      <c r="I36" s="657"/>
      <c r="J36" s="657"/>
      <c r="K36" s="657"/>
      <c r="L36" s="657"/>
      <c r="M36" s="657"/>
      <c r="N36" s="657"/>
      <c r="O36" s="657"/>
      <c r="P36" s="657"/>
      <c r="Q36" s="657"/>
      <c r="R36" s="657"/>
      <c r="S36" s="657"/>
      <c r="T36" s="657"/>
      <c r="U36" s="657"/>
      <c r="V36" s="657"/>
      <c r="W36" s="657"/>
      <c r="X36" s="657"/>
      <c r="Y36" s="657"/>
      <c r="Z36" s="657"/>
    </row>
    <row r="37" spans="1:27">
      <c r="A37" s="1048"/>
      <c r="B37" s="1100" t="s">
        <v>40</v>
      </c>
      <c r="C37" s="1101"/>
      <c r="D37" s="1101"/>
      <c r="E37" s="1101"/>
      <c r="F37" s="1101"/>
      <c r="G37" s="1102">
        <f>NPV(0%,(H32:Z32))</f>
        <v>25804.874865206235</v>
      </c>
      <c r="H37" s="1103"/>
      <c r="I37" s="1068"/>
      <c r="J37" s="1068"/>
      <c r="K37" s="1068"/>
      <c r="L37" s="1068"/>
      <c r="M37" s="1068"/>
      <c r="N37" s="1068"/>
      <c r="O37" s="1068"/>
      <c r="P37" s="1068"/>
      <c r="Q37" s="1068"/>
      <c r="R37" s="1068"/>
      <c r="S37" s="1068"/>
      <c r="T37" s="1068"/>
      <c r="U37" s="1068"/>
      <c r="V37" s="1068"/>
      <c r="W37" s="1068"/>
      <c r="X37" s="1068"/>
      <c r="Y37" s="1068"/>
      <c r="Z37" s="1068"/>
    </row>
    <row r="38" spans="1:27">
      <c r="A38" s="1048"/>
      <c r="B38" s="1104" t="s">
        <v>41</v>
      </c>
      <c r="C38" s="1105"/>
      <c r="D38" s="1105"/>
      <c r="E38" s="1105"/>
      <c r="F38" s="1105"/>
      <c r="G38" s="1106">
        <f>IRR(C29:Z29,0.1)</f>
        <v>0.19196651560238265</v>
      </c>
      <c r="H38" s="1107"/>
      <c r="I38" s="1068"/>
      <c r="J38" s="1068"/>
      <c r="K38" s="1068"/>
      <c r="L38" s="1068"/>
      <c r="M38" s="1068"/>
      <c r="N38" s="1068"/>
      <c r="O38" s="1068"/>
      <c r="P38" s="1068"/>
      <c r="Q38" s="1068"/>
      <c r="R38" s="1068"/>
      <c r="S38" s="1068"/>
      <c r="T38" s="1068"/>
      <c r="U38" s="1068"/>
      <c r="V38" s="1068"/>
      <c r="W38" s="1068"/>
      <c r="X38" s="1068"/>
      <c r="Y38" s="1068"/>
      <c r="Z38" s="1068"/>
    </row>
    <row r="39" spans="1:27">
      <c r="A39" s="1048"/>
      <c r="B39" s="1108" t="s">
        <v>582</v>
      </c>
      <c r="C39" s="1109"/>
      <c r="D39" s="1109"/>
      <c r="E39" s="1109"/>
      <c r="F39" s="1109"/>
      <c r="G39" s="1110">
        <f>IF(SUM(H44:Z44)&lt;=25,SUM(H44:Z44)," N/A ")</f>
        <v>3.2669829095413334</v>
      </c>
      <c r="H39" s="1111"/>
      <c r="I39" s="1068"/>
      <c r="J39" s="1068"/>
      <c r="K39" s="1068"/>
      <c r="L39" s="1068"/>
      <c r="M39" s="1068"/>
      <c r="N39" s="1068"/>
      <c r="O39" s="1068"/>
      <c r="P39" s="1068"/>
      <c r="Q39" s="1068"/>
      <c r="R39" s="1068"/>
      <c r="S39" s="1068"/>
      <c r="T39" s="1068"/>
      <c r="U39" s="1068"/>
      <c r="V39" s="1068"/>
      <c r="W39" s="1068"/>
      <c r="X39" s="1068"/>
      <c r="Y39" s="1068"/>
      <c r="Z39" s="1068"/>
    </row>
    <row r="40" spans="1:27" ht="16.5" customHeight="1">
      <c r="A40" s="1048"/>
      <c r="B40" s="1112" t="s">
        <v>583</v>
      </c>
      <c r="C40" s="1113"/>
      <c r="D40" s="1113"/>
      <c r="E40" s="1113"/>
      <c r="F40" s="1113"/>
      <c r="G40" s="1114">
        <f>IF(SUM(H45:Z45)&lt;=25,SUM(H45:Z45)," N/A ")</f>
        <v>3.3908896778594664</v>
      </c>
      <c r="H40" s="1115"/>
      <c r="I40" s="1068"/>
      <c r="J40" s="1068"/>
      <c r="K40" s="1068"/>
      <c r="L40" s="1068"/>
      <c r="M40" s="1068"/>
      <c r="N40" s="1068"/>
      <c r="O40" s="1068"/>
      <c r="P40" s="1068"/>
      <c r="Q40" s="1068"/>
      <c r="R40" s="1068"/>
      <c r="S40" s="1068"/>
      <c r="T40" s="1068"/>
      <c r="U40" s="1068"/>
      <c r="V40" s="1068"/>
      <c r="W40" s="1068"/>
      <c r="X40" s="1068"/>
      <c r="Y40" s="1068"/>
      <c r="Z40" s="1068"/>
    </row>
    <row r="41" spans="1:27" ht="19.5" customHeight="1">
      <c r="A41" s="313"/>
      <c r="H41" s="693">
        <v>1</v>
      </c>
      <c r="I41" s="1116">
        <v>2</v>
      </c>
      <c r="J41" s="1116">
        <v>3</v>
      </c>
      <c r="K41" s="1116">
        <v>4</v>
      </c>
      <c r="L41" s="1116">
        <v>5</v>
      </c>
      <c r="M41" s="1116">
        <v>6</v>
      </c>
      <c r="N41" s="1116">
        <v>7</v>
      </c>
      <c r="O41" s="1116">
        <v>8</v>
      </c>
      <c r="P41" s="1116">
        <v>9</v>
      </c>
      <c r="Q41" s="1116">
        <v>10</v>
      </c>
      <c r="R41" s="1116">
        <v>11</v>
      </c>
      <c r="S41" s="1116">
        <v>12</v>
      </c>
      <c r="T41" s="1116">
        <v>13</v>
      </c>
      <c r="U41" s="1116">
        <v>14</v>
      </c>
      <c r="V41" s="1116">
        <v>15</v>
      </c>
      <c r="W41" s="1116">
        <v>16</v>
      </c>
      <c r="X41" s="1116">
        <v>17</v>
      </c>
      <c r="Y41" s="1116">
        <v>18</v>
      </c>
      <c r="Z41" s="1117">
        <v>19</v>
      </c>
    </row>
    <row r="42" spans="1:27" ht="14.25" customHeight="1">
      <c r="A42" s="1052"/>
      <c r="B42" s="1118" t="s">
        <v>502</v>
      </c>
      <c r="H42" s="693">
        <f>IF(H34&lt;0,1,IF(H33=0,0,-G34/H33))</f>
        <v>1</v>
      </c>
      <c r="I42" s="693">
        <f t="shared" ref="I42:Z42" si="14">IF(I34&lt;0,1,IF(I33=0,0,-H34/I33))</f>
        <v>1</v>
      </c>
      <c r="J42" s="693">
        <f t="shared" si="14"/>
        <v>1</v>
      </c>
      <c r="K42" s="693">
        <f t="shared" si="14"/>
        <v>0.26698290954133341</v>
      </c>
      <c r="L42" s="693">
        <f t="shared" si="14"/>
        <v>-0.69334375558595152</v>
      </c>
      <c r="M42" s="693">
        <f t="shared" si="14"/>
        <v>-1.6022053870759725</v>
      </c>
      <c r="N42" s="693">
        <f t="shared" si="14"/>
        <v>-2.4619279801076064</v>
      </c>
      <c r="O42" s="693">
        <f t="shared" si="14"/>
        <v>-3.2756388327048986</v>
      </c>
      <c r="P42" s="693">
        <f t="shared" si="14"/>
        <v>-4.0472057605886889</v>
      </c>
      <c r="Q42" s="693">
        <f t="shared" si="14"/>
        <v>-4.771447119272322</v>
      </c>
      <c r="R42" s="693">
        <f t="shared" si="14"/>
        <v>-5.4572815871328348</v>
      </c>
      <c r="S42" s="693">
        <f t="shared" si="14"/>
        <v>-6.1062377544615742</v>
      </c>
      <c r="T42" s="693">
        <f t="shared" si="14"/>
        <v>-6.7180051481162568</v>
      </c>
      <c r="U42" s="693">
        <f t="shared" si="14"/>
        <v>-7.2958927613014399</v>
      </c>
      <c r="V42" s="693">
        <f t="shared" si="14"/>
        <v>-7.8419017469544974</v>
      </c>
      <c r="W42" s="693">
        <f t="shared" si="14"/>
        <v>-8.3609505278400871</v>
      </c>
      <c r="X42" s="693">
        <f t="shared" si="14"/>
        <v>-8.852423422262417</v>
      </c>
      <c r="Y42" s="693">
        <f t="shared" si="14"/>
        <v>-9.3189115586493525</v>
      </c>
      <c r="Z42" s="695">
        <f t="shared" si="14"/>
        <v>-9.7573872427779165</v>
      </c>
    </row>
    <row r="43" spans="1:27">
      <c r="A43" s="82"/>
      <c r="B43" s="1118" t="s">
        <v>503</v>
      </c>
      <c r="H43" s="693">
        <f>IF(H34&lt;0,1,IF(H32=0,0,-G34/H32))</f>
        <v>1</v>
      </c>
      <c r="I43" s="693">
        <f>IF(I34&lt;0,1,IF(I32=0,0,-H34/I32))</f>
        <v>1</v>
      </c>
      <c r="J43" s="693">
        <f t="shared" ref="J43:Z43" si="15">IF(J34&lt;0,1,IF(J32=0,0,-I34/J32))</f>
        <v>1</v>
      </c>
      <c r="K43" s="693">
        <f t="shared" si="15"/>
        <v>0.39088967785946643</v>
      </c>
      <c r="L43" s="693">
        <f t="shared" si="15"/>
        <v>-1.1166370518087314</v>
      </c>
      <c r="M43" s="693">
        <f t="shared" si="15"/>
        <v>-2.8384045777336984</v>
      </c>
      <c r="N43" s="693">
        <f t="shared" si="15"/>
        <v>-4.7976011538041554</v>
      </c>
      <c r="O43" s="693">
        <f t="shared" si="15"/>
        <v>-7.0216227473876875</v>
      </c>
      <c r="P43" s="693">
        <f t="shared" si="15"/>
        <v>-9.5430994781820058</v>
      </c>
      <c r="Q43" s="693">
        <f t="shared" si="15"/>
        <v>-12.375904989378462</v>
      </c>
      <c r="R43" s="693">
        <f t="shared" si="15"/>
        <v>-15.570261266195201</v>
      </c>
      <c r="S43" s="693">
        <f t="shared" si="15"/>
        <v>-19.163989843607347</v>
      </c>
      <c r="T43" s="693">
        <f t="shared" si="15"/>
        <v>-23.192375790986432</v>
      </c>
      <c r="U43" s="693">
        <f t="shared" si="15"/>
        <v>-27.706140619453979</v>
      </c>
      <c r="V43" s="693">
        <f t="shared" si="15"/>
        <v>-32.757569717203111</v>
      </c>
      <c r="W43" s="693">
        <f t="shared" si="15"/>
        <v>-38.418341815694355</v>
      </c>
      <c r="X43" s="693">
        <f t="shared" si="15"/>
        <v>-44.744311138000946</v>
      </c>
      <c r="Y43" s="693">
        <f t="shared" si="15"/>
        <v>-51.812377717837485</v>
      </c>
      <c r="Z43" s="695">
        <f t="shared" si="15"/>
        <v>-59.67529289212618</v>
      </c>
    </row>
    <row r="44" spans="1:27">
      <c r="A44" s="1052"/>
      <c r="B44" s="1118" t="s">
        <v>584</v>
      </c>
      <c r="H44" s="1119">
        <f>IF(H42&gt;0,H42,0)</f>
        <v>1</v>
      </c>
      <c r="I44" s="1119">
        <f t="shared" ref="I44:Z45" si="16">IF(I42&gt;0,I42,0)</f>
        <v>1</v>
      </c>
      <c r="J44" s="1119">
        <f t="shared" si="16"/>
        <v>1</v>
      </c>
      <c r="K44" s="1119">
        <f t="shared" si="16"/>
        <v>0.26698290954133341</v>
      </c>
      <c r="L44" s="1119">
        <f t="shared" si="16"/>
        <v>0</v>
      </c>
      <c r="M44" s="1119">
        <f t="shared" si="16"/>
        <v>0</v>
      </c>
      <c r="N44" s="1119">
        <f t="shared" si="16"/>
        <v>0</v>
      </c>
      <c r="O44" s="1119">
        <f t="shared" si="16"/>
        <v>0</v>
      </c>
      <c r="P44" s="1119">
        <f t="shared" si="16"/>
        <v>0</v>
      </c>
      <c r="Q44" s="1119">
        <f t="shared" si="16"/>
        <v>0</v>
      </c>
      <c r="R44" s="1119">
        <f t="shared" si="16"/>
        <v>0</v>
      </c>
      <c r="S44" s="1119">
        <f t="shared" si="16"/>
        <v>0</v>
      </c>
      <c r="T44" s="1119">
        <f t="shared" si="16"/>
        <v>0</v>
      </c>
      <c r="U44" s="1119">
        <f t="shared" si="16"/>
        <v>0</v>
      </c>
      <c r="V44" s="1119">
        <f t="shared" si="16"/>
        <v>0</v>
      </c>
      <c r="W44" s="1119">
        <f t="shared" si="16"/>
        <v>0</v>
      </c>
      <c r="X44" s="1119">
        <f t="shared" si="16"/>
        <v>0</v>
      </c>
      <c r="Y44" s="1119">
        <f t="shared" si="16"/>
        <v>0</v>
      </c>
      <c r="Z44" s="1120">
        <f t="shared" si="16"/>
        <v>0</v>
      </c>
      <c r="AA44" s="1120"/>
    </row>
    <row r="45" spans="1:27">
      <c r="A45" s="1052"/>
      <c r="B45" s="1121" t="s">
        <v>585</v>
      </c>
      <c r="C45" s="843"/>
      <c r="D45" s="843"/>
      <c r="E45" s="843"/>
      <c r="F45" s="843"/>
      <c r="G45" s="843"/>
      <c r="H45" s="1122">
        <f>IF(H43&gt;0,H43,0)</f>
        <v>1</v>
      </c>
      <c r="I45" s="1122">
        <f t="shared" si="16"/>
        <v>1</v>
      </c>
      <c r="J45" s="1122">
        <f t="shared" si="16"/>
        <v>1</v>
      </c>
      <c r="K45" s="1122">
        <f t="shared" si="16"/>
        <v>0.39088967785946643</v>
      </c>
      <c r="L45" s="1122">
        <f t="shared" si="16"/>
        <v>0</v>
      </c>
      <c r="M45" s="1122">
        <f t="shared" si="16"/>
        <v>0</v>
      </c>
      <c r="N45" s="1122">
        <f t="shared" si="16"/>
        <v>0</v>
      </c>
      <c r="O45" s="1122">
        <f t="shared" si="16"/>
        <v>0</v>
      </c>
      <c r="P45" s="1122">
        <f t="shared" si="16"/>
        <v>0</v>
      </c>
      <c r="Q45" s="1122">
        <f t="shared" si="16"/>
        <v>0</v>
      </c>
      <c r="R45" s="1122">
        <f t="shared" si="16"/>
        <v>0</v>
      </c>
      <c r="S45" s="1122">
        <f t="shared" si="16"/>
        <v>0</v>
      </c>
      <c r="T45" s="1122">
        <f t="shared" si="16"/>
        <v>0</v>
      </c>
      <c r="U45" s="1122">
        <f t="shared" si="16"/>
        <v>0</v>
      </c>
      <c r="V45" s="1122">
        <f t="shared" si="16"/>
        <v>0</v>
      </c>
      <c r="W45" s="1122">
        <f t="shared" si="16"/>
        <v>0</v>
      </c>
      <c r="X45" s="1122">
        <f t="shared" si="16"/>
        <v>0</v>
      </c>
      <c r="Y45" s="1122">
        <f t="shared" si="16"/>
        <v>0</v>
      </c>
      <c r="Z45" s="1123">
        <f t="shared" si="16"/>
        <v>0</v>
      </c>
    </row>
    <row r="46" spans="1:27">
      <c r="H46" s="1"/>
      <c r="I46" s="1"/>
      <c r="J46" s="1"/>
      <c r="K46" s="1"/>
      <c r="L46" s="1"/>
      <c r="M46" s="1"/>
      <c r="N46" s="1"/>
      <c r="O46" s="1"/>
      <c r="P46" s="1"/>
      <c r="Q46" s="1"/>
      <c r="R46" s="1"/>
      <c r="S46" s="1"/>
      <c r="T46" s="1"/>
      <c r="U46" s="1"/>
      <c r="V46" s="1"/>
      <c r="W46" s="1"/>
      <c r="X46" s="1"/>
      <c r="Y46" s="1"/>
      <c r="Z46" s="1"/>
    </row>
    <row r="47" spans="1:27">
      <c r="A47" s="1"/>
      <c r="H47" s="1"/>
      <c r="I47" s="1"/>
      <c r="J47" s="1"/>
      <c r="K47" s="1"/>
      <c r="L47" s="1"/>
      <c r="M47" s="1"/>
      <c r="N47" s="1"/>
      <c r="O47" s="1"/>
      <c r="P47" s="1"/>
      <c r="Q47" s="1"/>
      <c r="R47" s="1"/>
      <c r="S47" s="1"/>
      <c r="T47" s="1"/>
      <c r="U47" s="1"/>
      <c r="V47" s="1"/>
      <c r="W47" s="1"/>
      <c r="X47" s="1"/>
      <c r="Y47" s="1"/>
      <c r="Z47" s="1"/>
    </row>
    <row r="48" spans="1:27">
      <c r="A48" s="1"/>
      <c r="I48" s="1124"/>
      <c r="J48" s="1447"/>
      <c r="K48" s="1447"/>
      <c r="L48" s="1447"/>
      <c r="M48" s="1447"/>
      <c r="N48" s="1447"/>
    </row>
    <row r="49" spans="1:26">
      <c r="A49" s="1"/>
      <c r="B49" s="1125" t="s">
        <v>586</v>
      </c>
      <c r="C49" s="1126">
        <v>4.4999999999999998E-2</v>
      </c>
    </row>
    <row r="50" spans="1:26">
      <c r="A50" s="1"/>
      <c r="B50" s="1125" t="s">
        <v>456</v>
      </c>
      <c r="C50" s="1127">
        <v>4</v>
      </c>
      <c r="L50" s="1128"/>
      <c r="M50" s="1128"/>
      <c r="N50" s="1128"/>
      <c r="O50" s="1128"/>
      <c r="P50" s="1128"/>
      <c r="Q50" s="1128"/>
    </row>
    <row r="51" spans="1:26">
      <c r="A51" s="1"/>
    </row>
    <row r="52" spans="1:26">
      <c r="B52" s="1129" t="s">
        <v>587</v>
      </c>
      <c r="C52" s="1129"/>
      <c r="D52" s="1129"/>
      <c r="E52" s="1129"/>
      <c r="F52" s="1129"/>
      <c r="G52" s="1129"/>
      <c r="H52" s="922">
        <f t="shared" ref="H52:Z52" si="17">H14/((350000)*H3)*10^7</f>
        <v>74749.50916666667</v>
      </c>
      <c r="I52" s="922">
        <f t="shared" si="17"/>
        <v>79050.595924116657</v>
      </c>
      <c r="J52" s="922">
        <f t="shared" si="17"/>
        <v>83599.167213590321</v>
      </c>
      <c r="K52" s="922">
        <f t="shared" si="17"/>
        <v>88409.463295060283</v>
      </c>
      <c r="L52" s="922">
        <f t="shared" si="17"/>
        <v>93496.543813058059</v>
      </c>
      <c r="M52" s="922">
        <f t="shared" si="17"/>
        <v>98876.334944061411</v>
      </c>
      <c r="N52" s="922">
        <f t="shared" si="17"/>
        <v>104565.67925674266</v>
      </c>
      <c r="O52" s="922">
        <f t="shared" si="17"/>
        <v>110582.38844117564</v>
      </c>
      <c r="P52" s="922">
        <f t="shared" si="17"/>
        <v>116945.29907208083</v>
      </c>
      <c r="Q52" s="922">
        <f t="shared" si="17"/>
        <v>123674.33158068836</v>
      </c>
      <c r="R52" s="922">
        <f t="shared" si="17"/>
        <v>130790.55261984115</v>
      </c>
      <c r="S52" s="922">
        <f t="shared" si="17"/>
        <v>138316.24101758681</v>
      </c>
      <c r="T52" s="922">
        <f t="shared" si="17"/>
        <v>146274.95752573875</v>
      </c>
      <c r="U52" s="922">
        <f t="shared" si="17"/>
        <v>154691.61858176976</v>
      </c>
      <c r="V52" s="922">
        <f t="shared" si="17"/>
        <v>163592.57431496476</v>
      </c>
      <c r="W52" s="922">
        <f t="shared" si="17"/>
        <v>173005.69104104786</v>
      </c>
      <c r="X52" s="922">
        <f t="shared" si="17"/>
        <v>182960.43850354964</v>
      </c>
      <c r="Y52" s="922">
        <f t="shared" si="17"/>
        <v>193487.98213504389</v>
      </c>
      <c r="Z52" s="922">
        <f t="shared" si="17"/>
        <v>204621.28062709427</v>
      </c>
    </row>
    <row r="53" spans="1:26">
      <c r="B53" s="1129" t="s">
        <v>588</v>
      </c>
      <c r="H53" s="922">
        <f>H15/((200000)*90%)*10^7</f>
        <v>77038.391071428574</v>
      </c>
      <c r="I53" s="922">
        <f t="shared" ref="I53:Z53" si="18">I15/((200000)*100%)*10^7</f>
        <v>81551.685212348224</v>
      </c>
      <c r="J53" s="922">
        <f t="shared" si="18"/>
        <v>86329.390690513625</v>
      </c>
      <c r="K53" s="922">
        <f t="shared" si="18"/>
        <v>91386.998044117368</v>
      </c>
      <c r="L53" s="922">
        <f t="shared" si="18"/>
        <v>96740.905324531981</v>
      </c>
      <c r="M53" s="922">
        <f t="shared" si="18"/>
        <v>102408.47126296967</v>
      </c>
      <c r="N53" s="922">
        <f t="shared" si="18"/>
        <v>108408.0715519107</v>
      </c>
      <c r="O53" s="922">
        <f t="shared" si="18"/>
        <v>114759.15842377942</v>
      </c>
      <c r="P53" s="922">
        <f t="shared" si="18"/>
        <v>121482.32372003648</v>
      </c>
      <c r="Q53" s="922">
        <f t="shared" si="18"/>
        <v>128599.36565517483</v>
      </c>
      <c r="R53" s="922">
        <f t="shared" si="18"/>
        <v>136133.35949208323</v>
      </c>
      <c r="S53" s="922">
        <f t="shared" si="18"/>
        <v>144108.73235792693</v>
      </c>
      <c r="T53" s="922">
        <f t="shared" si="18"/>
        <v>152551.34244311607</v>
      </c>
      <c r="U53" s="922">
        <f t="shared" si="18"/>
        <v>161488.56284014598</v>
      </c>
      <c r="V53" s="922">
        <f t="shared" si="18"/>
        <v>170949.37029413591</v>
      </c>
      <c r="W53" s="922">
        <f t="shared" si="18"/>
        <v>180964.43915281785</v>
      </c>
      <c r="X53" s="922">
        <f t="shared" si="18"/>
        <v>191566.2408205856</v>
      </c>
      <c r="Y53" s="922">
        <f t="shared" si="18"/>
        <v>202789.14903905967</v>
      </c>
      <c r="Z53" s="922">
        <f t="shared" si="18"/>
        <v>214669.55133551292</v>
      </c>
    </row>
    <row r="54" spans="1:26">
      <c r="B54" s="1129" t="s">
        <v>589</v>
      </c>
      <c r="H54" s="922">
        <f>H16/((200000)*90%)*10^7</f>
        <v>36032.882845758926</v>
      </c>
      <c r="I54" s="922">
        <f t="shared" ref="I54:Z54" si="19">I16/((200000)*90%)*10^7</f>
        <v>42340.238805226545</v>
      </c>
      <c r="J54" s="922">
        <f t="shared" si="19"/>
        <v>44776.496146079284</v>
      </c>
      <c r="K54" s="922">
        <f t="shared" si="19"/>
        <v>47352.935734324681</v>
      </c>
      <c r="L54" s="922">
        <f t="shared" si="19"/>
        <v>50077.623656477706</v>
      </c>
      <c r="M54" s="922">
        <f t="shared" si="19"/>
        <v>52959.090121671434</v>
      </c>
      <c r="N54" s="922">
        <f t="shared" si="19"/>
        <v>56006.356167272403</v>
      </c>
      <c r="O54" s="922">
        <f t="shared" si="19"/>
        <v>59228.961901137256</v>
      </c>
      <c r="P54" s="922">
        <f t="shared" si="19"/>
        <v>62636.996368928674</v>
      </c>
      <c r="Q54" s="922">
        <f t="shared" si="19"/>
        <v>66241.129139996818</v>
      </c>
      <c r="R54" s="922">
        <f t="shared" si="19"/>
        <v>70052.643710712218</v>
      </c>
      <c r="S54" s="922">
        <f t="shared" si="19"/>
        <v>74083.472829826613</v>
      </c>
      <c r="T54" s="922">
        <f t="shared" si="19"/>
        <v>78346.235856454805</v>
      </c>
      <c r="U54" s="922">
        <f t="shared" si="19"/>
        <v>82854.278267635236</v>
      </c>
      <c r="V54" s="922">
        <f t="shared" si="19"/>
        <v>87621.713439154948</v>
      </c>
      <c r="W54" s="922">
        <f t="shared" si="19"/>
        <v>92663.466830443926</v>
      </c>
      <c r="X54" s="922">
        <f t="shared" si="19"/>
        <v>97995.322711867615</v>
      </c>
      <c r="Y54" s="922">
        <f t="shared" si="19"/>
        <v>103633.97358070849</v>
      </c>
      <c r="Z54" s="922">
        <f t="shared" si="19"/>
        <v>109597.07242054242</v>
      </c>
    </row>
    <row r="55" spans="1:26">
      <c r="B55" s="1" t="s">
        <v>590</v>
      </c>
      <c r="H55" s="856">
        <f>H26/((673000))*10^7</f>
        <v>36902.115614137743</v>
      </c>
      <c r="I55" s="856">
        <f t="shared" ref="I55:Z55" si="20">I26/((673000))*10^7</f>
        <v>44364.847574114021</v>
      </c>
      <c r="J55" s="856">
        <f t="shared" si="20"/>
        <v>48340.681557207754</v>
      </c>
      <c r="K55" s="856">
        <f t="shared" si="20"/>
        <v>51026.884666885839</v>
      </c>
      <c r="L55" s="856">
        <f t="shared" si="20"/>
        <v>53826.213349116115</v>
      </c>
      <c r="M55" s="856">
        <f t="shared" si="20"/>
        <v>56798.578822813375</v>
      </c>
      <c r="N55" s="856">
        <f t="shared" si="20"/>
        <v>59931.917030626297</v>
      </c>
      <c r="O55" s="856">
        <f t="shared" si="20"/>
        <v>63246.532269152056</v>
      </c>
      <c r="P55" s="856">
        <f t="shared" si="20"/>
        <v>66773.104253115947</v>
      </c>
      <c r="Q55" s="856">
        <f t="shared" si="20"/>
        <v>70411.115911412591</v>
      </c>
      <c r="R55" s="856">
        <f t="shared" si="20"/>
        <v>74265.041133223422</v>
      </c>
      <c r="S55" s="856">
        <f t="shared" si="20"/>
        <v>78338.066159381604</v>
      </c>
      <c r="T55" s="856">
        <f t="shared" si="20"/>
        <v>82614.004073210002</v>
      </c>
      <c r="U55" s="856">
        <f t="shared" si="20"/>
        <v>87120.536131669389</v>
      </c>
      <c r="V55" s="856">
        <f t="shared" si="20"/>
        <v>91872.408207094617</v>
      </c>
      <c r="W55" s="856">
        <f t="shared" si="20"/>
        <v>96919.812208713396</v>
      </c>
      <c r="X55" s="856">
        <f t="shared" si="20"/>
        <v>102255.17851292984</v>
      </c>
      <c r="Y55" s="856">
        <f t="shared" si="20"/>
        <v>107907.3172195418</v>
      </c>
      <c r="Z55" s="856">
        <f t="shared" si="20"/>
        <v>113843.39691336757</v>
      </c>
    </row>
    <row r="56" spans="1:26">
      <c r="B56" s="1" t="s">
        <v>591</v>
      </c>
      <c r="H56" s="856">
        <f>'[5]Cashflow Phenol'!H19/((223000))*10^7</f>
        <v>66942.302690582947</v>
      </c>
      <c r="I56" s="856">
        <f>'[5]Cashflow Phenol'!I19/((223000))*10^7</f>
        <v>78365.375690582965</v>
      </c>
      <c r="J56" s="856">
        <f>'[5]Cashflow Phenol'!J19/((223000))*10^7</f>
        <v>82690.341409502944</v>
      </c>
      <c r="K56" s="856">
        <f>'[5]Cashflow Phenol'!K19/((223000))*10^7</f>
        <v>87255.877645965389</v>
      </c>
      <c r="L56" s="856">
        <f>'[5]Cashflow Phenol'!L19/((223000))*10^7</f>
        <v>92075.453867103002</v>
      </c>
      <c r="M56" s="856">
        <f>'[5]Cashflow Phenol'!M19/((223000))*10^7</f>
        <v>97163.297789967444</v>
      </c>
      <c r="N56" s="856">
        <f>'[5]Cashflow Phenol'!N19/((223000)*N3)*10^7</f>
        <v>102534.43825598423</v>
      </c>
      <c r="O56" s="856">
        <f>'[5]Cashflow Phenol'!O19/((223000)*O3)*10^7</f>
        <v>108204.7505384189</v>
      </c>
      <c r="P56" s="856">
        <f>'[5]Cashflow Phenol'!P19/((223000)*P3)*10^7</f>
        <v>114191.00422131816</v>
      </c>
      <c r="Q56" s="856">
        <f>'[5]Cashflow Phenol'!Q19/((223000)*Q3)*10^7</f>
        <v>120510.91379629279</v>
      </c>
      <c r="R56" s="856">
        <f>'[5]Cashflow Phenol'!R19/((223000)*R3)*10^7</f>
        <v>127183.19213185504</v>
      </c>
      <c r="S56" s="856">
        <f>'[5]Cashflow Phenol'!S19/((223000)*S3)*10^7</f>
        <v>134227.60697885312</v>
      </c>
      <c r="T56" s="856">
        <f>'[5]Cashflow Phenol'!T19/((223000)*T3)*10^7</f>
        <v>141665.04068487536</v>
      </c>
      <c r="U56" s="856">
        <f>'[5]Cashflow Phenol'!U19/((223000)*U3)*10^7</f>
        <v>149517.55330036281</v>
      </c>
      <c r="V56" s="856">
        <f>'[5]Cashflow Phenol'!V19/((223000)*V3)*10^7</f>
        <v>157808.44926959698</v>
      </c>
      <c r="W56" s="856">
        <f>'[5]Cashflow Phenol'!W19/((223000)*W3)*10^7</f>
        <v>166562.34791075584</v>
      </c>
      <c r="X56" s="856">
        <f>'[5]Cashflow Phenol'!X19/((223000)*X3)*10^7</f>
        <v>175805.25790088519</v>
      </c>
      <c r="Y56" s="856">
        <f>'[5]Cashflow Phenol'!Y19/((223000)*Y3)*10^7</f>
        <v>185564.65599395722</v>
      </c>
      <c r="Z56" s="856">
        <f>'[5]Cashflow Phenol'!Z19/((223000)*Z3)*10^7</f>
        <v>195869.57021321007</v>
      </c>
    </row>
    <row r="57" spans="1:26">
      <c r="B57" s="843" t="s">
        <v>592</v>
      </c>
      <c r="H57" s="856">
        <f>H52-H55</f>
        <v>37847.393552528927</v>
      </c>
      <c r="I57" s="856">
        <f t="shared" ref="I57:Z57" si="21">I52-I55</f>
        <v>34685.748350002636</v>
      </c>
      <c r="J57" s="856">
        <f t="shared" si="21"/>
        <v>35258.485656382567</v>
      </c>
      <c r="K57" s="856">
        <f t="shared" si="21"/>
        <v>37382.578628174444</v>
      </c>
      <c r="L57" s="856">
        <f t="shared" si="21"/>
        <v>39670.330463941944</v>
      </c>
      <c r="M57" s="856">
        <f t="shared" si="21"/>
        <v>42077.756121248036</v>
      </c>
      <c r="N57" s="856">
        <f t="shared" si="21"/>
        <v>44633.762226116363</v>
      </c>
      <c r="O57" s="856">
        <f t="shared" si="21"/>
        <v>47335.856172023588</v>
      </c>
      <c r="P57" s="856">
        <f t="shared" si="21"/>
        <v>50172.194818964883</v>
      </c>
      <c r="Q57" s="856">
        <f t="shared" si="21"/>
        <v>53263.215669275771</v>
      </c>
      <c r="R57" s="856">
        <f t="shared" si="21"/>
        <v>56525.511486617732</v>
      </c>
      <c r="S57" s="856">
        <f t="shared" si="21"/>
        <v>59978.17485820521</v>
      </c>
      <c r="T57" s="856">
        <f t="shared" si="21"/>
        <v>63660.953452528745</v>
      </c>
      <c r="U57" s="856">
        <f t="shared" si="21"/>
        <v>67571.082450100366</v>
      </c>
      <c r="V57" s="856">
        <f t="shared" si="21"/>
        <v>71720.166107870144</v>
      </c>
      <c r="W57" s="856">
        <f t="shared" si="21"/>
        <v>76085.878832334463</v>
      </c>
      <c r="X57" s="856">
        <f t="shared" si="21"/>
        <v>80705.259990619801</v>
      </c>
      <c r="Y57" s="856">
        <f t="shared" si="21"/>
        <v>85580.664915502086</v>
      </c>
      <c r="Z57" s="856">
        <f t="shared" si="21"/>
        <v>90777.883713726696</v>
      </c>
    </row>
    <row r="58" spans="1:26">
      <c r="B58" s="843" t="s">
        <v>593</v>
      </c>
      <c r="H58" s="856">
        <f>(H53*0.62)+(H54*0.38)/323000</f>
        <v>47763.84485591259</v>
      </c>
      <c r="I58" s="856">
        <f t="shared" ref="I58:Z58" si="22">(I53*0.62)+(I54*0.38)/323000</f>
        <v>50562.094643701552</v>
      </c>
      <c r="J58" s="856">
        <f t="shared" si="22"/>
        <v>53524.274906349201</v>
      </c>
      <c r="K58" s="856">
        <f t="shared" si="22"/>
        <v>56659.994496688923</v>
      </c>
      <c r="L58" s="856">
        <f t="shared" si="22"/>
        <v>59979.420216061189</v>
      </c>
      <c r="M58" s="856">
        <f t="shared" si="22"/>
        <v>63493.314487853102</v>
      </c>
      <c r="N58" s="856">
        <f t="shared" si="22"/>
        <v>67213.07025201543</v>
      </c>
      <c r="O58" s="856">
        <f t="shared" si="22"/>
        <v>71150.747903874886</v>
      </c>
      <c r="P58" s="856">
        <f t="shared" si="22"/>
        <v>75319.114397006575</v>
      </c>
      <c r="Q58" s="856">
        <f t="shared" si="22"/>
        <v>79731.684636948557</v>
      </c>
      <c r="R58" s="856">
        <f t="shared" si="22"/>
        <v>84402.765299966559</v>
      </c>
      <c r="S58" s="856">
        <f t="shared" si="22"/>
        <v>89347.501218941557</v>
      </c>
      <c r="T58" s="856">
        <f t="shared" si="22"/>
        <v>94581.924486774151</v>
      </c>
      <c r="U58" s="856">
        <f t="shared" si="22"/>
        <v>100123.00643651199</v>
      </c>
      <c r="V58" s="856">
        <f t="shared" si="22"/>
        <v>105988.71266673302</v>
      </c>
      <c r="W58" s="856">
        <f t="shared" si="22"/>
        <v>112198.0612905904</v>
      </c>
      <c r="X58" s="856">
        <f t="shared" si="22"/>
        <v>118771.18459737803</v>
      </c>
      <c r="Y58" s="856">
        <f t="shared" si="22"/>
        <v>125729.39432653887</v>
      </c>
      <c r="Z58" s="856">
        <f t="shared" si="22"/>
        <v>133095.25076575027</v>
      </c>
    </row>
    <row r="59" spans="1:26">
      <c r="H59" s="1130">
        <f>H57/H52</f>
        <v>0.50632297087251454</v>
      </c>
      <c r="I59" s="1128"/>
      <c r="J59" s="1128"/>
      <c r="K59" s="1128"/>
      <c r="L59" s="1128"/>
      <c r="M59" s="1128"/>
      <c r="N59" s="1128"/>
      <c r="P59" s="1128"/>
    </row>
    <row r="60" spans="1:26">
      <c r="B60" s="1" t="s">
        <v>80</v>
      </c>
      <c r="I60" s="1128"/>
      <c r="J60" s="1128"/>
      <c r="K60" s="1128"/>
      <c r="L60" s="1128"/>
      <c r="M60" s="1128"/>
      <c r="N60" s="1128"/>
      <c r="P60" s="1128"/>
    </row>
    <row r="61" spans="1:26">
      <c r="B61" s="1" t="s">
        <v>594</v>
      </c>
    </row>
    <row r="65" spans="2:13">
      <c r="B65" s="1" t="s">
        <v>45</v>
      </c>
    </row>
    <row r="66" spans="2:13">
      <c r="B66" s="1" t="s">
        <v>46</v>
      </c>
    </row>
    <row r="67" spans="2:13">
      <c r="B67" s="1" t="s">
        <v>595</v>
      </c>
    </row>
    <row r="71" spans="2:13">
      <c r="H71" s="1068"/>
      <c r="I71" s="1068"/>
      <c r="J71" s="1068"/>
      <c r="K71" s="1068"/>
      <c r="L71" s="1068"/>
      <c r="M71" s="1068"/>
    </row>
    <row r="72" spans="2:13">
      <c r="H72" s="1131"/>
      <c r="I72" s="1131"/>
      <c r="J72" s="1131"/>
      <c r="K72" s="1131"/>
      <c r="L72" s="1131">
        <v>0.05</v>
      </c>
      <c r="M72" s="1131"/>
    </row>
    <row r="73" spans="2:13">
      <c r="H73" s="1131"/>
      <c r="I73" s="1131"/>
      <c r="J73" s="1131"/>
      <c r="K73" s="1131"/>
      <c r="L73" s="1131"/>
      <c r="M73" s="1131"/>
    </row>
  </sheetData>
  <mergeCells count="9">
    <mergeCell ref="R4:Z4"/>
    <mergeCell ref="B5:B6"/>
    <mergeCell ref="A7:G7"/>
    <mergeCell ref="J48:N48"/>
    <mergeCell ref="A1:H1"/>
    <mergeCell ref="A2:B2"/>
    <mergeCell ref="A3:B3"/>
    <mergeCell ref="A4:B4"/>
    <mergeCell ref="H4:Q4"/>
  </mergeCells>
  <hyperlinks>
    <hyperlink ref="B37" r:id="rId1" display="NPV@12%" xr:uid="{72A6F0A2-E3C2-4B8C-A28F-C2BDEA53E731}"/>
  </hyperlinks>
  <pageMargins left="0.7" right="0.7" top="0.75" bottom="0.75" header="0.3" footer="0.3"/>
  <pageSetup orientation="portrait"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dimension ref="A1:AE112"/>
  <sheetViews>
    <sheetView zoomScale="80" zoomScaleNormal="80" workbookViewId="0">
      <selection activeCell="F17" sqref="F17"/>
    </sheetView>
  </sheetViews>
  <sheetFormatPr defaultColWidth="9.140625" defaultRowHeight="15"/>
  <cols>
    <col min="1" max="1" width="32.28515625" style="208" customWidth="1"/>
    <col min="2" max="2" width="47.85546875" style="208" bestFit="1" customWidth="1"/>
    <col min="3" max="6" width="16.85546875" style="208" customWidth="1"/>
    <col min="7" max="7" width="19" style="259" customWidth="1"/>
    <col min="8" max="8" width="23.85546875" style="208" bestFit="1" customWidth="1"/>
    <col min="9" max="9" width="24.85546875" style="208" bestFit="1" customWidth="1"/>
    <col min="10" max="10" width="25.85546875" style="208" bestFit="1" customWidth="1"/>
    <col min="11" max="26" width="16.85546875" style="208" customWidth="1"/>
    <col min="27" max="16384" width="9.140625" style="208"/>
  </cols>
  <sheetData>
    <row r="1" spans="1:15" ht="18.75">
      <c r="A1" s="207" t="s">
        <v>328</v>
      </c>
      <c r="D1" s="209"/>
      <c r="E1" s="210" t="s">
        <v>329</v>
      </c>
      <c r="F1" s="211"/>
      <c r="G1" s="212" t="s">
        <v>330</v>
      </c>
      <c r="H1" s="213" t="s">
        <v>331</v>
      </c>
      <c r="I1" s="214"/>
      <c r="J1" s="213" t="s">
        <v>229</v>
      </c>
      <c r="K1" s="215">
        <v>78</v>
      </c>
    </row>
    <row r="2" spans="1:15" ht="30">
      <c r="A2" s="216" t="s">
        <v>395</v>
      </c>
      <c r="D2" s="209"/>
      <c r="E2" s="217" t="s">
        <v>332</v>
      </c>
      <c r="F2" s="211"/>
      <c r="G2" s="218" t="s">
        <v>333</v>
      </c>
      <c r="H2" s="219">
        <f>H4*0.7</f>
        <v>397903.625</v>
      </c>
      <c r="J2" s="213" t="s">
        <v>394</v>
      </c>
      <c r="K2" s="310">
        <f>Capex!D22</f>
        <v>1768.675</v>
      </c>
    </row>
    <row r="3" spans="1:15" ht="30">
      <c r="A3" s="220"/>
      <c r="D3" s="209"/>
      <c r="E3" s="221" t="s">
        <v>334</v>
      </c>
      <c r="F3" s="211"/>
      <c r="G3" s="218" t="s">
        <v>335</v>
      </c>
      <c r="H3" s="222">
        <f>H4-H2</f>
        <v>170530.125</v>
      </c>
    </row>
    <row r="4" spans="1:15">
      <c r="A4" s="223"/>
      <c r="E4" s="224"/>
      <c r="G4" s="225" t="s">
        <v>336</v>
      </c>
      <c r="H4" s="226">
        <f>(((9600+$K$2)*10^7)/(B8*1000))</f>
        <v>568433.75</v>
      </c>
    </row>
    <row r="5" spans="1:15" ht="14.25" customHeight="1">
      <c r="A5" s="227"/>
      <c r="B5" s="228"/>
      <c r="C5" s="229"/>
      <c r="G5" s="230" t="s">
        <v>158</v>
      </c>
      <c r="H5" s="219">
        <f>H4*0.15</f>
        <v>85265.0625</v>
      </c>
    </row>
    <row r="6" spans="1:15">
      <c r="G6" s="231"/>
      <c r="H6" s="231"/>
      <c r="I6" s="231"/>
      <c r="J6" s="232"/>
      <c r="L6" s="233"/>
      <c r="M6" s="233"/>
      <c r="N6" s="234"/>
      <c r="O6" s="233"/>
    </row>
    <row r="7" spans="1:15">
      <c r="F7" s="209"/>
      <c r="G7" s="235" t="s">
        <v>337</v>
      </c>
      <c r="H7" s="236"/>
      <c r="I7" s="236"/>
      <c r="J7" s="237"/>
      <c r="K7" s="238"/>
      <c r="N7" s="239"/>
    </row>
    <row r="8" spans="1:15">
      <c r="A8" s="208" t="s">
        <v>338</v>
      </c>
      <c r="B8" s="311">
        <v>200</v>
      </c>
      <c r="C8" s="208" t="s">
        <v>339</v>
      </c>
      <c r="F8" s="209"/>
      <c r="G8" s="240" t="str">
        <f>B21</f>
        <v>Total Raw Material</v>
      </c>
      <c r="H8" s="241" t="str">
        <f>B38</f>
        <v>Total Co-Product Credits</v>
      </c>
      <c r="I8" s="241" t="str">
        <f>B49</f>
        <v>Total Utilities</v>
      </c>
      <c r="J8" s="242" t="str">
        <f>A51</f>
        <v>Total Variable Cost</v>
      </c>
      <c r="K8" s="238"/>
      <c r="L8" s="233"/>
      <c r="M8" s="211"/>
      <c r="N8" s="239"/>
    </row>
    <row r="9" spans="1:15">
      <c r="A9" s="208" t="s">
        <v>340</v>
      </c>
      <c r="B9" s="311">
        <v>100</v>
      </c>
      <c r="C9" s="208" t="s">
        <v>341</v>
      </c>
      <c r="E9" s="243"/>
      <c r="F9" s="209"/>
      <c r="G9" s="244">
        <f>I21</f>
        <v>905.95633965200591</v>
      </c>
      <c r="H9" s="245">
        <f>I38</f>
        <v>583.67056567253451</v>
      </c>
      <c r="I9" s="245">
        <f>I49</f>
        <v>136.60571474358974</v>
      </c>
      <c r="J9" s="246">
        <f>I51</f>
        <v>458.89148872306095</v>
      </c>
      <c r="K9" s="238"/>
      <c r="N9" s="247"/>
    </row>
    <row r="10" spans="1:15" ht="30">
      <c r="A10" s="208" t="s">
        <v>342</v>
      </c>
      <c r="B10" s="312">
        <f>B8*B9/100</f>
        <v>200</v>
      </c>
      <c r="C10" s="208" t="s">
        <v>339</v>
      </c>
      <c r="F10" s="209"/>
      <c r="G10" s="248" t="str">
        <f>B66</f>
        <v>Total Direct Fixed Cost</v>
      </c>
      <c r="H10" s="249" t="str">
        <f>B70</f>
        <v>Total Allocated Fixed Cost</v>
      </c>
      <c r="I10" s="249" t="s">
        <v>343</v>
      </c>
      <c r="J10" s="250" t="str">
        <f>A96</f>
        <v>Ethylene EBITDA</v>
      </c>
      <c r="K10" s="238"/>
    </row>
    <row r="11" spans="1:15" ht="15.75">
      <c r="A11" s="251" t="s">
        <v>344</v>
      </c>
      <c r="F11" s="209"/>
      <c r="G11" s="252">
        <f>I66</f>
        <v>146.01217967017743</v>
      </c>
      <c r="H11" s="253">
        <f>I70</f>
        <v>233.35955139185006</v>
      </c>
      <c r="I11" s="254">
        <f>I73</f>
        <v>838.26321978508861</v>
      </c>
      <c r="J11" s="255">
        <f>I96</f>
        <v>67.095754573885827</v>
      </c>
      <c r="K11" s="238"/>
    </row>
    <row r="12" spans="1:15" ht="15.75">
      <c r="A12" s="251"/>
      <c r="B12" s="231"/>
      <c r="G12" s="256"/>
      <c r="H12" s="224"/>
      <c r="I12" s="224"/>
      <c r="J12" s="224"/>
      <c r="K12" s="239"/>
    </row>
    <row r="13" spans="1:15" ht="15.75">
      <c r="A13" s="257" t="s">
        <v>345</v>
      </c>
      <c r="B13" s="208" t="str">
        <f>[13]Dashboard!B5</f>
        <v>Additional 385 KTPA C3</v>
      </c>
      <c r="C13" s="258"/>
      <c r="K13" s="239"/>
    </row>
    <row r="14" spans="1:15" ht="30">
      <c r="B14" s="224"/>
      <c r="D14" s="259" t="s">
        <v>166</v>
      </c>
      <c r="E14" s="259"/>
      <c r="F14" s="260" t="s">
        <v>346</v>
      </c>
      <c r="G14" s="259" t="s">
        <v>347</v>
      </c>
      <c r="H14" s="259" t="s">
        <v>348</v>
      </c>
      <c r="I14" s="259" t="s">
        <v>349</v>
      </c>
      <c r="J14" s="223"/>
      <c r="K14" s="239"/>
    </row>
    <row r="15" spans="1:15">
      <c r="A15" s="261" t="s">
        <v>350</v>
      </c>
      <c r="F15" s="262">
        <v>1</v>
      </c>
      <c r="G15" s="262">
        <v>2</v>
      </c>
      <c r="I15" s="263"/>
      <c r="J15" s="262"/>
      <c r="K15" s="239"/>
    </row>
    <row r="16" spans="1:15">
      <c r="A16" s="223"/>
      <c r="B16" s="1454" t="s">
        <v>168</v>
      </c>
      <c r="C16" s="1455"/>
      <c r="D16" s="264" t="s">
        <v>167</v>
      </c>
      <c r="F16" s="265">
        <f>Feed!F11</f>
        <v>0.44727242552485269</v>
      </c>
      <c r="G16" s="266">
        <f>[13]Datasheet!B2</f>
        <v>25728</v>
      </c>
      <c r="H16" s="267">
        <f>F16*G16</f>
        <v>11507.42496390341</v>
      </c>
      <c r="I16" s="268">
        <f>H16/$K$1</f>
        <v>147.53108928081295</v>
      </c>
      <c r="J16" s="269"/>
      <c r="K16" s="239"/>
      <c r="L16" s="270"/>
    </row>
    <row r="17" spans="1:12">
      <c r="A17" s="223"/>
      <c r="B17" s="271" t="s">
        <v>1</v>
      </c>
      <c r="C17" s="272"/>
      <c r="D17" s="264" t="s">
        <v>167</v>
      </c>
      <c r="F17" s="265">
        <f>IF([13]Dashboard!$A$5="Current Scenario",'[13]Feedstock Mix (Input)'!C4,IF([13]Dashboard!$A$5="Scenario 1",'[13]Feedstock Mix (Input)'!F4,IF([13]Dashboard!$A$5="Scenario 2",'[13]Feedstock Mix (Input)'!I4,IF([13]Dashboard!$A$5="Scenario 3",'[13]Feedstock Mix (Input)'!L4,IF([13]Dashboard!$A$5="Scenario 4",'[13]Feedstock Mix (Input)'!O4,IF([13]Dashboard!$A$5="Scenario 5",'[13]Feedstock Mix (Input)'!R4,'[13]Feedstock Mix (Input)'!U4))))))</f>
        <v>1.1955986826332192</v>
      </c>
      <c r="G17" s="266">
        <f>[13]Datasheet!B3</f>
        <v>33299</v>
      </c>
      <c r="H17" s="267">
        <f>F17*G17</f>
        <v>39812.240533003569</v>
      </c>
      <c r="I17" s="268">
        <f>H17/$K$1</f>
        <v>510.41334016671243</v>
      </c>
      <c r="J17" s="269"/>
      <c r="K17" s="239"/>
      <c r="L17" s="270"/>
    </row>
    <row r="18" spans="1:12">
      <c r="A18" s="223"/>
      <c r="B18" s="273" t="s">
        <v>0</v>
      </c>
      <c r="C18" s="272"/>
      <c r="D18" s="264" t="s">
        <v>167</v>
      </c>
      <c r="F18" s="265">
        <f>IF([13]Dashboard!$A$5="Current Scenario",'[13]Feedstock Mix (Input)'!C5,IF([13]Dashboard!$A$5="Scenario 1",'[13]Feedstock Mix (Input)'!F5,IF([13]Dashboard!$A$5="Scenario 2",'[13]Feedstock Mix (Input)'!I5,IF([13]Dashboard!$A$5="Scenario 3",'[13]Feedstock Mix (Input)'!L5,IF([13]Dashboard!$A$5="Scenario 4",'[13]Feedstock Mix (Input)'!O5,IF([13]Dashboard!$A$5="Scenario 5",'[13]Feedstock Mix (Input)'!R5,'[13]Feedstock Mix (Input)'!U5))))))</f>
        <v>0.51735668588878092</v>
      </c>
      <c r="G18" s="266">
        <f>[13]Datasheet!B4</f>
        <v>30753</v>
      </c>
      <c r="H18" s="267">
        <f>F18*G18</f>
        <v>15910.27016113768</v>
      </c>
      <c r="I18" s="268">
        <f>H18/$K$1</f>
        <v>203.9778225786882</v>
      </c>
      <c r="J18" s="269"/>
      <c r="K18" s="239"/>
      <c r="L18" s="270"/>
    </row>
    <row r="19" spans="1:12">
      <c r="A19" s="223"/>
      <c r="B19" s="273" t="s">
        <v>169</v>
      </c>
      <c r="C19" s="211"/>
      <c r="D19" s="264" t="s">
        <v>167</v>
      </c>
      <c r="F19" s="265">
        <f>IF([13]Dashboard!$A$5="Current Scenario",'[13]Feedstock Mix (Input)'!C6,IF([13]Dashboard!$A$5="Scenario 1",'[13]Feedstock Mix (Input)'!F6,IF([13]Dashboard!$A$5="Scenario 2",'[13]Feedstock Mix (Input)'!I6,IF([13]Dashboard!$A$5="Scenario 3",'[13]Feedstock Mix (Input)'!L6,IF([13]Dashboard!$A$5="Scenario 4",'[13]Feedstock Mix (Input)'!O6,IF([13]Dashboard!$A$5="Scenario 5",'[13]Feedstock Mix (Input)'!R6,'[13]Feedstock Mix (Input)'!U6))))))</f>
        <v>0.10094764602707919</v>
      </c>
      <c r="G19" s="266">
        <f>[13]Datasheet!B5</f>
        <v>31825</v>
      </c>
      <c r="H19" s="267">
        <f>F19*G19</f>
        <v>3212.6588348117953</v>
      </c>
      <c r="I19" s="268">
        <f>H19/$K$1</f>
        <v>41.187933779638399</v>
      </c>
      <c r="J19" s="269"/>
      <c r="K19" s="239"/>
      <c r="L19" s="270"/>
    </row>
    <row r="20" spans="1:12">
      <c r="B20" s="1465" t="s">
        <v>351</v>
      </c>
      <c r="C20" s="1466"/>
      <c r="D20" s="259" t="s">
        <v>352</v>
      </c>
      <c r="F20" s="274"/>
      <c r="G20" s="266"/>
      <c r="H20" s="267">
        <f>3*74</f>
        <v>222</v>
      </c>
      <c r="I20" s="268">
        <f>H20/$K$1</f>
        <v>2.8461538461538463</v>
      </c>
      <c r="J20" s="269"/>
      <c r="K20" s="239"/>
      <c r="L20" s="270"/>
    </row>
    <row r="21" spans="1:12" ht="15.75">
      <c r="B21" s="275" t="s">
        <v>353</v>
      </c>
      <c r="D21" s="259"/>
      <c r="F21" s="209"/>
      <c r="G21" s="276"/>
      <c r="H21" s="277">
        <f>SUM(H16:H20)</f>
        <v>70664.594492856457</v>
      </c>
      <c r="I21" s="268">
        <f>SUM(I16:I20)</f>
        <v>905.95633965200591</v>
      </c>
      <c r="J21" s="239"/>
      <c r="K21" s="239"/>
      <c r="L21" s="270"/>
    </row>
    <row r="22" spans="1:12">
      <c r="D22" s="259"/>
      <c r="G22" s="276"/>
      <c r="H22" s="245"/>
      <c r="I22" s="278"/>
      <c r="J22" s="239"/>
      <c r="K22" s="239"/>
    </row>
    <row r="23" spans="1:12">
      <c r="A23" s="261" t="s">
        <v>354</v>
      </c>
      <c r="B23" s="209"/>
      <c r="C23" s="211"/>
      <c r="D23" s="259"/>
      <c r="G23" s="276"/>
      <c r="H23" s="245"/>
      <c r="I23" s="278"/>
      <c r="J23" s="239"/>
      <c r="K23" s="239"/>
    </row>
    <row r="24" spans="1:12">
      <c r="A24" s="223"/>
      <c r="B24" s="209" t="s">
        <v>165</v>
      </c>
      <c r="C24" s="211"/>
      <c r="D24" s="259" t="s">
        <v>167</v>
      </c>
      <c r="F24" s="279">
        <f>IF([13]Dashboard!$A$5="Current Scenario",'[13]Feedstock Mix (Input)'!C13,IF([13]Dashboard!$A$5="Scenario 1",'[13]Feedstock Mix (Input)'!F13,IF([13]Dashboard!$A$5="Scenario 2",'[13]Feedstock Mix (Input)'!I13,IF([13]Dashboard!$A$5="Scenario 3",'[13]Feedstock Mix (Input)'!L13,IF([13]Dashboard!$A$5="Scenario 4",'[13]Feedstock Mix (Input)'!O13,IF([13]Dashboard!$A$5="Scenario 5",'[13]Feedstock Mix (Input)'!R13,'[13]Feedstock Mix (Input)'!U13))))))</f>
        <v>1</v>
      </c>
      <c r="G24" s="280">
        <f>[13]Datasheet!B6</f>
        <v>70618</v>
      </c>
      <c r="H24" s="267">
        <f>F24*G24</f>
        <v>70618</v>
      </c>
      <c r="I24" s="268">
        <f>H24/$K$1</f>
        <v>905.35897435897436</v>
      </c>
      <c r="J24" s="239"/>
      <c r="K24" s="239"/>
    </row>
    <row r="25" spans="1:12">
      <c r="A25" s="282"/>
      <c r="B25" s="283" t="s">
        <v>2</v>
      </c>
      <c r="C25" s="284"/>
      <c r="D25" s="259" t="s">
        <v>167</v>
      </c>
      <c r="F25" s="279">
        <f>IF([13]Dashboard!$A$5="Current Scenario",'[13]Feedstock Mix (Input)'!C14,IF([13]Dashboard!$A$5="Scenario 1",'[13]Feedstock Mix (Input)'!F14,IF([13]Dashboard!$A$5="Scenario 2",'[13]Feedstock Mix (Input)'!I14,IF([13]Dashboard!$A$5="Scenario 3",'[13]Feedstock Mix (Input)'!L14,IF([13]Dashboard!$A$5="Scenario 4",'[13]Feedstock Mix (Input)'!O14,IF([13]Dashboard!$A$5="Scenario 5",'[13]Feedstock Mix (Input)'!R14,'[13]Feedstock Mix (Input)'!U14))))))</f>
        <v>0.38336445885752496</v>
      </c>
      <c r="G25" s="285">
        <f>[13]Datasheet!B7</f>
        <v>55610</v>
      </c>
      <c r="H25" s="267">
        <f>F25*G25</f>
        <v>21318.897557066965</v>
      </c>
      <c r="I25" s="268">
        <f>H25/$K$1</f>
        <v>273.31919944957644</v>
      </c>
      <c r="J25" s="239"/>
      <c r="K25" s="239"/>
    </row>
    <row r="26" spans="1:12">
      <c r="A26" s="282"/>
      <c r="B26" s="283" t="s">
        <v>147</v>
      </c>
      <c r="C26" s="284"/>
      <c r="D26" s="259"/>
      <c r="F26" s="279"/>
      <c r="G26" s="285"/>
      <c r="H26" s="267"/>
      <c r="I26" s="268"/>
      <c r="J26" s="239"/>
      <c r="K26" s="239"/>
    </row>
    <row r="27" spans="1:12">
      <c r="A27" s="282"/>
      <c r="B27" s="283" t="s">
        <v>11</v>
      </c>
      <c r="C27" s="284"/>
      <c r="D27" s="259"/>
      <c r="F27" s="279"/>
      <c r="G27" s="285"/>
      <c r="H27" s="267"/>
      <c r="I27" s="268"/>
      <c r="J27" s="239"/>
      <c r="K27" s="239"/>
    </row>
    <row r="28" spans="1:12">
      <c r="A28" s="261" t="s">
        <v>355</v>
      </c>
      <c r="B28" s="209"/>
      <c r="C28" s="211"/>
      <c r="D28" s="259"/>
      <c r="G28" s="276"/>
      <c r="H28" s="245"/>
      <c r="I28" s="278"/>
      <c r="J28" s="239"/>
      <c r="K28" s="239"/>
    </row>
    <row r="29" spans="1:12">
      <c r="A29" s="282"/>
      <c r="B29" s="283" t="s">
        <v>233</v>
      </c>
      <c r="C29" s="284"/>
      <c r="D29" s="259" t="s">
        <v>167</v>
      </c>
      <c r="F29" s="279">
        <f>IF([13]Dashboard!$A$5="Current Scenario",'[13]Feedstock Mix (Input)'!C15,IF([13]Dashboard!$A$5="Scenario 1",'[13]Feedstock Mix (Input)'!F15,IF([13]Dashboard!$A$5="Scenario 2",'[13]Feedstock Mix (Input)'!I15,IF([13]Dashboard!$A$5="Scenario 3",'[13]Feedstock Mix (Input)'!L15,IF([13]Dashboard!$A$5="Scenario 4",'[13]Feedstock Mix (Input)'!O15,IF([13]Dashboard!$A$5="Scenario 5",'[13]Feedstock Mix (Input)'!R15,'[13]Feedstock Mix (Input)'!U15))))))</f>
        <v>4.9984353114865793E-2</v>
      </c>
      <c r="G29" s="285">
        <f>[13]Datasheet!B8</f>
        <v>21976</v>
      </c>
      <c r="H29" s="267">
        <f t="shared" ref="H29:H36" si="0">F29*G29</f>
        <v>1098.4561440522907</v>
      </c>
      <c r="I29" s="268">
        <f t="shared" ref="I29:I37" si="1">H29/$K$1</f>
        <v>14.08277107759347</v>
      </c>
      <c r="J29" s="269"/>
      <c r="K29" s="239"/>
    </row>
    <row r="30" spans="1:12">
      <c r="A30" s="286"/>
      <c r="B30" s="1467" t="s">
        <v>3</v>
      </c>
      <c r="C30" s="1468"/>
      <c r="D30" s="259" t="s">
        <v>167</v>
      </c>
      <c r="F30" s="279">
        <f>IF([13]Dashboard!$A$5="Current Scenario",'[13]Feedstock Mix (Input)'!C16,IF([13]Dashboard!$A$5="Scenario 1",'[13]Feedstock Mix (Input)'!F16,IF([13]Dashboard!$A$5="Scenario 2",'[13]Feedstock Mix (Input)'!I16,IF([13]Dashboard!$A$5="Scenario 3",'[13]Feedstock Mix (Input)'!L16,IF([13]Dashboard!$A$5="Scenario 4",'[13]Feedstock Mix (Input)'!O16,IF([13]Dashboard!$A$5="Scenario 5",'[13]Feedstock Mix (Input)'!R16,'[13]Feedstock Mix (Input)'!U16))))))</f>
        <v>0.10514805234135441</v>
      </c>
      <c r="G30" s="285">
        <f>[13]Datasheet!B9</f>
        <v>50250</v>
      </c>
      <c r="H30" s="267">
        <f t="shared" si="0"/>
        <v>5283.6896301530587</v>
      </c>
      <c r="I30" s="268">
        <f t="shared" si="1"/>
        <v>67.739610642987927</v>
      </c>
      <c r="J30" s="269"/>
      <c r="K30" s="239"/>
    </row>
    <row r="31" spans="1:12">
      <c r="A31" s="286"/>
      <c r="B31" s="1467" t="s">
        <v>176</v>
      </c>
      <c r="C31" s="1468"/>
      <c r="D31" s="259" t="s">
        <v>167</v>
      </c>
      <c r="F31" s="279">
        <f>IF([13]Dashboard!$A$5="Current Scenario",'[13]Feedstock Mix (Input)'!C17,IF([13]Dashboard!$A$5="Scenario 1",'[13]Feedstock Mix (Input)'!F17,IF([13]Dashboard!$A$5="Scenario 2",'[13]Feedstock Mix (Input)'!I17,IF([13]Dashboard!$A$5="Scenario 3",'[13]Feedstock Mix (Input)'!L17,IF([13]Dashboard!$A$5="Scenario 4",'[13]Feedstock Mix (Input)'!O17,IF([13]Dashboard!$A$5="Scenario 5",'[13]Feedstock Mix (Input)'!R17,'[13]Feedstock Mix (Input)'!U17))))))</f>
        <v>9.2072116051937547E-2</v>
      </c>
      <c r="G31" s="285">
        <f>[13]Datasheet!B10</f>
        <v>79663</v>
      </c>
      <c r="H31" s="267">
        <f t="shared" si="0"/>
        <v>7334.740981045501</v>
      </c>
      <c r="I31" s="268">
        <f t="shared" si="1"/>
        <v>94.035140782634627</v>
      </c>
      <c r="J31" s="269"/>
      <c r="K31" s="239"/>
    </row>
    <row r="32" spans="1:12">
      <c r="A32" s="286"/>
      <c r="B32" s="1467" t="s">
        <v>177</v>
      </c>
      <c r="C32" s="1468"/>
      <c r="D32" s="259" t="s">
        <v>167</v>
      </c>
      <c r="F32" s="279">
        <f>IF([13]Dashboard!$A$5="Current Scenario",'[13]Feedstock Mix (Input)'!C18,IF([13]Dashboard!$A$5="Scenario 1",'[13]Feedstock Mix (Input)'!F18,IF([13]Dashboard!$A$5="Scenario 2",'[13]Feedstock Mix (Input)'!I18,IF([13]Dashboard!$A$5="Scenario 3",'[13]Feedstock Mix (Input)'!L18,IF([13]Dashboard!$A$5="Scenario 4",'[13]Feedstock Mix (Input)'!O18,IF([13]Dashboard!$A$5="Scenario 5",'[13]Feedstock Mix (Input)'!R18,'[13]Feedstock Mix (Input)'!U18))))))</f>
        <v>0.11829155888402373</v>
      </c>
      <c r="G32" s="285">
        <f>[13]Datasheet!B11</f>
        <v>36113</v>
      </c>
      <c r="H32" s="267">
        <f t="shared" si="0"/>
        <v>4271.8630659787495</v>
      </c>
      <c r="I32" s="268">
        <f t="shared" si="1"/>
        <v>54.767475204855764</v>
      </c>
      <c r="J32" s="269"/>
      <c r="K32" s="239"/>
    </row>
    <row r="33" spans="1:11">
      <c r="A33" s="286"/>
      <c r="B33" s="1454" t="s">
        <v>9</v>
      </c>
      <c r="C33" s="1455"/>
      <c r="D33" s="259" t="s">
        <v>167</v>
      </c>
      <c r="F33" s="279">
        <f>IF([13]Dashboard!$A$5="Current Scenario",'[13]Feedstock Mix (Input)'!C19,IF([13]Dashboard!$A$5="Scenario 1",'[13]Feedstock Mix (Input)'!F19,IF([13]Dashboard!$A$5="Scenario 2",'[13]Feedstock Mix (Input)'!I19,IF([13]Dashboard!$A$5="Scenario 3",'[13]Feedstock Mix (Input)'!L19,IF([13]Dashboard!$A$5="Scenario 4",'[13]Feedstock Mix (Input)'!O19,IF([13]Dashboard!$A$5="Scenario 5",'[13]Feedstock Mix (Input)'!R19,'[13]Feedstock Mix (Input)'!U19))))))</f>
        <v>4.8759812742116611E-2</v>
      </c>
      <c r="G33" s="285">
        <f>[13]Datasheet!B12</f>
        <v>10251</v>
      </c>
      <c r="H33" s="267">
        <f t="shared" si="0"/>
        <v>499.83684041943735</v>
      </c>
      <c r="I33" s="268">
        <f t="shared" si="1"/>
        <v>6.4081646207620171</v>
      </c>
      <c r="J33" s="269"/>
      <c r="K33" s="239"/>
    </row>
    <row r="34" spans="1:11">
      <c r="A34" s="286"/>
      <c r="B34" s="273" t="s">
        <v>178</v>
      </c>
      <c r="C34" s="272"/>
      <c r="D34" s="259" t="s">
        <v>167</v>
      </c>
      <c r="F34" s="279">
        <f>IF([13]Dashboard!$A$5="Current Scenario",'[13]Feedstock Mix (Input)'!C20,IF([13]Dashboard!$A$5="Scenario 1",'[13]Feedstock Mix (Input)'!F20,IF([13]Dashboard!$A$5="Scenario 2",'[13]Feedstock Mix (Input)'!I20,IF([13]Dashboard!$A$5="Scenario 3",'[13]Feedstock Mix (Input)'!L20,IF([13]Dashboard!$A$5="Scenario 4",'[13]Feedstock Mix (Input)'!O20,IF([13]Dashboard!$A$5="Scenario 5",'[13]Feedstock Mix (Input)'!R20,'[13]Feedstock Mix (Input)'!U20))))))</f>
        <v>1.3999999999999998E-3</v>
      </c>
      <c r="G34" s="285">
        <f>[13]Datasheet!B13</f>
        <v>87100</v>
      </c>
      <c r="H34" s="267">
        <f t="shared" si="0"/>
        <v>121.93999999999998</v>
      </c>
      <c r="I34" s="268">
        <f t="shared" si="1"/>
        <v>1.563333333333333</v>
      </c>
      <c r="J34" s="269"/>
      <c r="K34" s="239"/>
    </row>
    <row r="35" spans="1:11">
      <c r="A35" s="286"/>
      <c r="B35" s="1454" t="s">
        <v>10</v>
      </c>
      <c r="C35" s="1455"/>
      <c r="D35" s="259" t="s">
        <v>167</v>
      </c>
      <c r="F35" s="279">
        <f>IF([13]Dashboard!$A$5="Current Scenario",'[13]Feedstock Mix (Input)'!C21,IF([13]Dashboard!$A$5="Scenario 1",'[13]Feedstock Mix (Input)'!F21,IF([13]Dashboard!$A$5="Scenario 2",'[13]Feedstock Mix (Input)'!I21,IF([13]Dashboard!$A$5="Scenario 3",'[13]Feedstock Mix (Input)'!L21,IF([13]Dashboard!$A$5="Scenario 4",'[13]Feedstock Mix (Input)'!O21,IF([13]Dashboard!$A$5="Scenario 5",'[13]Feedstock Mix (Input)'!R21,'[13]Feedstock Mix (Input)'!U21))))))</f>
        <v>3.548746766520712E-2</v>
      </c>
      <c r="G35" s="285">
        <f>[13]Datasheet!B14</f>
        <v>41741</v>
      </c>
      <c r="H35" s="267">
        <f t="shared" si="0"/>
        <v>1481.2823878134104</v>
      </c>
      <c r="I35" s="268">
        <f t="shared" si="1"/>
        <v>18.990799843761671</v>
      </c>
      <c r="J35" s="269"/>
      <c r="K35" s="239"/>
    </row>
    <row r="36" spans="1:11">
      <c r="A36" s="286"/>
      <c r="B36" s="273" t="s">
        <v>179</v>
      </c>
      <c r="C36" s="272"/>
      <c r="D36" s="259" t="s">
        <v>167</v>
      </c>
      <c r="F36" s="279">
        <f>IF([13]Dashboard!$A$5="Current Scenario",'[13]Feedstock Mix (Input)'!C22,IF([13]Dashboard!$A$5="Scenario 1",'[13]Feedstock Mix (Input)'!F22,IF([13]Dashboard!$A$5="Scenario 2",'[13]Feedstock Mix (Input)'!I22,IF([13]Dashboard!$A$5="Scenario 3",'[13]Feedstock Mix (Input)'!L22,IF([13]Dashboard!$A$5="Scenario 4",'[13]Feedstock Mix (Input)'!O22,IF([13]Dashboard!$A$5="Scenario 5",'[13]Feedstock Mix (Input)'!R22,'[13]Feedstock Mix (Input)'!U22))))))</f>
        <v>0.35865689156960967</v>
      </c>
      <c r="G36" s="285">
        <f>[13]Datasheet!B15</f>
        <v>10251</v>
      </c>
      <c r="H36" s="267">
        <f t="shared" si="0"/>
        <v>3676.5917954800689</v>
      </c>
      <c r="I36" s="268">
        <f t="shared" si="1"/>
        <v>47.135792249744476</v>
      </c>
      <c r="J36" s="269"/>
      <c r="K36" s="239"/>
    </row>
    <row r="37" spans="1:11">
      <c r="A37" s="286"/>
      <c r="B37" s="1454" t="s">
        <v>356</v>
      </c>
      <c r="C37" s="1455"/>
      <c r="D37" s="259" t="s">
        <v>167</v>
      </c>
      <c r="F37" s="279">
        <f>IF([13]Dashboard!$A$5="Current Scenario",'[13]Feedstock Mix (Input)'!C23,IF([13]Dashboard!$A$5="Scenario 1",'[13]Feedstock Mix (Input)'!F23,IF([13]Dashboard!$A$5="Scenario 2",'[13]Feedstock Mix (Input)'!I23,IF([13]Dashboard!$A$5="Scenario 3",'[13]Feedstock Mix (Input)'!L23,IF([13]Dashboard!$A$5="Scenario 4",'[13]Feedstock Mix (Input)'!O23,IF([13]Dashboard!$A$5="Scenario 5",'[13]Feedstock Mix (Input)'!R23,'[13]Feedstock Mix (Input)'!U23))))))</f>
        <v>4.2825648273164443E-2</v>
      </c>
      <c r="G37" s="285">
        <f>[13]Datasheet!B16</f>
        <v>10251</v>
      </c>
      <c r="H37" s="267">
        <f>G37*F37</f>
        <v>439.00572044820871</v>
      </c>
      <c r="I37" s="268">
        <f t="shared" si="1"/>
        <v>5.6282784672847272</v>
      </c>
      <c r="J37" s="269"/>
      <c r="K37" s="239"/>
    </row>
    <row r="38" spans="1:11" ht="15.75">
      <c r="B38" s="275" t="s">
        <v>357</v>
      </c>
      <c r="D38" s="259"/>
      <c r="F38" s="209"/>
      <c r="G38" s="281"/>
      <c r="H38" s="277">
        <f>SUM(H25:H37)</f>
        <v>45526.304122457695</v>
      </c>
      <c r="I38" s="268">
        <f>SUM(I25:I37)</f>
        <v>583.67056567253451</v>
      </c>
      <c r="J38" s="239"/>
      <c r="K38" s="239"/>
    </row>
    <row r="39" spans="1:11" ht="15.75">
      <c r="B39" s="275"/>
      <c r="D39" s="259"/>
      <c r="F39" s="209"/>
      <c r="G39" s="276"/>
      <c r="H39" s="287"/>
      <c r="I39" s="278"/>
      <c r="J39" s="239"/>
      <c r="K39" s="239"/>
    </row>
    <row r="40" spans="1:11" ht="15.75">
      <c r="A40" s="261" t="s">
        <v>111</v>
      </c>
      <c r="B40" s="275"/>
      <c r="D40" s="259"/>
      <c r="F40" s="209"/>
      <c r="G40" s="276"/>
      <c r="H40" s="287"/>
      <c r="I40" s="278"/>
      <c r="J40" s="239"/>
      <c r="K40" s="239"/>
    </row>
    <row r="41" spans="1:11">
      <c r="B41" s="208" t="s">
        <v>148</v>
      </c>
      <c r="D41" s="259" t="s">
        <v>167</v>
      </c>
      <c r="F41" s="265">
        <v>1.4197</v>
      </c>
      <c r="G41" s="280">
        <v>2908</v>
      </c>
      <c r="H41" s="267">
        <f>F41*G41</f>
        <v>4128.4875999999995</v>
      </c>
      <c r="I41" s="268">
        <f t="shared" ref="I41:I48" si="2">H41/$K$1</f>
        <v>52.929328205128201</v>
      </c>
      <c r="J41" s="288"/>
      <c r="K41" s="239" t="s">
        <v>358</v>
      </c>
    </row>
    <row r="42" spans="1:11">
      <c r="B42" s="208" t="s">
        <v>164</v>
      </c>
      <c r="D42" s="259" t="s">
        <v>167</v>
      </c>
      <c r="F42" s="265">
        <v>0.38600000000000001</v>
      </c>
      <c r="G42" s="285">
        <f>[13]Datasheet!C16*'Financial Model_OPaL'!K1</f>
        <v>11934</v>
      </c>
      <c r="H42" s="267">
        <f>F42*G42</f>
        <v>4606.5240000000003</v>
      </c>
      <c r="I42" s="268">
        <f t="shared" si="2"/>
        <v>59.058000000000007</v>
      </c>
      <c r="J42" s="288"/>
      <c r="K42" s="239"/>
    </row>
    <row r="43" spans="1:11">
      <c r="B43" s="208" t="s">
        <v>134</v>
      </c>
      <c r="D43" s="259" t="s">
        <v>167</v>
      </c>
      <c r="F43" s="265">
        <v>547.84119999999996</v>
      </c>
      <c r="G43" s="280">
        <v>1.86</v>
      </c>
      <c r="H43" s="267">
        <f t="shared" ref="H43:H48" si="3">F43*G43</f>
        <v>1018.9846319999999</v>
      </c>
      <c r="I43" s="268">
        <f t="shared" si="2"/>
        <v>13.063905538461537</v>
      </c>
      <c r="J43" s="288"/>
      <c r="K43" s="239"/>
    </row>
    <row r="44" spans="1:11">
      <c r="B44" s="208" t="s">
        <v>359</v>
      </c>
      <c r="D44" s="259" t="s">
        <v>167</v>
      </c>
      <c r="F44" s="265">
        <v>0.58899999999999997</v>
      </c>
      <c r="G44" s="280">
        <v>82.43</v>
      </c>
      <c r="H44" s="267">
        <f t="shared" si="3"/>
        <v>48.551270000000002</v>
      </c>
      <c r="I44" s="268">
        <f t="shared" si="2"/>
        <v>0.62245217948717957</v>
      </c>
      <c r="J44" s="288"/>
      <c r="K44" s="239"/>
    </row>
    <row r="45" spans="1:11">
      <c r="B45" s="208" t="s">
        <v>132</v>
      </c>
      <c r="D45" s="259" t="s">
        <v>360</v>
      </c>
      <c r="F45" s="265">
        <v>0.12179999999999999</v>
      </c>
      <c r="G45" s="280">
        <v>6603</v>
      </c>
      <c r="H45" s="267">
        <f t="shared" si="3"/>
        <v>804.2453999999999</v>
      </c>
      <c r="I45" s="268">
        <f t="shared" si="2"/>
        <v>10.310838461538461</v>
      </c>
      <c r="J45" s="288"/>
      <c r="K45" s="239"/>
    </row>
    <row r="46" spans="1:11">
      <c r="B46" s="208" t="s">
        <v>131</v>
      </c>
      <c r="D46" s="259" t="s">
        <v>361</v>
      </c>
      <c r="F46" s="265">
        <v>10.210000000000001</v>
      </c>
      <c r="G46" s="280">
        <v>2.73</v>
      </c>
      <c r="H46" s="267">
        <f t="shared" si="3"/>
        <v>27.8733</v>
      </c>
      <c r="I46" s="268">
        <f t="shared" si="2"/>
        <v>0.35735</v>
      </c>
      <c r="J46" s="288"/>
      <c r="K46" s="239"/>
    </row>
    <row r="47" spans="1:11">
      <c r="A47" s="223"/>
      <c r="B47" s="208" t="s">
        <v>170</v>
      </c>
      <c r="D47" s="259" t="s">
        <v>361</v>
      </c>
      <c r="F47" s="265">
        <v>2.1530999999999998</v>
      </c>
      <c r="G47" s="280">
        <v>1.24</v>
      </c>
      <c r="H47" s="267">
        <f t="shared" si="3"/>
        <v>2.6698439999999999</v>
      </c>
      <c r="I47" s="268">
        <f t="shared" si="2"/>
        <v>3.4228769230769229E-2</v>
      </c>
      <c r="J47" s="269"/>
      <c r="K47" s="239"/>
    </row>
    <row r="48" spans="1:11">
      <c r="B48" s="208" t="s">
        <v>171</v>
      </c>
      <c r="D48" s="259" t="s">
        <v>361</v>
      </c>
      <c r="F48" s="265">
        <v>13.168899999999999</v>
      </c>
      <c r="G48" s="266">
        <v>1.36</v>
      </c>
      <c r="H48" s="267">
        <f t="shared" si="3"/>
        <v>17.909704000000001</v>
      </c>
      <c r="I48" s="268">
        <f t="shared" si="2"/>
        <v>0.22961158974358975</v>
      </c>
      <c r="J48" s="269"/>
    </row>
    <row r="49" spans="1:11" ht="15.75">
      <c r="B49" s="275" t="s">
        <v>362</v>
      </c>
      <c r="F49" s="209"/>
      <c r="H49" s="277">
        <f>SUM(H41:H48)</f>
        <v>10655.245749999998</v>
      </c>
      <c r="I49" s="268">
        <f>SUM(I41:I48)</f>
        <v>136.60571474358974</v>
      </c>
      <c r="J49" s="239"/>
      <c r="K49" s="239"/>
    </row>
    <row r="50" spans="1:11" ht="15.75">
      <c r="B50" s="275"/>
      <c r="F50" s="209"/>
      <c r="G50" s="239"/>
      <c r="H50" s="289"/>
      <c r="I50" s="278"/>
      <c r="J50" s="239"/>
      <c r="K50" s="239"/>
    </row>
    <row r="51" spans="1:11" ht="15.75">
      <c r="A51" s="1456" t="s">
        <v>160</v>
      </c>
      <c r="B51" s="1457"/>
      <c r="C51" s="1457"/>
      <c r="D51" s="1457"/>
      <c r="E51" s="1457"/>
      <c r="F51" s="1457"/>
      <c r="G51" s="1458"/>
      <c r="H51" s="290">
        <f>H21-H38+H49</f>
        <v>35793.536120398756</v>
      </c>
      <c r="I51" s="268">
        <f>H51/K1</f>
        <v>458.89148872306095</v>
      </c>
      <c r="J51" s="239"/>
      <c r="K51" s="239"/>
    </row>
    <row r="52" spans="1:11" ht="15.75">
      <c r="B52" s="275"/>
      <c r="F52" s="209"/>
      <c r="G52" s="239"/>
      <c r="H52" s="239"/>
      <c r="I52" s="278"/>
      <c r="J52" s="239"/>
      <c r="K52" s="239"/>
    </row>
    <row r="53" spans="1:11" ht="15.75">
      <c r="A53" s="261" t="s">
        <v>363</v>
      </c>
      <c r="B53" s="275"/>
      <c r="D53" s="262"/>
      <c r="E53" s="262"/>
      <c r="F53" s="209"/>
      <c r="G53" s="256"/>
      <c r="H53" s="287"/>
      <c r="I53" s="278"/>
      <c r="J53" s="239"/>
      <c r="K53" s="239"/>
    </row>
    <row r="54" spans="1:11" ht="30">
      <c r="A54" s="223"/>
      <c r="B54" s="275"/>
      <c r="D54" s="262"/>
      <c r="E54" s="262"/>
      <c r="F54" s="209"/>
      <c r="G54" s="291" t="s">
        <v>364</v>
      </c>
      <c r="H54" s="287"/>
      <c r="I54" s="278"/>
      <c r="J54" s="239"/>
      <c r="K54" s="239"/>
    </row>
    <row r="55" spans="1:11" ht="15.75">
      <c r="A55" s="223"/>
      <c r="B55" s="292" t="s">
        <v>165</v>
      </c>
      <c r="D55" s="262"/>
      <c r="E55" s="262"/>
      <c r="F55" s="209"/>
      <c r="G55" s="280">
        <f>[13]Datasheet!B37</f>
        <v>636</v>
      </c>
      <c r="H55" s="267">
        <f>G55*F24</f>
        <v>636</v>
      </c>
      <c r="I55" s="268">
        <f t="shared" ref="I55:I61" si="4">H55/$K$1</f>
        <v>8.1538461538461533</v>
      </c>
      <c r="J55" s="239"/>
      <c r="K55" s="239"/>
    </row>
    <row r="56" spans="1:11" ht="15.75">
      <c r="B56" s="292" t="s">
        <v>2</v>
      </c>
      <c r="D56" s="263"/>
      <c r="E56" s="263"/>
      <c r="F56" s="209"/>
      <c r="G56" s="280">
        <f>[13]Datasheet!B38</f>
        <v>695</v>
      </c>
      <c r="H56" s="267">
        <f>G56*F25</f>
        <v>266.43829890597982</v>
      </c>
      <c r="I56" s="268">
        <f t="shared" si="4"/>
        <v>3.4158756269997412</v>
      </c>
    </row>
    <row r="57" spans="1:11" ht="15.75">
      <c r="B57" s="292" t="s">
        <v>8</v>
      </c>
      <c r="D57" s="263"/>
      <c r="E57" s="263"/>
      <c r="F57" s="209"/>
      <c r="G57" s="280">
        <f>[13]Datasheet!B40</f>
        <v>270</v>
      </c>
      <c r="H57" s="267">
        <f>G57*F29</f>
        <v>13.495775341013765</v>
      </c>
      <c r="I57" s="268">
        <f t="shared" si="4"/>
        <v>0.17302276078222775</v>
      </c>
    </row>
    <row r="58" spans="1:11" ht="15.75">
      <c r="B58" s="292" t="s">
        <v>3</v>
      </c>
      <c r="D58" s="263"/>
      <c r="E58" s="263"/>
      <c r="F58" s="209"/>
      <c r="G58" s="280">
        <f>[13]Datasheet!B42</f>
        <v>735</v>
      </c>
      <c r="H58" s="267">
        <f>G58*F30</f>
        <v>77.283818470895497</v>
      </c>
      <c r="I58" s="268">
        <f t="shared" si="4"/>
        <v>0.99081818552430123</v>
      </c>
    </row>
    <row r="59" spans="1:11" ht="15.75">
      <c r="B59" s="292" t="s">
        <v>176</v>
      </c>
      <c r="D59" s="263"/>
      <c r="E59" s="263"/>
      <c r="F59" s="209"/>
      <c r="G59" s="280">
        <f>[13]Datasheet!B43</f>
        <v>805</v>
      </c>
      <c r="H59" s="267">
        <f>G59*F31</f>
        <v>74.118053421809719</v>
      </c>
      <c r="I59" s="268">
        <f t="shared" si="4"/>
        <v>0.9502314541257656</v>
      </c>
    </row>
    <row r="60" spans="1:11" ht="15.75">
      <c r="B60" s="292" t="s">
        <v>247</v>
      </c>
      <c r="D60" s="263"/>
      <c r="E60" s="263"/>
      <c r="F60" s="209"/>
      <c r="G60" s="280">
        <f>[13]Datasheet!B44</f>
        <v>260</v>
      </c>
      <c r="H60" s="267">
        <f>G60*F32</f>
        <v>30.755805309846171</v>
      </c>
      <c r="I60" s="268">
        <f t="shared" si="4"/>
        <v>0.3943051962800791</v>
      </c>
    </row>
    <row r="61" spans="1:11" ht="15.75">
      <c r="B61" s="292" t="s">
        <v>365</v>
      </c>
      <c r="D61" s="263"/>
      <c r="E61" s="263"/>
      <c r="F61" s="209"/>
      <c r="G61" s="280">
        <f>[13]Datasheet!B45</f>
        <v>300</v>
      </c>
      <c r="H61" s="267">
        <f>G61*F35</f>
        <v>10.646240299562136</v>
      </c>
      <c r="I61" s="268">
        <f t="shared" si="4"/>
        <v>0.13649026025079661</v>
      </c>
    </row>
    <row r="62" spans="1:11" ht="15.75">
      <c r="B62" s="292"/>
      <c r="D62" s="263"/>
      <c r="E62" s="263"/>
      <c r="F62" s="209"/>
      <c r="G62" s="256"/>
      <c r="H62" s="277">
        <f>SUM(H55:H61)</f>
        <v>1108.7379917491071</v>
      </c>
      <c r="I62" s="268">
        <f>SUM(I55:I61)</f>
        <v>14.214589637809064</v>
      </c>
    </row>
    <row r="63" spans="1:11" ht="15.75">
      <c r="B63" s="292"/>
      <c r="D63" s="263"/>
      <c r="E63" s="263"/>
      <c r="F63" s="209"/>
      <c r="G63" s="256"/>
      <c r="H63" s="245"/>
      <c r="I63" s="245"/>
    </row>
    <row r="64" spans="1:11">
      <c r="B64" s="208" t="s">
        <v>366</v>
      </c>
      <c r="D64" s="233"/>
      <c r="E64" s="293">
        <v>2.5</v>
      </c>
      <c r="F64" s="208" t="s">
        <v>367</v>
      </c>
      <c r="H64" s="267">
        <f>E64*H2/100</f>
        <v>9947.5906250000007</v>
      </c>
      <c r="I64" s="268">
        <f>H64/$K$1</f>
        <v>127.53321314102566</v>
      </c>
      <c r="J64" s="239"/>
      <c r="K64" s="239"/>
    </row>
    <row r="65" spans="1:31">
      <c r="B65" s="208" t="s">
        <v>368</v>
      </c>
      <c r="D65" s="233"/>
      <c r="E65" s="293">
        <v>30</v>
      </c>
      <c r="F65" s="208" t="s">
        <v>369</v>
      </c>
      <c r="G65" s="294"/>
      <c r="H65" s="267">
        <f>(E65*H62)/100</f>
        <v>332.62139752473217</v>
      </c>
      <c r="I65" s="268">
        <f>H65/$K$1</f>
        <v>4.26437689134272</v>
      </c>
      <c r="J65" s="239"/>
      <c r="K65" s="239"/>
    </row>
    <row r="66" spans="1:31" ht="15.75">
      <c r="B66" s="275" t="s">
        <v>370</v>
      </c>
      <c r="F66" s="209"/>
      <c r="H66" s="277">
        <f>H62+H64+H65</f>
        <v>11388.95001427384</v>
      </c>
      <c r="I66" s="268">
        <f>H66/K1</f>
        <v>146.01217967017743</v>
      </c>
      <c r="J66" s="239"/>
      <c r="K66" s="239"/>
    </row>
    <row r="67" spans="1:31" ht="15.75">
      <c r="A67" s="261" t="s">
        <v>371</v>
      </c>
      <c r="B67" s="275"/>
      <c r="F67" s="209"/>
      <c r="H67" s="295"/>
      <c r="I67" s="278"/>
      <c r="J67" s="239"/>
      <c r="K67" s="239"/>
    </row>
    <row r="68" spans="1:31">
      <c r="B68" s="208" t="s">
        <v>372</v>
      </c>
      <c r="E68" s="296">
        <v>60</v>
      </c>
      <c r="F68" s="208" t="s">
        <v>373</v>
      </c>
      <c r="H68" s="267">
        <f>E68*H66/100</f>
        <v>6833.370008564304</v>
      </c>
      <c r="I68" s="268">
        <f>H68/$K$1</f>
        <v>87.607307802106462</v>
      </c>
      <c r="J68" s="239"/>
      <c r="K68" s="239"/>
    </row>
    <row r="69" spans="1:31">
      <c r="B69" s="208" t="s">
        <v>374</v>
      </c>
      <c r="E69" s="296">
        <v>2</v>
      </c>
      <c r="F69" s="208" t="s">
        <v>375</v>
      </c>
      <c r="H69" s="267">
        <f>E69*H4/100</f>
        <v>11368.674999999999</v>
      </c>
      <c r="I69" s="268">
        <f>H69/$K$1</f>
        <v>145.75224358974359</v>
      </c>
      <c r="J69" s="239"/>
      <c r="K69" s="239"/>
    </row>
    <row r="70" spans="1:31" ht="15.75">
      <c r="B70" s="275" t="s">
        <v>376</v>
      </c>
      <c r="F70" s="209"/>
      <c r="H70" s="277">
        <f>SUM(H68:H69)</f>
        <v>18202.045008564302</v>
      </c>
      <c r="I70" s="268">
        <f>SUM(I68:I69)</f>
        <v>233.35955139185006</v>
      </c>
      <c r="J70" s="239"/>
      <c r="K70" s="239"/>
    </row>
    <row r="71" spans="1:31">
      <c r="F71" s="209"/>
      <c r="H71" s="297"/>
      <c r="I71" s="278"/>
      <c r="J71" s="239"/>
      <c r="K71" s="239"/>
    </row>
    <row r="72" spans="1:31">
      <c r="F72" s="209"/>
      <c r="H72" s="297"/>
      <c r="I72" s="278"/>
      <c r="J72" s="239"/>
      <c r="K72" s="239"/>
    </row>
    <row r="73" spans="1:31" ht="15.75">
      <c r="A73" s="1459" t="s">
        <v>377</v>
      </c>
      <c r="B73" s="1460"/>
      <c r="C73" s="1460"/>
      <c r="D73" s="1460"/>
      <c r="E73" s="1460"/>
      <c r="F73" s="1460"/>
      <c r="G73" s="1461"/>
      <c r="H73" s="277">
        <f>H21+H49+H66+H70-H38</f>
        <v>65384.531143236898</v>
      </c>
      <c r="I73" s="277">
        <f>I21+I49+I66+I70-I38</f>
        <v>838.26321978508861</v>
      </c>
      <c r="J73" s="239"/>
      <c r="K73" s="239"/>
    </row>
    <row r="74" spans="1:31">
      <c r="G74" s="256"/>
    </row>
    <row r="75" spans="1:31">
      <c r="G75" s="256"/>
    </row>
    <row r="76" spans="1:31" ht="15.75">
      <c r="A76" s="1462" t="s">
        <v>378</v>
      </c>
      <c r="B76" s="1463"/>
      <c r="C76" s="1463"/>
      <c r="D76" s="1463"/>
      <c r="E76" s="1463"/>
      <c r="F76" s="1463"/>
      <c r="G76" s="1463"/>
      <c r="H76" s="1463"/>
      <c r="I76" s="1463"/>
      <c r="J76" s="1463"/>
      <c r="K76" s="1463"/>
      <c r="L76" s="1463"/>
      <c r="M76" s="1463"/>
      <c r="N76" s="1463"/>
      <c r="O76" s="1463"/>
      <c r="P76" s="1463"/>
      <c r="Q76" s="1463"/>
      <c r="R76" s="1463"/>
      <c r="S76" s="1463"/>
      <c r="T76" s="1463"/>
      <c r="U76" s="1463"/>
      <c r="V76" s="1463"/>
      <c r="W76" s="1463"/>
      <c r="X76" s="1463"/>
      <c r="Y76" s="1463"/>
      <c r="Z76" s="1464"/>
    </row>
    <row r="77" spans="1:31">
      <c r="G77" s="208"/>
      <c r="I77" s="286"/>
      <c r="J77" s="286"/>
      <c r="K77" s="286"/>
      <c r="L77" s="286"/>
      <c r="M77" s="286"/>
      <c r="N77" s="286"/>
      <c r="O77" s="286"/>
      <c r="P77" s="286"/>
      <c r="Q77" s="286"/>
      <c r="R77" s="286"/>
      <c r="S77" s="286"/>
      <c r="T77" s="286"/>
      <c r="U77" s="286"/>
      <c r="V77" s="286"/>
      <c r="W77" s="286"/>
      <c r="X77" s="286"/>
      <c r="Y77" s="286"/>
      <c r="Z77" s="286"/>
      <c r="AB77" s="239"/>
    </row>
    <row r="78" spans="1:31">
      <c r="A78" s="1452" t="s">
        <v>379</v>
      </c>
      <c r="B78" s="1452"/>
      <c r="C78" s="1452"/>
      <c r="D78" s="1452"/>
      <c r="E78" s="1452"/>
      <c r="F78" s="1452"/>
      <c r="G78" s="1453"/>
      <c r="H78" s="277">
        <f>SUM(H79:H80)</f>
        <v>116144.30412245769</v>
      </c>
      <c r="I78" s="298">
        <f>H78/K1</f>
        <v>1489.0295400315088</v>
      </c>
      <c r="J78" s="299"/>
      <c r="K78" s="299"/>
      <c r="L78" s="299"/>
      <c r="M78" s="299"/>
      <c r="N78" s="299"/>
      <c r="O78" s="299"/>
      <c r="P78" s="299"/>
      <c r="Q78" s="299"/>
      <c r="R78" s="299"/>
      <c r="S78" s="299"/>
      <c r="T78" s="299"/>
      <c r="U78" s="299"/>
      <c r="V78" s="299"/>
      <c r="W78" s="299"/>
      <c r="X78" s="299"/>
      <c r="Y78" s="299"/>
      <c r="Z78" s="299"/>
      <c r="AB78" s="239"/>
    </row>
    <row r="79" spans="1:31">
      <c r="B79" s="300" t="s">
        <v>380</v>
      </c>
      <c r="H79" s="301">
        <f>H24</f>
        <v>70618</v>
      </c>
      <c r="I79" s="298">
        <f>H79/K1</f>
        <v>905.35897435897436</v>
      </c>
      <c r="J79" s="302"/>
      <c r="K79" s="302"/>
      <c r="L79" s="302"/>
      <c r="M79" s="302"/>
      <c r="N79" s="302"/>
      <c r="O79" s="302"/>
      <c r="P79" s="302"/>
      <c r="Q79" s="302"/>
      <c r="R79" s="302"/>
      <c r="S79" s="302"/>
      <c r="T79" s="302"/>
      <c r="U79" s="302"/>
      <c r="V79" s="302"/>
      <c r="W79" s="302"/>
      <c r="X79" s="302"/>
      <c r="Y79" s="302"/>
      <c r="Z79" s="302"/>
      <c r="AB79" s="239"/>
      <c r="AE79" s="208" t="s">
        <v>358</v>
      </c>
    </row>
    <row r="80" spans="1:31">
      <c r="B80" s="300" t="s">
        <v>381</v>
      </c>
      <c r="H80" s="267">
        <f>$H$38</f>
        <v>45526.304122457695</v>
      </c>
      <c r="I80" s="298">
        <f>H80/K1</f>
        <v>583.67056567253451</v>
      </c>
      <c r="J80" s="302"/>
      <c r="K80" s="302"/>
      <c r="L80" s="302"/>
      <c r="M80" s="302"/>
      <c r="N80" s="302"/>
      <c r="O80" s="302"/>
      <c r="P80" s="302"/>
      <c r="Q80" s="302"/>
      <c r="R80" s="302"/>
      <c r="S80" s="302"/>
      <c r="T80" s="302"/>
      <c r="U80" s="302"/>
      <c r="V80" s="302"/>
      <c r="W80" s="302"/>
      <c r="X80" s="302"/>
      <c r="Y80" s="302"/>
      <c r="Z80" s="302"/>
      <c r="AD80" s="239"/>
    </row>
    <row r="81" spans="1:26">
      <c r="A81" s="300"/>
      <c r="H81" s="245"/>
      <c r="I81" s="303"/>
      <c r="J81" s="286"/>
      <c r="K81" s="286"/>
      <c r="L81" s="286"/>
      <c r="M81" s="286"/>
      <c r="N81" s="286"/>
      <c r="O81" s="286"/>
      <c r="P81" s="286"/>
      <c r="Q81" s="286"/>
      <c r="R81" s="286"/>
      <c r="S81" s="286"/>
      <c r="T81" s="286"/>
      <c r="U81" s="286"/>
      <c r="V81" s="286"/>
      <c r="W81" s="286"/>
      <c r="X81" s="286"/>
      <c r="Y81" s="286"/>
      <c r="Z81" s="286"/>
    </row>
    <row r="82" spans="1:26">
      <c r="A82" s="1452" t="s">
        <v>382</v>
      </c>
      <c r="B82" s="1452"/>
      <c r="C82" s="1452"/>
      <c r="D82" s="1452"/>
      <c r="E82" s="1452"/>
      <c r="F82" s="1452"/>
      <c r="G82" s="1453"/>
      <c r="H82" s="277">
        <f>SUM(H83:H84)</f>
        <v>81319.840242856459</v>
      </c>
      <c r="I82" s="298">
        <f>H82/$K$1</f>
        <v>1042.5620543955956</v>
      </c>
      <c r="J82" s="299"/>
      <c r="K82" s="299"/>
      <c r="L82" s="299"/>
      <c r="M82" s="299"/>
      <c r="N82" s="299"/>
      <c r="O82" s="299"/>
      <c r="P82" s="299"/>
      <c r="Q82" s="299"/>
      <c r="R82" s="299"/>
      <c r="S82" s="299"/>
      <c r="T82" s="299"/>
      <c r="U82" s="299"/>
      <c r="V82" s="299"/>
      <c r="W82" s="299"/>
      <c r="X82" s="299"/>
      <c r="Y82" s="299"/>
      <c r="Z82" s="299"/>
    </row>
    <row r="83" spans="1:26">
      <c r="B83" s="300" t="s">
        <v>383</v>
      </c>
      <c r="H83" s="267">
        <f>$H$21</f>
        <v>70664.594492856457</v>
      </c>
      <c r="I83" s="298">
        <f>H83/$K$1</f>
        <v>905.95633965200591</v>
      </c>
      <c r="J83" s="302"/>
      <c r="K83" s="302"/>
      <c r="L83" s="302"/>
      <c r="M83" s="302"/>
      <c r="N83" s="302"/>
      <c r="O83" s="302"/>
      <c r="P83" s="302"/>
      <c r="Q83" s="302"/>
      <c r="R83" s="302"/>
      <c r="S83" s="302"/>
      <c r="T83" s="302"/>
      <c r="U83" s="302"/>
      <c r="V83" s="302"/>
      <c r="W83" s="302"/>
      <c r="X83" s="302"/>
      <c r="Y83" s="302"/>
      <c r="Z83" s="302"/>
    </row>
    <row r="84" spans="1:26">
      <c r="B84" s="300" t="s">
        <v>362</v>
      </c>
      <c r="H84" s="267">
        <f>$H$49</f>
        <v>10655.245749999998</v>
      </c>
      <c r="I84" s="298">
        <f>H84/$K$1</f>
        <v>136.60571474358971</v>
      </c>
      <c r="J84" s="302"/>
      <c r="K84" s="302"/>
      <c r="L84" s="302"/>
      <c r="M84" s="302"/>
      <c r="N84" s="302"/>
      <c r="O84" s="302"/>
      <c r="P84" s="302"/>
      <c r="Q84" s="302"/>
      <c r="R84" s="302"/>
      <c r="S84" s="302"/>
      <c r="T84" s="302"/>
      <c r="U84" s="302"/>
      <c r="V84" s="302"/>
      <c r="W84" s="302"/>
      <c r="X84" s="302"/>
      <c r="Y84" s="302"/>
      <c r="Z84" s="302"/>
    </row>
    <row r="85" spans="1:26">
      <c r="A85" s="300"/>
      <c r="H85" s="245"/>
      <c r="I85" s="303"/>
      <c r="J85" s="286"/>
      <c r="K85" s="286"/>
      <c r="L85" s="286"/>
      <c r="M85" s="286"/>
      <c r="N85" s="286"/>
      <c r="O85" s="286"/>
      <c r="P85" s="286"/>
      <c r="Q85" s="286"/>
      <c r="R85" s="286"/>
      <c r="S85" s="286"/>
      <c r="T85" s="286"/>
      <c r="U85" s="286"/>
      <c r="V85" s="286"/>
      <c r="W85" s="286"/>
      <c r="X85" s="286"/>
      <c r="Y85" s="286"/>
      <c r="Z85" s="286"/>
    </row>
    <row r="86" spans="1:26">
      <c r="A86" s="1452" t="s">
        <v>384</v>
      </c>
      <c r="B86" s="1452"/>
      <c r="C86" s="1452"/>
      <c r="D86" s="1452"/>
      <c r="E86" s="1452"/>
      <c r="F86" s="1452"/>
      <c r="G86" s="1453"/>
      <c r="H86" s="277">
        <f>H78-H82</f>
        <v>34824.46387960123</v>
      </c>
      <c r="I86" s="298">
        <f>H86/K1</f>
        <v>446.46748563591319</v>
      </c>
      <c r="J86" s="299"/>
      <c r="K86" s="299"/>
      <c r="L86" s="299"/>
      <c r="M86" s="299"/>
      <c r="N86" s="299"/>
      <c r="O86" s="299"/>
      <c r="P86" s="299"/>
      <c r="Q86" s="299"/>
      <c r="R86" s="299"/>
      <c r="S86" s="299"/>
      <c r="T86" s="299"/>
      <c r="U86" s="299"/>
      <c r="V86" s="299"/>
      <c r="W86" s="299"/>
      <c r="X86" s="299"/>
      <c r="Y86" s="299"/>
      <c r="Z86" s="299"/>
    </row>
    <row r="87" spans="1:26">
      <c r="A87" s="300"/>
      <c r="H87" s="295"/>
      <c r="I87" s="303"/>
      <c r="J87" s="286"/>
      <c r="K87" s="286"/>
      <c r="L87" s="286"/>
      <c r="M87" s="286"/>
      <c r="N87" s="286"/>
      <c r="O87" s="286"/>
      <c r="P87" s="286"/>
      <c r="Q87" s="286"/>
      <c r="R87" s="286"/>
      <c r="S87" s="286"/>
      <c r="T87" s="286"/>
      <c r="U87" s="286"/>
      <c r="V87" s="286"/>
      <c r="W87" s="286"/>
      <c r="X87" s="286"/>
      <c r="Y87" s="286"/>
      <c r="Z87" s="286"/>
    </row>
    <row r="88" spans="1:26">
      <c r="A88" s="1452" t="s">
        <v>385</v>
      </c>
      <c r="B88" s="1452"/>
      <c r="C88" s="1452"/>
      <c r="D88" s="1452"/>
      <c r="E88" s="1452"/>
      <c r="F88" s="1452"/>
      <c r="G88" s="1453"/>
      <c r="H88" s="277">
        <f>$H$66+$H$70</f>
        <v>29590.995022838142</v>
      </c>
      <c r="I88" s="298">
        <f>H88/K1</f>
        <v>379.37173106202744</v>
      </c>
      <c r="J88" s="299"/>
      <c r="K88" s="299"/>
      <c r="L88" s="299"/>
      <c r="M88" s="299"/>
      <c r="N88" s="299"/>
      <c r="O88" s="299"/>
      <c r="P88" s="299"/>
      <c r="Q88" s="299"/>
      <c r="R88" s="299"/>
      <c r="S88" s="299"/>
      <c r="T88" s="299"/>
      <c r="U88" s="299"/>
      <c r="V88" s="299"/>
      <c r="W88" s="299"/>
      <c r="X88" s="299"/>
      <c r="Y88" s="299"/>
      <c r="Z88" s="299"/>
    </row>
    <row r="89" spans="1:26">
      <c r="A89" s="300"/>
      <c r="H89" s="295"/>
      <c r="I89" s="303"/>
      <c r="J89" s="286"/>
      <c r="K89" s="286"/>
      <c r="L89" s="286"/>
      <c r="M89" s="286"/>
      <c r="N89" s="286"/>
      <c r="O89" s="286"/>
      <c r="P89" s="286"/>
      <c r="Q89" s="286"/>
      <c r="R89" s="286"/>
      <c r="S89" s="286"/>
      <c r="T89" s="286"/>
      <c r="U89" s="286"/>
      <c r="V89" s="286"/>
      <c r="W89" s="286"/>
      <c r="X89" s="286"/>
      <c r="Y89" s="286"/>
      <c r="Z89" s="286"/>
    </row>
    <row r="90" spans="1:26">
      <c r="A90" s="1452" t="s">
        <v>386</v>
      </c>
      <c r="B90" s="1452"/>
      <c r="C90" s="1452"/>
      <c r="D90" s="1452"/>
      <c r="E90" s="1452"/>
      <c r="F90" s="1452"/>
      <c r="G90" s="1453"/>
      <c r="H90" s="277">
        <f>H88+H82</f>
        <v>110910.83526569459</v>
      </c>
      <c r="I90" s="298">
        <f>H90/K1</f>
        <v>1421.9337854576229</v>
      </c>
      <c r="J90" s="299"/>
      <c r="K90" s="299"/>
      <c r="L90" s="299"/>
      <c r="M90" s="299"/>
      <c r="N90" s="299"/>
      <c r="O90" s="299"/>
      <c r="P90" s="299"/>
      <c r="Q90" s="299"/>
      <c r="R90" s="299"/>
      <c r="S90" s="299"/>
      <c r="T90" s="299"/>
      <c r="U90" s="299"/>
      <c r="V90" s="299"/>
      <c r="W90" s="299"/>
      <c r="X90" s="299"/>
      <c r="Y90" s="299"/>
      <c r="Z90" s="299"/>
    </row>
    <row r="91" spans="1:26">
      <c r="A91" s="300"/>
      <c r="H91" s="295"/>
      <c r="I91" s="303"/>
      <c r="J91" s="286"/>
      <c r="K91" s="286"/>
      <c r="L91" s="286"/>
      <c r="M91" s="286"/>
      <c r="N91" s="286"/>
      <c r="O91" s="286"/>
      <c r="P91" s="286"/>
      <c r="Q91" s="286"/>
      <c r="R91" s="286"/>
      <c r="S91" s="286"/>
      <c r="T91" s="286"/>
      <c r="U91" s="286"/>
      <c r="V91" s="286"/>
      <c r="W91" s="286"/>
      <c r="X91" s="286"/>
      <c r="Y91" s="286"/>
      <c r="Z91" s="286"/>
    </row>
    <row r="92" spans="1:26">
      <c r="A92" s="1452" t="s">
        <v>387</v>
      </c>
      <c r="B92" s="1452"/>
      <c r="C92" s="1452"/>
      <c r="D92" s="1452"/>
      <c r="E92" s="1452"/>
      <c r="F92" s="1452"/>
      <c r="G92" s="1453"/>
      <c r="H92" s="277">
        <f>(0.1*H4/B8)*1000</f>
        <v>284216.875</v>
      </c>
      <c r="I92" s="298">
        <f>H92/K1</f>
        <v>3643.8060897435898</v>
      </c>
      <c r="J92" s="299"/>
      <c r="K92" s="299"/>
      <c r="L92" s="299"/>
      <c r="M92" s="299"/>
      <c r="N92" s="299"/>
      <c r="O92" s="299"/>
      <c r="P92" s="299"/>
      <c r="Q92" s="299"/>
      <c r="R92" s="299"/>
      <c r="S92" s="299"/>
      <c r="T92" s="299"/>
      <c r="U92" s="299"/>
      <c r="V92" s="299"/>
      <c r="W92" s="299"/>
      <c r="X92" s="299"/>
      <c r="Y92" s="299"/>
      <c r="Z92" s="299"/>
    </row>
    <row r="93" spans="1:26">
      <c r="A93" s="300"/>
      <c r="H93" s="295"/>
      <c r="I93" s="303"/>
      <c r="J93" s="286"/>
      <c r="K93" s="304"/>
      <c r="L93" s="286"/>
      <c r="M93" s="286"/>
      <c r="N93" s="286"/>
      <c r="O93" s="286"/>
      <c r="P93" s="286"/>
      <c r="Q93" s="286"/>
      <c r="R93" s="286"/>
      <c r="S93" s="286"/>
      <c r="T93" s="286"/>
      <c r="U93" s="286"/>
      <c r="V93" s="286"/>
      <c r="W93" s="286"/>
      <c r="X93" s="286"/>
      <c r="Y93" s="286"/>
      <c r="Z93" s="286"/>
    </row>
    <row r="94" spans="1:26">
      <c r="A94" s="1452" t="s">
        <v>388</v>
      </c>
      <c r="B94" s="1452"/>
      <c r="C94" s="1452"/>
      <c r="D94" s="1452"/>
      <c r="E94" s="1452"/>
      <c r="F94" s="1452"/>
      <c r="G94" s="1453"/>
      <c r="H94" s="277">
        <f>H92+H90</f>
        <v>395127.71026569459</v>
      </c>
      <c r="I94" s="298">
        <f>H94/K1</f>
        <v>5065.7398752012132</v>
      </c>
      <c r="J94" s="299"/>
      <c r="K94" s="299"/>
      <c r="L94" s="299"/>
      <c r="M94" s="299"/>
      <c r="N94" s="299"/>
      <c r="O94" s="299"/>
      <c r="P94" s="299"/>
      <c r="Q94" s="299"/>
      <c r="R94" s="299"/>
      <c r="S94" s="299"/>
      <c r="T94" s="299"/>
      <c r="U94" s="299"/>
      <c r="V94" s="299"/>
      <c r="W94" s="299"/>
      <c r="X94" s="299"/>
      <c r="Y94" s="299"/>
      <c r="Z94" s="299"/>
    </row>
    <row r="95" spans="1:26">
      <c r="H95" s="295"/>
      <c r="I95" s="303"/>
      <c r="J95" s="286"/>
      <c r="K95" s="304"/>
      <c r="L95" s="286"/>
      <c r="M95" s="286"/>
      <c r="N95" s="286"/>
      <c r="O95" s="286"/>
      <c r="P95" s="286"/>
      <c r="Q95" s="286"/>
      <c r="R95" s="286"/>
      <c r="S95" s="286"/>
      <c r="T95" s="286"/>
      <c r="U95" s="286"/>
      <c r="V95" s="286"/>
      <c r="W95" s="286"/>
      <c r="X95" s="286"/>
      <c r="Y95" s="286"/>
      <c r="Z95" s="286"/>
    </row>
    <row r="96" spans="1:26">
      <c r="A96" s="1452" t="s">
        <v>389</v>
      </c>
      <c r="B96" s="1452"/>
      <c r="C96" s="1452"/>
      <c r="D96" s="1452"/>
      <c r="E96" s="1452"/>
      <c r="F96" s="1452"/>
      <c r="G96" s="1453"/>
      <c r="H96" s="277">
        <f>H78-H90</f>
        <v>5233.4688567630947</v>
      </c>
      <c r="I96" s="298">
        <f>H96/K1</f>
        <v>67.095754573885827</v>
      </c>
      <c r="J96" s="299"/>
      <c r="K96" s="299"/>
      <c r="L96" s="299"/>
      <c r="M96" s="299"/>
      <c r="N96" s="299"/>
      <c r="O96" s="299"/>
      <c r="P96" s="299"/>
      <c r="Q96" s="299"/>
      <c r="R96" s="299"/>
      <c r="S96" s="299"/>
      <c r="T96" s="299"/>
      <c r="U96" s="299"/>
      <c r="V96" s="299"/>
      <c r="W96" s="299"/>
      <c r="X96" s="299"/>
      <c r="Y96" s="299"/>
      <c r="Z96" s="299"/>
    </row>
    <row r="97" spans="1:26">
      <c r="A97" s="286"/>
      <c r="B97" s="286"/>
      <c r="C97" s="286"/>
      <c r="D97" s="286"/>
      <c r="E97" s="286"/>
      <c r="F97" s="286"/>
      <c r="G97" s="286"/>
      <c r="H97" s="305"/>
      <c r="I97" s="303"/>
      <c r="J97" s="286"/>
      <c r="K97" s="304"/>
      <c r="L97" s="286"/>
      <c r="M97" s="286"/>
      <c r="N97" s="286"/>
      <c r="O97" s="286"/>
      <c r="P97" s="286"/>
      <c r="Q97" s="286"/>
      <c r="R97" s="286"/>
      <c r="S97" s="286"/>
      <c r="T97" s="286"/>
      <c r="U97" s="286"/>
      <c r="V97" s="286"/>
      <c r="W97" s="286"/>
      <c r="X97" s="286"/>
      <c r="Y97" s="286"/>
      <c r="Z97" s="286"/>
    </row>
    <row r="98" spans="1:26">
      <c r="A98" s="1452" t="s">
        <v>390</v>
      </c>
      <c r="B98" s="1452"/>
      <c r="C98" s="1452"/>
      <c r="D98" s="1452"/>
      <c r="E98" s="1452"/>
      <c r="F98" s="1452"/>
      <c r="G98" s="1453"/>
      <c r="H98" s="306">
        <f>H96/H78</f>
        <v>4.506005607683649E-2</v>
      </c>
      <c r="I98" s="307">
        <f>H98</f>
        <v>4.506005607683649E-2</v>
      </c>
      <c r="J98" s="308"/>
      <c r="K98" s="308"/>
      <c r="L98" s="308"/>
      <c r="M98" s="308"/>
      <c r="N98" s="308"/>
      <c r="O98" s="308"/>
      <c r="P98" s="308"/>
      <c r="Q98" s="308"/>
      <c r="R98" s="308"/>
      <c r="S98" s="308"/>
      <c r="T98" s="308"/>
      <c r="U98" s="308"/>
      <c r="V98" s="308"/>
      <c r="W98" s="308"/>
      <c r="X98" s="308"/>
      <c r="Y98" s="308"/>
      <c r="Z98" s="308"/>
    </row>
    <row r="99" spans="1:26">
      <c r="H99" s="295"/>
      <c r="I99" s="303"/>
      <c r="J99" s="286"/>
      <c r="K99" s="304"/>
      <c r="L99" s="286"/>
      <c r="M99" s="286"/>
      <c r="N99" s="286"/>
      <c r="O99" s="286"/>
      <c r="P99" s="286"/>
      <c r="Q99" s="286"/>
      <c r="R99" s="286"/>
      <c r="S99" s="286"/>
      <c r="T99" s="286"/>
      <c r="U99" s="286"/>
      <c r="V99" s="286"/>
      <c r="W99" s="286"/>
      <c r="X99" s="286"/>
      <c r="Y99" s="286"/>
      <c r="Z99" s="286"/>
    </row>
    <row r="100" spans="1:26">
      <c r="A100" s="1452" t="s">
        <v>391</v>
      </c>
      <c r="B100" s="1452"/>
      <c r="C100" s="1452"/>
      <c r="D100" s="1452"/>
      <c r="E100" s="1452"/>
      <c r="F100" s="1452"/>
      <c r="G100" s="1453"/>
      <c r="H100" s="277">
        <f>H96-H92</f>
        <v>-278983.40614323691</v>
      </c>
      <c r="I100" s="298">
        <f>H100/K1</f>
        <v>-3576.7103351697037</v>
      </c>
      <c r="J100" s="299"/>
      <c r="K100" s="299"/>
      <c r="L100" s="299"/>
      <c r="M100" s="299"/>
      <c r="N100" s="299"/>
      <c r="O100" s="299"/>
      <c r="P100" s="299"/>
      <c r="Q100" s="299"/>
      <c r="R100" s="299"/>
      <c r="S100" s="299"/>
      <c r="T100" s="299"/>
      <c r="U100" s="299"/>
      <c r="V100" s="299"/>
      <c r="W100" s="299"/>
      <c r="X100" s="299"/>
      <c r="Y100" s="299"/>
      <c r="Z100" s="299"/>
    </row>
    <row r="101" spans="1:26">
      <c r="H101" s="295"/>
      <c r="I101" s="303"/>
      <c r="J101" s="286"/>
      <c r="K101" s="286"/>
      <c r="L101" s="286"/>
      <c r="M101" s="286"/>
      <c r="N101" s="286"/>
      <c r="O101" s="286"/>
      <c r="P101" s="286"/>
      <c r="Q101" s="286"/>
      <c r="R101" s="286"/>
      <c r="S101" s="286"/>
      <c r="T101" s="286"/>
      <c r="U101" s="286"/>
      <c r="V101" s="286"/>
      <c r="W101" s="286"/>
      <c r="X101" s="286"/>
      <c r="Y101" s="286"/>
      <c r="Z101" s="286"/>
    </row>
    <row r="102" spans="1:26">
      <c r="A102" s="1452" t="s">
        <v>392</v>
      </c>
      <c r="B102" s="1452"/>
      <c r="C102" s="1452"/>
      <c r="D102" s="1452"/>
      <c r="E102" s="1452"/>
      <c r="F102" s="1452"/>
      <c r="G102" s="1453"/>
      <c r="H102" s="277">
        <f>$H$4</f>
        <v>568433.75</v>
      </c>
      <c r="I102" s="298">
        <f>H102/K1</f>
        <v>7287.6121794871797</v>
      </c>
      <c r="J102" s="309"/>
      <c r="K102" s="309"/>
      <c r="L102" s="309"/>
      <c r="M102" s="309"/>
      <c r="N102" s="309"/>
      <c r="O102" s="309"/>
      <c r="P102" s="309"/>
      <c r="Q102" s="309"/>
      <c r="R102" s="309"/>
      <c r="S102" s="309"/>
      <c r="T102" s="309"/>
      <c r="U102" s="309"/>
      <c r="V102" s="309"/>
      <c r="W102" s="309"/>
      <c r="X102" s="309"/>
      <c r="Y102" s="309"/>
      <c r="Z102" s="309"/>
    </row>
    <row r="103" spans="1:26">
      <c r="H103" s="295"/>
      <c r="I103" s="303"/>
      <c r="J103" s="286"/>
      <c r="K103" s="286"/>
      <c r="L103" s="286"/>
      <c r="M103" s="286"/>
      <c r="N103" s="286"/>
      <c r="O103" s="286"/>
      <c r="P103" s="286"/>
      <c r="Q103" s="286"/>
      <c r="R103" s="286"/>
      <c r="S103" s="286"/>
      <c r="T103" s="286"/>
      <c r="U103" s="286"/>
      <c r="V103" s="286"/>
      <c r="W103" s="286"/>
      <c r="X103" s="286"/>
      <c r="Y103" s="286"/>
      <c r="Z103" s="286"/>
    </row>
    <row r="104" spans="1:26">
      <c r="A104" s="1452" t="s">
        <v>393</v>
      </c>
      <c r="B104" s="1452"/>
      <c r="C104" s="1452"/>
      <c r="D104" s="1452"/>
      <c r="E104" s="1452"/>
      <c r="F104" s="1452"/>
      <c r="G104" s="1453"/>
      <c r="H104" s="306">
        <f>(H100*$B$10*1000)/((H102+$H$5)*1000000)</f>
        <v>-8.5355335150845771E-2</v>
      </c>
      <c r="I104" s="307">
        <f>H104</f>
        <v>-8.5355335150845771E-2</v>
      </c>
      <c r="J104" s="308"/>
      <c r="K104" s="308"/>
      <c r="L104" s="308"/>
      <c r="M104" s="308"/>
      <c r="N104" s="308"/>
      <c r="O104" s="308"/>
      <c r="P104" s="308"/>
      <c r="Q104" s="308"/>
      <c r="R104" s="308"/>
      <c r="S104" s="308"/>
      <c r="T104" s="308"/>
      <c r="U104" s="308"/>
      <c r="V104" s="308"/>
      <c r="W104" s="308"/>
      <c r="X104" s="308"/>
      <c r="Y104" s="308"/>
      <c r="Z104" s="308"/>
    </row>
    <row r="110" spans="1:26">
      <c r="F110" s="259"/>
      <c r="G110" s="208"/>
    </row>
    <row r="111" spans="1:26">
      <c r="B111" s="245"/>
      <c r="C111" s="245"/>
      <c r="D111" s="245"/>
      <c r="E111" s="245"/>
      <c r="F111" s="245"/>
      <c r="H111" s="259"/>
    </row>
    <row r="112" spans="1:26">
      <c r="G112" s="281"/>
      <c r="H112" s="281"/>
    </row>
  </sheetData>
  <mergeCells count="23">
    <mergeCell ref="B33:C33"/>
    <mergeCell ref="B16:C16"/>
    <mergeCell ref="B20:C20"/>
    <mergeCell ref="B30:C30"/>
    <mergeCell ref="B31:C31"/>
    <mergeCell ref="B32:C32"/>
    <mergeCell ref="A94:G94"/>
    <mergeCell ref="B35:C35"/>
    <mergeCell ref="B37:C37"/>
    <mergeCell ref="A51:G51"/>
    <mergeCell ref="A73:G73"/>
    <mergeCell ref="A76:Z76"/>
    <mergeCell ref="A78:G78"/>
    <mergeCell ref="A82:G82"/>
    <mergeCell ref="A86:G86"/>
    <mergeCell ref="A88:G88"/>
    <mergeCell ref="A90:G90"/>
    <mergeCell ref="A92:G92"/>
    <mergeCell ref="A96:G96"/>
    <mergeCell ref="A98:G98"/>
    <mergeCell ref="A100:G100"/>
    <mergeCell ref="A102:G102"/>
    <mergeCell ref="A104:G104"/>
  </mergeCell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1"/>
  <dimension ref="A1:W18"/>
  <sheetViews>
    <sheetView showGridLines="0" showRuler="0" zoomScale="93" zoomScaleNormal="93" workbookViewId="0">
      <selection activeCell="E11" sqref="E11"/>
    </sheetView>
  </sheetViews>
  <sheetFormatPr defaultRowHeight="15"/>
  <cols>
    <col min="1" max="1" width="5.140625" style="5" customWidth="1"/>
    <col min="2" max="2" width="55.5703125" style="5" bestFit="1" customWidth="1"/>
    <col min="3" max="3" width="14.7109375" style="5" bestFit="1" customWidth="1"/>
    <col min="4" max="4" width="20.42578125" style="5" customWidth="1"/>
    <col min="5" max="12" width="15.7109375" style="5" customWidth="1"/>
    <col min="13" max="23" width="9.140625" style="5" customWidth="1"/>
    <col min="24" max="16384" width="9.140625" style="5"/>
  </cols>
  <sheetData>
    <row r="1" spans="1:23">
      <c r="A1" s="1428" t="s">
        <v>542</v>
      </c>
      <c r="B1" s="1428"/>
      <c r="C1" s="1428"/>
      <c r="D1" s="1428"/>
    </row>
    <row r="2" spans="1:23">
      <c r="A2" s="134"/>
      <c r="B2" s="134" t="s">
        <v>431</v>
      </c>
      <c r="C2" s="134"/>
      <c r="D2" s="134" t="s">
        <v>123</v>
      </c>
      <c r="E2" s="711">
        <v>2028</v>
      </c>
      <c r="F2" s="711">
        <v>2029</v>
      </c>
      <c r="G2" s="711">
        <v>2030</v>
      </c>
      <c r="H2" s="711">
        <v>2031</v>
      </c>
      <c r="I2" s="711">
        <v>2032</v>
      </c>
      <c r="J2" s="711">
        <v>2033</v>
      </c>
      <c r="K2" s="711">
        <v>2034</v>
      </c>
      <c r="L2" s="711">
        <v>2035</v>
      </c>
      <c r="M2" s="711">
        <v>2036</v>
      </c>
      <c r="N2" s="711">
        <v>2037</v>
      </c>
      <c r="O2" s="711">
        <v>2038</v>
      </c>
      <c r="P2" s="711">
        <v>2039</v>
      </c>
      <c r="Q2" s="711">
        <v>2040</v>
      </c>
      <c r="R2" s="711">
        <v>2041</v>
      </c>
      <c r="S2" s="711">
        <v>2042</v>
      </c>
      <c r="T2" s="711">
        <v>2043</v>
      </c>
      <c r="U2" s="711">
        <v>2044</v>
      </c>
      <c r="V2" s="711">
        <v>2045</v>
      </c>
      <c r="W2" s="711">
        <v>2046</v>
      </c>
    </row>
    <row r="3" spans="1:23">
      <c r="A3" s="10" t="s">
        <v>12</v>
      </c>
      <c r="B3" s="10" t="s">
        <v>13</v>
      </c>
      <c r="C3" s="10"/>
      <c r="D3" s="135">
        <f>D4+D7+D9+D12</f>
        <v>1600.8119673324711</v>
      </c>
    </row>
    <row r="4" spans="1:23">
      <c r="A4" s="55" t="s">
        <v>14</v>
      </c>
      <c r="B4" s="55" t="s">
        <v>522</v>
      </c>
      <c r="C4" s="55"/>
      <c r="D4" s="132">
        <f>D5+D6</f>
        <v>1344.288902571471</v>
      </c>
      <c r="E4" s="710">
        <f>D4+D4*1.2%</f>
        <v>1360.4203694023286</v>
      </c>
      <c r="F4" s="710">
        <f t="shared" ref="F4:W4" si="0">E4+E4*1.2%</f>
        <v>1376.7454138351566</v>
      </c>
      <c r="G4" s="710">
        <f t="shared" si="0"/>
        <v>1393.2663588011785</v>
      </c>
      <c r="H4" s="710">
        <f t="shared" si="0"/>
        <v>1409.9855551067926</v>
      </c>
      <c r="I4" s="710">
        <f t="shared" si="0"/>
        <v>1426.9053817680742</v>
      </c>
      <c r="J4" s="710">
        <f t="shared" si="0"/>
        <v>1444.0282463492911</v>
      </c>
      <c r="K4" s="710">
        <f t="shared" si="0"/>
        <v>1461.3565853054827</v>
      </c>
      <c r="L4" s="710">
        <f t="shared" si="0"/>
        <v>1478.8928643291486</v>
      </c>
      <c r="M4" s="710">
        <f t="shared" si="0"/>
        <v>1496.6395787010983</v>
      </c>
      <c r="N4" s="710">
        <f t="shared" si="0"/>
        <v>1514.5992536455115</v>
      </c>
      <c r="O4" s="710">
        <f t="shared" si="0"/>
        <v>1532.7744446892575</v>
      </c>
      <c r="P4" s="710">
        <f t="shared" si="0"/>
        <v>1551.1677380255287</v>
      </c>
      <c r="Q4" s="710">
        <f t="shared" si="0"/>
        <v>1569.781750881835</v>
      </c>
      <c r="R4" s="710">
        <f t="shared" si="0"/>
        <v>1588.619131892417</v>
      </c>
      <c r="S4" s="710">
        <f t="shared" si="0"/>
        <v>1607.682561475126</v>
      </c>
      <c r="T4" s="710">
        <f t="shared" si="0"/>
        <v>1626.9747522128275</v>
      </c>
      <c r="U4" s="710">
        <f>T4+T4*1.2%</f>
        <v>1646.4984492393814</v>
      </c>
      <c r="V4" s="710">
        <f t="shared" si="0"/>
        <v>1666.256430630254</v>
      </c>
      <c r="W4" s="710">
        <f t="shared" si="0"/>
        <v>1686.2515077978171</v>
      </c>
    </row>
    <row r="5" spans="1:23">
      <c r="A5" s="9">
        <v>1</v>
      </c>
      <c r="B5" s="9" t="s">
        <v>15</v>
      </c>
      <c r="C5" s="9" t="s">
        <v>16</v>
      </c>
      <c r="D5" s="133">
        <f>'Annual COP'!I8</f>
        <v>1250.260209571471</v>
      </c>
    </row>
    <row r="6" spans="1:23">
      <c r="A6" s="9">
        <v>2</v>
      </c>
      <c r="B6" s="9" t="s">
        <v>17</v>
      </c>
      <c r="C6" s="9"/>
      <c r="D6" s="133">
        <f>'Annual COP'!I10</f>
        <v>94.028693000000004</v>
      </c>
    </row>
    <row r="7" spans="1:23">
      <c r="A7" s="55" t="s">
        <v>5</v>
      </c>
      <c r="B7" s="55" t="s">
        <v>18</v>
      </c>
      <c r="C7" s="55"/>
      <c r="D7" s="132">
        <f>D8</f>
        <v>26.91</v>
      </c>
    </row>
    <row r="8" spans="1:23">
      <c r="A8" s="9">
        <v>3</v>
      </c>
      <c r="B8" s="9" t="s">
        <v>19</v>
      </c>
      <c r="C8" s="9" t="s">
        <v>16</v>
      </c>
      <c r="D8" s="133">
        <f>'Annual COP'!I16</f>
        <v>26.91</v>
      </c>
    </row>
    <row r="9" spans="1:23">
      <c r="A9" s="55" t="s">
        <v>6</v>
      </c>
      <c r="B9" s="55" t="s">
        <v>20</v>
      </c>
      <c r="C9" s="55"/>
      <c r="D9" s="132">
        <f>D11+D10</f>
        <v>199.07493038600003</v>
      </c>
    </row>
    <row r="10" spans="1:23">
      <c r="A10" s="9">
        <v>4</v>
      </c>
      <c r="B10" s="9" t="s">
        <v>21</v>
      </c>
      <c r="C10" s="9"/>
      <c r="D10" s="133">
        <f>'Annual COP'!I9</f>
        <v>24.52</v>
      </c>
    </row>
    <row r="11" spans="1:23">
      <c r="A11" s="9">
        <v>5</v>
      </c>
      <c r="B11" s="9" t="s">
        <v>22</v>
      </c>
      <c r="C11" s="9"/>
      <c r="D11" s="133">
        <f>'Annual COP'!I11</f>
        <v>174.55493038600002</v>
      </c>
    </row>
    <row r="12" spans="1:23">
      <c r="A12" s="55" t="s">
        <v>7</v>
      </c>
      <c r="B12" s="55" t="s">
        <v>23</v>
      </c>
      <c r="C12" s="55"/>
      <c r="D12" s="132">
        <f>D13+D14</f>
        <v>30.538134374999998</v>
      </c>
    </row>
    <row r="13" spans="1:23" ht="26.25">
      <c r="A13" s="9">
        <v>6</v>
      </c>
      <c r="B13" s="9" t="s">
        <v>463</v>
      </c>
      <c r="C13" s="11">
        <v>1.4999999999999999E-2</v>
      </c>
      <c r="D13" s="133">
        <f>C13*Capex!D22</f>
        <v>26.530124999999998</v>
      </c>
    </row>
    <row r="14" spans="1:23">
      <c r="A14" s="9">
        <v>7</v>
      </c>
      <c r="B14" s="9" t="s">
        <v>90</v>
      </c>
      <c r="C14" s="11">
        <v>7.4999999999999997E-2</v>
      </c>
      <c r="D14" s="42">
        <f>C14*(D13+D8)</f>
        <v>4.0080093749999994</v>
      </c>
    </row>
    <row r="15" spans="1:23">
      <c r="A15" s="55" t="s">
        <v>24</v>
      </c>
      <c r="B15" s="55" t="s">
        <v>25</v>
      </c>
      <c r="C15" s="56"/>
      <c r="D15" s="132">
        <f>D17+D16</f>
        <v>80.54781646858082</v>
      </c>
    </row>
    <row r="16" spans="1:23">
      <c r="A16" s="9">
        <v>9</v>
      </c>
      <c r="B16" s="9" t="s">
        <v>525</v>
      </c>
      <c r="C16" s="11">
        <v>2.5000000000000001E-2</v>
      </c>
      <c r="D16" s="133">
        <f>Sales!E5*C16</f>
        <v>56.535636958593756</v>
      </c>
    </row>
    <row r="17" spans="1:4">
      <c r="A17" s="9">
        <v>10</v>
      </c>
      <c r="B17" s="9" t="s">
        <v>162</v>
      </c>
      <c r="C17" s="11">
        <v>1.4999999999999999E-2</v>
      </c>
      <c r="D17" s="133">
        <f>D3*C17</f>
        <v>24.012179509987067</v>
      </c>
    </row>
    <row r="18" spans="1:4">
      <c r="A18" s="10"/>
      <c r="B18" s="10" t="s">
        <v>26</v>
      </c>
      <c r="C18" s="10"/>
      <c r="D18" s="135">
        <f>D15+D3</f>
        <v>1681.3597838010519</v>
      </c>
    </row>
  </sheetData>
  <mergeCells count="1">
    <mergeCell ref="A1:D1"/>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dimension ref="A1:Z15"/>
  <sheetViews>
    <sheetView showGridLines="0" workbookViewId="0">
      <selection activeCell="AA16" sqref="AA16"/>
    </sheetView>
  </sheetViews>
  <sheetFormatPr defaultRowHeight="15"/>
  <cols>
    <col min="1" max="1" width="33.140625" style="3" bestFit="1" customWidth="1"/>
    <col min="2" max="2" width="22.5703125" style="3" bestFit="1" customWidth="1"/>
    <col min="3" max="3" width="9.140625" style="3"/>
    <col min="4" max="4" width="13.7109375" style="3" customWidth="1"/>
    <col min="5" max="5" width="18.28515625" style="3" bestFit="1" customWidth="1"/>
    <col min="6" max="7" width="16.5703125" style="3" bestFit="1" customWidth="1"/>
    <col min="8" max="14" width="15.5703125" style="3" bestFit="1" customWidth="1"/>
    <col min="15" max="15" width="13.5703125" style="3" bestFit="1" customWidth="1"/>
    <col min="16" max="24" width="11" style="3" bestFit="1" customWidth="1"/>
    <col min="25" max="16384" width="9.140625" style="3"/>
  </cols>
  <sheetData>
    <row r="1" spans="1:26">
      <c r="A1" s="1469"/>
      <c r="B1" s="1470"/>
      <c r="C1" s="1470"/>
      <c r="D1" s="1470"/>
      <c r="E1" s="62">
        <v>1</v>
      </c>
      <c r="F1" s="62">
        <v>2</v>
      </c>
      <c r="G1" s="62">
        <v>3</v>
      </c>
      <c r="H1" s="62">
        <v>4</v>
      </c>
      <c r="I1" s="62">
        <v>5</v>
      </c>
      <c r="J1" s="62">
        <v>6</v>
      </c>
      <c r="K1" s="63">
        <v>7</v>
      </c>
      <c r="L1" s="62">
        <v>8</v>
      </c>
      <c r="M1" s="63">
        <v>9</v>
      </c>
      <c r="N1" s="62">
        <v>10</v>
      </c>
      <c r="O1" s="62">
        <v>11</v>
      </c>
      <c r="P1" s="62">
        <v>12</v>
      </c>
      <c r="Q1" s="62">
        <v>13</v>
      </c>
      <c r="R1" s="62">
        <v>14</v>
      </c>
      <c r="S1" s="62">
        <v>15</v>
      </c>
      <c r="T1" s="62">
        <v>16</v>
      </c>
      <c r="U1" s="62">
        <v>17</v>
      </c>
      <c r="V1" s="62">
        <v>18</v>
      </c>
      <c r="W1" s="62">
        <v>19</v>
      </c>
      <c r="X1" s="62">
        <v>20</v>
      </c>
    </row>
    <row r="2" spans="1:26">
      <c r="A2" s="64" t="s">
        <v>47</v>
      </c>
      <c r="B2" s="26"/>
      <c r="C2" s="27"/>
      <c r="E2" s="26"/>
      <c r="F2" s="26"/>
      <c r="G2" s="26"/>
      <c r="H2" s="26"/>
      <c r="I2" s="26"/>
      <c r="J2" s="26"/>
      <c r="K2" s="26"/>
      <c r="L2" s="26"/>
      <c r="M2" s="26"/>
      <c r="N2" s="26"/>
    </row>
    <row r="3" spans="1:26">
      <c r="A3" s="66"/>
      <c r="B3" s="27" t="s">
        <v>48</v>
      </c>
      <c r="C3" s="26" t="s">
        <v>49</v>
      </c>
      <c r="E3" s="30">
        <v>30</v>
      </c>
      <c r="F3" s="30">
        <v>30</v>
      </c>
      <c r="G3" s="30">
        <v>30</v>
      </c>
      <c r="H3" s="30">
        <v>30</v>
      </c>
      <c r="I3" s="30">
        <v>30</v>
      </c>
      <c r="J3" s="30">
        <v>30</v>
      </c>
      <c r="K3" s="30">
        <v>30</v>
      </c>
      <c r="L3" s="30">
        <v>30</v>
      </c>
      <c r="M3" s="30">
        <v>30</v>
      </c>
      <c r="N3" s="30">
        <v>30</v>
      </c>
      <c r="O3" s="30">
        <v>30</v>
      </c>
      <c r="P3" s="30">
        <v>30</v>
      </c>
      <c r="Q3" s="30">
        <v>30</v>
      </c>
      <c r="R3" s="30">
        <v>30</v>
      </c>
      <c r="S3" s="30">
        <v>30</v>
      </c>
      <c r="T3" s="30">
        <v>30</v>
      </c>
      <c r="U3" s="30">
        <v>30</v>
      </c>
      <c r="V3" s="30">
        <v>30</v>
      </c>
      <c r="W3" s="30">
        <v>30</v>
      </c>
      <c r="X3" s="30">
        <v>30</v>
      </c>
    </row>
    <row r="4" spans="1:26">
      <c r="A4" s="66"/>
      <c r="B4" s="27" t="s">
        <v>50</v>
      </c>
      <c r="C4" s="26"/>
      <c r="E4" s="28">
        <f>'Cashflow Option 1'!H11</f>
        <v>2035.2829305093751</v>
      </c>
      <c r="F4" s="28">
        <f>'Cashflow Option 1'!I11</f>
        <v>2393.1580027410423</v>
      </c>
      <c r="G4" s="28">
        <f>'Cashflow Option 1'!J11</f>
        <v>2532.5647444396996</v>
      </c>
      <c r="H4" s="28">
        <f>'Cashflow Option 1'!K11</f>
        <v>2680.0928041001916</v>
      </c>
      <c r="I4" s="28">
        <f>'Cashflow Option 1'!L11</f>
        <v>2836.215332307238</v>
      </c>
      <c r="J4" s="28">
        <f>'Cashflow Option 1'!M11</f>
        <v>3001.4330474494791</v>
      </c>
      <c r="K4" s="28">
        <f>'Cashflow Option 1'!N11</f>
        <v>3176.2758420491173</v>
      </c>
      <c r="L4" s="28">
        <f>'Cashflow Option 1'!O11</f>
        <v>3361.304482696059</v>
      </c>
      <c r="M4" s="28">
        <f>'Cashflow Option 1'!P11</f>
        <v>3557.112409041446</v>
      </c>
      <c r="N4" s="28">
        <f>'Cashflow Option 1'!Q11</f>
        <v>3764.3276376234389</v>
      </c>
      <c r="O4" s="28">
        <f>'Cashflow Option 1'!R11</f>
        <v>3983.6147766344848</v>
      </c>
      <c r="P4" s="28">
        <f>'Cashflow Option 1'!S11</f>
        <v>4215.6771580954173</v>
      </c>
      <c r="Q4" s="28">
        <f>'Cashflow Option 1'!T11</f>
        <v>4461.2590942785073</v>
      </c>
      <c r="R4" s="28">
        <f>'Cashflow Option 1'!U11</f>
        <v>4721.1482656203543</v>
      </c>
      <c r="S4" s="28">
        <f>'Cashflow Option 1'!V11</f>
        <v>4996.1782477875067</v>
      </c>
      <c r="T4" s="28">
        <f>'Cashflow Option 1'!W11</f>
        <v>5287.2311860043483</v>
      </c>
      <c r="U4" s="28">
        <f>'Cashflow Option 1'!X11</f>
        <v>5595.2406252253295</v>
      </c>
      <c r="V4" s="28">
        <f>'Cashflow Option 1'!Y11</f>
        <v>5921.1945052339461</v>
      </c>
      <c r="W4" s="28">
        <f>'Cashflow Option 1'!Z11</f>
        <v>6266.1383302800223</v>
      </c>
      <c r="X4" s="28">
        <f>'Cashflow Option 1'!AA11</f>
        <v>6631.1785234272465</v>
      </c>
    </row>
    <row r="5" spans="1:26">
      <c r="A5" s="66"/>
      <c r="B5" s="27" t="s">
        <v>51</v>
      </c>
      <c r="C5" s="26"/>
      <c r="E5" s="28">
        <f>+E4/365*E3</f>
        <v>167.28352853501713</v>
      </c>
      <c r="F5" s="28">
        <f t="shared" ref="F5:X5" si="0">+F4/365*F3</f>
        <v>196.69791803351035</v>
      </c>
      <c r="G5" s="28">
        <f t="shared" si="0"/>
        <v>208.15600639230405</v>
      </c>
      <c r="H5" s="28">
        <f t="shared" si="0"/>
        <v>220.28160033700206</v>
      </c>
      <c r="I5" s="28">
        <f t="shared" si="0"/>
        <v>233.11358895675929</v>
      </c>
      <c r="J5" s="28">
        <f t="shared" si="0"/>
        <v>246.69312718762845</v>
      </c>
      <c r="K5" s="28">
        <f t="shared" si="0"/>
        <v>261.06376783965345</v>
      </c>
      <c r="L5" s="28">
        <f t="shared" si="0"/>
        <v>276.27160131748428</v>
      </c>
      <c r="M5" s="28">
        <f t="shared" si="0"/>
        <v>292.3654034828586</v>
      </c>
      <c r="N5" s="28">
        <f t="shared" si="0"/>
        <v>309.39679213343334</v>
      </c>
      <c r="O5" s="28">
        <f t="shared" si="0"/>
        <v>327.42039260009466</v>
      </c>
      <c r="P5" s="28">
        <f t="shared" si="0"/>
        <v>346.49401299414387</v>
      </c>
      <c r="Q5" s="28">
        <f t="shared" si="0"/>
        <v>366.67882966672664</v>
      </c>
      <c r="R5" s="28">
        <f t="shared" si="0"/>
        <v>388.0395834756456</v>
      </c>
      <c r="S5" s="28">
        <f t="shared" si="0"/>
        <v>410.6447874893841</v>
      </c>
      <c r="T5" s="28">
        <f t="shared" si="0"/>
        <v>434.56694679487794</v>
      </c>
      <c r="U5" s="28">
        <f t="shared" si="0"/>
        <v>459.88279111441068</v>
      </c>
      <c r="V5" s="28">
        <f t="shared" si="0"/>
        <v>486.67352097813256</v>
      </c>
      <c r="W5" s="28">
        <f t="shared" si="0"/>
        <v>515.02506824219358</v>
      </c>
      <c r="X5" s="28">
        <f t="shared" si="0"/>
        <v>545.02837178854077</v>
      </c>
    </row>
    <row r="6" spans="1:26">
      <c r="A6" s="66"/>
      <c r="B6" s="26"/>
      <c r="C6" s="26"/>
      <c r="E6" s="26"/>
      <c r="F6" s="26"/>
      <c r="G6" s="26"/>
      <c r="H6" s="26">
        <v>0.05</v>
      </c>
      <c r="I6" s="26"/>
      <c r="J6" s="26"/>
      <c r="K6" s="26"/>
      <c r="L6" s="26"/>
      <c r="M6" s="26"/>
      <c r="N6" s="26"/>
    </row>
    <row r="7" spans="1:26">
      <c r="A7" s="64" t="s">
        <v>52</v>
      </c>
      <c r="B7" s="26"/>
      <c r="C7" s="27"/>
      <c r="E7" s="26"/>
      <c r="F7" s="26"/>
      <c r="G7" s="26"/>
      <c r="H7" s="26"/>
      <c r="I7" s="26"/>
      <c r="J7" s="26"/>
      <c r="K7" s="26"/>
      <c r="L7" s="26"/>
      <c r="M7" s="26"/>
      <c r="N7" s="26"/>
    </row>
    <row r="8" spans="1:26">
      <c r="A8" s="66"/>
      <c r="B8" s="27" t="s">
        <v>53</v>
      </c>
      <c r="C8" s="26" t="s">
        <v>49</v>
      </c>
      <c r="E8" s="30">
        <v>20</v>
      </c>
      <c r="F8" s="30">
        <v>20</v>
      </c>
      <c r="G8" s="30">
        <v>20</v>
      </c>
      <c r="H8" s="30">
        <v>20</v>
      </c>
      <c r="I8" s="30">
        <v>20</v>
      </c>
      <c r="J8" s="30">
        <v>20</v>
      </c>
      <c r="K8" s="30">
        <v>20</v>
      </c>
      <c r="L8" s="30">
        <v>20</v>
      </c>
      <c r="M8" s="30">
        <v>20</v>
      </c>
      <c r="N8" s="30">
        <v>20</v>
      </c>
      <c r="O8" s="30">
        <v>20</v>
      </c>
      <c r="P8" s="30">
        <v>20</v>
      </c>
      <c r="Q8" s="30">
        <v>20</v>
      </c>
      <c r="R8" s="30">
        <v>20</v>
      </c>
      <c r="S8" s="30">
        <v>20</v>
      </c>
      <c r="T8" s="30">
        <v>20</v>
      </c>
      <c r="U8" s="30">
        <v>20</v>
      </c>
      <c r="V8" s="30">
        <v>20</v>
      </c>
      <c r="W8" s="30">
        <v>20</v>
      </c>
      <c r="X8" s="30">
        <v>20</v>
      </c>
    </row>
    <row r="9" spans="1:26">
      <c r="A9" s="66"/>
      <c r="B9" s="27" t="s">
        <v>54</v>
      </c>
      <c r="C9" s="26"/>
      <c r="E9" s="29">
        <f>'Cashflow Option 1'!H20</f>
        <v>1515.9148054209468</v>
      </c>
      <c r="F9" s="29">
        <f>'Cashflow Option 1'!I20</f>
        <v>1773.8783569103452</v>
      </c>
      <c r="G9" s="29">
        <f>'Cashflow Option 1'!J20</f>
        <v>1871.5302396180693</v>
      </c>
      <c r="H9" s="29">
        <f>'Cashflow Option 1'!K20</f>
        <v>1974.6022431490962</v>
      </c>
      <c r="I9" s="29">
        <f>'Cashflow Option 1'!L20</f>
        <v>2083.3972966727506</v>
      </c>
      <c r="J9" s="29">
        <f>'Cashflow Option 1'!M20</f>
        <v>2198.2353573965352</v>
      </c>
      <c r="K9" s="29">
        <f>'Cashflow Option 1'!N20</f>
        <v>2319.4543722466615</v>
      </c>
      <c r="L9" s="29">
        <f>'Cashflow Option 1'!O20</f>
        <v>2447.4112940686136</v>
      </c>
      <c r="M9" s="29">
        <f>'Cashflow Option 1'!P20</f>
        <v>2582.4831554481293</v>
      </c>
      <c r="N9" s="29">
        <f>'Cashflow Option 1'!Q20</f>
        <v>2725.0682034297688</v>
      </c>
      <c r="O9" s="29">
        <f>'Cashflow Option 1'!R20</f>
        <v>2875.5870985970441</v>
      </c>
      <c r="P9" s="29">
        <f>'Cashflow Option 1'!S20</f>
        <v>3034.4841821756318</v>
      </c>
      <c r="Q9" s="29">
        <f>'Cashflow Option 1'!T20</f>
        <v>3202.2288150299696</v>
      </c>
      <c r="R9" s="29">
        <f>'Cashflow Option 1'!U20</f>
        <v>3379.3167926442848</v>
      </c>
      <c r="S9" s="29">
        <f>'Cashflow Option 1'!V20</f>
        <v>3566.2718404124134</v>
      </c>
      <c r="T9" s="29">
        <f>'Cashflow Option 1'!W20</f>
        <v>3763.6471938074937</v>
      </c>
      <c r="U9" s="29">
        <f>'Cashflow Option 1'!X20</f>
        <v>3972.0272682633235</v>
      </c>
      <c r="V9" s="29">
        <f>'Cashflow Option 1'!Y20</f>
        <v>4192.0294238749302</v>
      </c>
      <c r="W9" s="29">
        <f>'Cashflow Option 1'!Z20</f>
        <v>4424.3058303172356</v>
      </c>
      <c r="X9" s="29">
        <f>'Cashflow Option 1'!AA20</f>
        <v>4669.5454376888974</v>
      </c>
    </row>
    <row r="10" spans="1:26">
      <c r="A10" s="66"/>
      <c r="B10" s="27" t="s">
        <v>55</v>
      </c>
      <c r="C10" s="26"/>
      <c r="E10" s="28">
        <f>+E9/365*E8</f>
        <v>83.063824954572425</v>
      </c>
      <c r="F10" s="28">
        <f t="shared" ref="F10:X10" si="1">+F9/365*F8</f>
        <v>97.198814077279195</v>
      </c>
      <c r="G10" s="28">
        <f t="shared" si="1"/>
        <v>102.54960217085312</v>
      </c>
      <c r="H10" s="28">
        <f t="shared" si="1"/>
        <v>108.19738318625184</v>
      </c>
      <c r="I10" s="28">
        <f t="shared" si="1"/>
        <v>114.15875598206853</v>
      </c>
      <c r="J10" s="28">
        <f t="shared" si="1"/>
        <v>120.45125246008412</v>
      </c>
      <c r="K10" s="28">
        <f t="shared" si="1"/>
        <v>127.09339026009104</v>
      </c>
      <c r="L10" s="28">
        <f t="shared" si="1"/>
        <v>134.1047284421158</v>
      </c>
      <c r="M10" s="28">
        <f t="shared" si="1"/>
        <v>141.50592632592489</v>
      </c>
      <c r="N10" s="28">
        <f t="shared" si="1"/>
        <v>149.31880566738459</v>
      </c>
      <c r="O10" s="28">
        <f t="shared" si="1"/>
        <v>157.56641636148186</v>
      </c>
      <c r="P10" s="28">
        <f t="shared" si="1"/>
        <v>166.27310587263736</v>
      </c>
      <c r="Q10" s="28">
        <f t="shared" si="1"/>
        <v>175.46459260438189</v>
      </c>
      <c r="R10" s="28">
        <f t="shared" si="1"/>
        <v>185.16804343256354</v>
      </c>
      <c r="S10" s="28">
        <f t="shared" si="1"/>
        <v>195.41215563903634</v>
      </c>
      <c r="T10" s="28">
        <f t="shared" si="1"/>
        <v>206.22724349630104</v>
      </c>
      <c r="U10" s="28">
        <f t="shared" si="1"/>
        <v>217.64532976785335</v>
      </c>
      <c r="V10" s="28">
        <f t="shared" si="1"/>
        <v>229.70024240410578</v>
      </c>
      <c r="W10" s="28">
        <f t="shared" si="1"/>
        <v>242.42771672971156</v>
      </c>
      <c r="X10" s="28">
        <f t="shared" si="1"/>
        <v>255.86550343500807</v>
      </c>
      <c r="Y10" s="28"/>
      <c r="Z10" s="28"/>
    </row>
    <row r="11" spans="1:26">
      <c r="A11" s="66"/>
      <c r="B11" s="26"/>
      <c r="C11" s="26"/>
      <c r="E11" s="26"/>
      <c r="F11" s="26"/>
      <c r="G11" s="26"/>
      <c r="H11" s="26"/>
      <c r="I11" s="26"/>
      <c r="J11" s="26"/>
      <c r="K11" s="26"/>
      <c r="L11" s="26"/>
      <c r="M11" s="26"/>
      <c r="N11" s="26"/>
    </row>
    <row r="12" spans="1:26">
      <c r="A12" s="64" t="s">
        <v>56</v>
      </c>
      <c r="B12" s="26"/>
      <c r="C12" s="27"/>
      <c r="E12" s="26"/>
      <c r="F12" s="26"/>
      <c r="G12" s="26"/>
      <c r="H12" s="26"/>
      <c r="I12" s="26"/>
      <c r="J12" s="26"/>
      <c r="K12" s="26"/>
      <c r="L12" s="26"/>
      <c r="M12" s="26"/>
      <c r="N12" s="26"/>
    </row>
    <row r="13" spans="1:26">
      <c r="A13" s="66"/>
      <c r="B13" s="27" t="s">
        <v>57</v>
      </c>
      <c r="C13" s="26" t="s">
        <v>49</v>
      </c>
      <c r="E13" s="30">
        <v>10</v>
      </c>
      <c r="F13" s="30">
        <v>10</v>
      </c>
      <c r="G13" s="30">
        <v>10</v>
      </c>
      <c r="H13" s="30">
        <v>10</v>
      </c>
      <c r="I13" s="30">
        <v>10</v>
      </c>
      <c r="J13" s="30">
        <v>10</v>
      </c>
      <c r="K13" s="30">
        <v>10</v>
      </c>
      <c r="L13" s="30">
        <v>10</v>
      </c>
      <c r="M13" s="30">
        <v>10</v>
      </c>
      <c r="N13" s="30">
        <v>10</v>
      </c>
      <c r="O13" s="30">
        <v>10</v>
      </c>
      <c r="P13" s="30">
        <v>10</v>
      </c>
      <c r="Q13" s="30">
        <v>10</v>
      </c>
      <c r="R13" s="30">
        <v>10</v>
      </c>
      <c r="S13" s="30">
        <v>10</v>
      </c>
      <c r="T13" s="30">
        <v>10</v>
      </c>
      <c r="U13" s="30">
        <v>10</v>
      </c>
      <c r="V13" s="30">
        <v>10</v>
      </c>
      <c r="W13" s="30">
        <v>10</v>
      </c>
      <c r="X13" s="30">
        <v>10</v>
      </c>
    </row>
    <row r="14" spans="1:26">
      <c r="A14" s="66"/>
      <c r="B14" s="27" t="s">
        <v>58</v>
      </c>
      <c r="C14" s="26"/>
      <c r="E14" s="29">
        <f>-E9</f>
        <v>-1515.9148054209468</v>
      </c>
      <c r="F14" s="29">
        <f t="shared" ref="F14:X14" si="2">-F9</f>
        <v>-1773.8783569103452</v>
      </c>
      <c r="G14" s="29">
        <f t="shared" si="2"/>
        <v>-1871.5302396180693</v>
      </c>
      <c r="H14" s="29">
        <f t="shared" si="2"/>
        <v>-1974.6022431490962</v>
      </c>
      <c r="I14" s="29">
        <f t="shared" si="2"/>
        <v>-2083.3972966727506</v>
      </c>
      <c r="J14" s="29">
        <f t="shared" si="2"/>
        <v>-2198.2353573965352</v>
      </c>
      <c r="K14" s="29">
        <f t="shared" si="2"/>
        <v>-2319.4543722466615</v>
      </c>
      <c r="L14" s="29">
        <f t="shared" si="2"/>
        <v>-2447.4112940686136</v>
      </c>
      <c r="M14" s="29">
        <f>-M9</f>
        <v>-2582.4831554481293</v>
      </c>
      <c r="N14" s="29">
        <f t="shared" si="2"/>
        <v>-2725.0682034297688</v>
      </c>
      <c r="O14" s="29">
        <f t="shared" si="2"/>
        <v>-2875.5870985970441</v>
      </c>
      <c r="P14" s="29">
        <f t="shared" si="2"/>
        <v>-3034.4841821756318</v>
      </c>
      <c r="Q14" s="29">
        <f t="shared" si="2"/>
        <v>-3202.2288150299696</v>
      </c>
      <c r="R14" s="29">
        <f t="shared" si="2"/>
        <v>-3379.3167926442848</v>
      </c>
      <c r="S14" s="29">
        <f t="shared" si="2"/>
        <v>-3566.2718404124134</v>
      </c>
      <c r="T14" s="29">
        <f t="shared" si="2"/>
        <v>-3763.6471938074937</v>
      </c>
      <c r="U14" s="29">
        <f t="shared" si="2"/>
        <v>-3972.0272682633235</v>
      </c>
      <c r="V14" s="29">
        <f t="shared" si="2"/>
        <v>-4192.0294238749302</v>
      </c>
      <c r="W14" s="29">
        <f t="shared" si="2"/>
        <v>-4424.3058303172356</v>
      </c>
      <c r="X14" s="29">
        <f t="shared" si="2"/>
        <v>-4669.5454376888974</v>
      </c>
    </row>
    <row r="15" spans="1:26">
      <c r="A15" s="68"/>
      <c r="B15" s="69" t="s">
        <v>58</v>
      </c>
      <c r="C15" s="70"/>
      <c r="D15" s="71"/>
      <c r="E15" s="72">
        <f>+E14/365*E13</f>
        <v>-41.531912477286212</v>
      </c>
      <c r="F15" s="72">
        <f t="shared" ref="F15:X15" si="3">+F14/365*F13</f>
        <v>-48.599407038639598</v>
      </c>
      <c r="G15" s="72">
        <f t="shared" si="3"/>
        <v>-51.27480108542656</v>
      </c>
      <c r="H15" s="72">
        <f t="shared" si="3"/>
        <v>-54.09869159312592</v>
      </c>
      <c r="I15" s="72">
        <f t="shared" si="3"/>
        <v>-57.079377991034264</v>
      </c>
      <c r="J15" s="72">
        <f t="shared" si="3"/>
        <v>-60.22562623004206</v>
      </c>
      <c r="K15" s="72">
        <f t="shared" si="3"/>
        <v>-63.546695130045521</v>
      </c>
      <c r="L15" s="72">
        <f t="shared" si="3"/>
        <v>-67.0523642210579</v>
      </c>
      <c r="M15" s="72">
        <f t="shared" si="3"/>
        <v>-70.752963162962445</v>
      </c>
      <c r="N15" s="72">
        <f t="shared" si="3"/>
        <v>-74.659402833692297</v>
      </c>
      <c r="O15" s="72">
        <f t="shared" si="3"/>
        <v>-78.783208180740928</v>
      </c>
      <c r="P15" s="72">
        <f t="shared" si="3"/>
        <v>-83.136552936318679</v>
      </c>
      <c r="Q15" s="72">
        <f t="shared" si="3"/>
        <v>-87.732296302190946</v>
      </c>
      <c r="R15" s="72">
        <f t="shared" si="3"/>
        <v>-92.584021716281768</v>
      </c>
      <c r="S15" s="72">
        <f t="shared" si="3"/>
        <v>-97.706077819518171</v>
      </c>
      <c r="T15" s="72">
        <f t="shared" si="3"/>
        <v>-103.11362174815052</v>
      </c>
      <c r="U15" s="72">
        <f t="shared" si="3"/>
        <v>-108.82266488392668</v>
      </c>
      <c r="V15" s="72">
        <f t="shared" si="3"/>
        <v>-114.85012120205289</v>
      </c>
      <c r="W15" s="72">
        <f t="shared" si="3"/>
        <v>-121.21385836485578</v>
      </c>
      <c r="X15" s="72">
        <f t="shared" si="3"/>
        <v>-127.93275171750403</v>
      </c>
    </row>
  </sheetData>
  <mergeCells count="1">
    <mergeCell ref="A1:D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05895-4104-4F16-B2A3-D95CDBFE356F}">
  <sheetPr codeName="Sheet42"/>
  <dimension ref="A1:AB72"/>
  <sheetViews>
    <sheetView showGridLines="0" zoomScaleNormal="100" workbookViewId="0">
      <pane ySplit="9" topLeftCell="A23" activePane="bottomLeft" state="frozen"/>
      <selection activeCell="F23" sqref="F23:I23"/>
      <selection pane="bottomLeft" activeCell="F36" sqref="F36"/>
    </sheetView>
  </sheetViews>
  <sheetFormatPr defaultColWidth="8.7109375" defaultRowHeight="12.75"/>
  <cols>
    <col min="1" max="1" width="8.85546875" style="347" bestFit="1" customWidth="1"/>
    <col min="2" max="2" width="76.5703125" style="1" customWidth="1"/>
    <col min="3" max="3" width="15.140625" style="1" customWidth="1"/>
    <col min="4" max="4" width="10.28515625" style="1" customWidth="1"/>
    <col min="5" max="5" width="8.140625" style="1" customWidth="1"/>
    <col min="6" max="6" width="13.7109375" style="1" customWidth="1"/>
    <col min="7" max="7" width="23.42578125" style="1" customWidth="1"/>
    <col min="8" max="8" width="21.140625" style="1070" customWidth="1"/>
    <col min="9" max="10" width="14" style="1070" customWidth="1"/>
    <col min="11" max="11" width="16" style="1070" customWidth="1"/>
    <col min="12" max="12" width="18.5703125" style="1070" bestFit="1" customWidth="1"/>
    <col min="13" max="17" width="18.7109375" style="1070" bestFit="1" customWidth="1"/>
    <col min="18" max="18" width="15" style="1070" customWidth="1"/>
    <col min="19" max="19" width="16.28515625" style="1070" customWidth="1"/>
    <col min="20" max="20" width="16.42578125" style="1070" customWidth="1"/>
    <col min="21" max="21" width="18" style="1070" customWidth="1"/>
    <col min="22" max="22" width="18.7109375" style="1070" customWidth="1"/>
    <col min="23" max="23" width="19.140625" style="1070" customWidth="1"/>
    <col min="24" max="24" width="20.42578125" style="1070" customWidth="1"/>
    <col min="25" max="25" width="19" style="1070" customWidth="1"/>
    <col min="26" max="27" width="19.28515625" style="1070" customWidth="1"/>
    <col min="28" max="16384" width="8.7109375" style="1"/>
  </cols>
  <sheetData>
    <row r="1" spans="1:28">
      <c r="A1" s="1440" t="s">
        <v>457</v>
      </c>
      <c r="B1" s="1441"/>
      <c r="C1" s="723">
        <v>1</v>
      </c>
      <c r="D1" s="723">
        <v>2</v>
      </c>
      <c r="E1" s="723">
        <v>3</v>
      </c>
      <c r="F1" s="723">
        <v>4</v>
      </c>
      <c r="G1" s="723"/>
      <c r="H1" s="723">
        <v>5</v>
      </c>
      <c r="I1" s="723">
        <v>6</v>
      </c>
      <c r="J1" s="723">
        <v>7</v>
      </c>
      <c r="K1" s="723">
        <v>8</v>
      </c>
      <c r="L1" s="723">
        <v>9</v>
      </c>
      <c r="M1" s="723">
        <v>10</v>
      </c>
      <c r="N1" s="723">
        <v>11</v>
      </c>
      <c r="O1" s="723">
        <v>12</v>
      </c>
      <c r="P1" s="723">
        <v>13</v>
      </c>
      <c r="Q1" s="723">
        <v>14</v>
      </c>
      <c r="R1" s="724">
        <v>15</v>
      </c>
      <c r="S1" s="723">
        <v>16</v>
      </c>
      <c r="T1" s="723">
        <v>17</v>
      </c>
      <c r="U1" s="723">
        <v>18</v>
      </c>
      <c r="V1" s="723">
        <v>19</v>
      </c>
      <c r="W1" s="723">
        <v>20</v>
      </c>
      <c r="X1" s="723">
        <v>21</v>
      </c>
      <c r="Y1" s="723">
        <v>22</v>
      </c>
      <c r="Z1" s="723">
        <v>23</v>
      </c>
      <c r="AA1" s="725">
        <v>24</v>
      </c>
    </row>
    <row r="2" spans="1:28" ht="12" customHeight="1">
      <c r="A2" s="1448" t="s">
        <v>458</v>
      </c>
      <c r="B2" s="1449"/>
      <c r="C2" s="922"/>
      <c r="D2" s="922"/>
      <c r="E2" s="922"/>
      <c r="F2" s="922"/>
      <c r="G2" s="922"/>
      <c r="H2" s="1054">
        <v>0.9</v>
      </c>
      <c r="I2" s="1054">
        <v>1</v>
      </c>
      <c r="J2" s="1054">
        <v>1</v>
      </c>
      <c r="K2" s="1054">
        <v>1</v>
      </c>
      <c r="L2" s="1054">
        <v>1</v>
      </c>
      <c r="M2" s="1054">
        <v>1</v>
      </c>
      <c r="N2" s="1054">
        <v>1</v>
      </c>
      <c r="O2" s="1054">
        <v>1</v>
      </c>
      <c r="P2" s="1054">
        <v>1</v>
      </c>
      <c r="Q2" s="1054">
        <v>1</v>
      </c>
      <c r="R2" s="1268">
        <v>1</v>
      </c>
      <c r="S2" s="1054">
        <v>1</v>
      </c>
      <c r="T2" s="1054">
        <v>1</v>
      </c>
      <c r="U2" s="1054">
        <v>1</v>
      </c>
      <c r="V2" s="1054">
        <v>1</v>
      </c>
      <c r="W2" s="1054">
        <v>1</v>
      </c>
      <c r="X2" s="1054">
        <v>1</v>
      </c>
      <c r="Y2" s="1054">
        <v>1</v>
      </c>
      <c r="Z2" s="1054">
        <v>1</v>
      </c>
      <c r="AA2" s="1269">
        <v>1</v>
      </c>
    </row>
    <row r="3" spans="1:28" s="142" customFormat="1" ht="15" customHeight="1">
      <c r="A3" s="1444"/>
      <c r="B3" s="1319" t="s">
        <v>27</v>
      </c>
      <c r="C3" s="1319"/>
      <c r="D3" s="1319"/>
      <c r="E3" s="1319"/>
      <c r="F3" s="1319"/>
      <c r="G3" s="622"/>
      <c r="H3" s="1431" t="s">
        <v>28</v>
      </c>
      <c r="I3" s="1431"/>
      <c r="J3" s="1431"/>
      <c r="K3" s="1431"/>
      <c r="L3" s="1431"/>
      <c r="M3" s="1431"/>
      <c r="N3" s="1431"/>
      <c r="O3" s="1431"/>
      <c r="P3" s="1431"/>
      <c r="Q3" s="1431"/>
      <c r="R3" s="1430" t="s">
        <v>28</v>
      </c>
      <c r="S3" s="1431"/>
      <c r="T3" s="1431"/>
      <c r="U3" s="1431"/>
      <c r="V3" s="1431"/>
      <c r="W3" s="1431"/>
      <c r="X3" s="1431"/>
      <c r="Y3" s="1431"/>
      <c r="Z3" s="1431"/>
      <c r="AA3" s="1432"/>
    </row>
    <row r="4" spans="1:28" s="142" customFormat="1" ht="15" customHeight="1">
      <c r="A4" s="1445"/>
      <c r="B4" s="1450" t="s">
        <v>29</v>
      </c>
      <c r="C4" s="623">
        <v>2023</v>
      </c>
      <c r="D4" s="623">
        <v>2024</v>
      </c>
      <c r="E4" s="623">
        <v>2025</v>
      </c>
      <c r="F4" s="623">
        <v>2026</v>
      </c>
      <c r="G4" s="623" t="s">
        <v>172</v>
      </c>
      <c r="H4" s="623">
        <v>2027</v>
      </c>
      <c r="I4" s="623">
        <v>2028</v>
      </c>
      <c r="J4" s="623">
        <v>2029</v>
      </c>
      <c r="K4" s="623">
        <v>2030</v>
      </c>
      <c r="L4" s="623">
        <v>2031</v>
      </c>
      <c r="M4" s="623">
        <v>2032</v>
      </c>
      <c r="N4" s="623">
        <v>2033</v>
      </c>
      <c r="O4" s="623">
        <v>2034</v>
      </c>
      <c r="P4" s="623">
        <v>2035</v>
      </c>
      <c r="Q4" s="624">
        <v>2036</v>
      </c>
      <c r="R4" s="623">
        <v>2037</v>
      </c>
      <c r="S4" s="623">
        <v>2038</v>
      </c>
      <c r="T4" s="623">
        <v>2039</v>
      </c>
      <c r="U4" s="623">
        <v>2040</v>
      </c>
      <c r="V4" s="623">
        <v>2041</v>
      </c>
      <c r="W4" s="623">
        <v>2042</v>
      </c>
      <c r="X4" s="623">
        <v>2043</v>
      </c>
      <c r="Y4" s="623">
        <v>2044</v>
      </c>
      <c r="Z4" s="623">
        <v>2045</v>
      </c>
      <c r="AA4" s="623">
        <v>2046</v>
      </c>
    </row>
    <row r="5" spans="1:28">
      <c r="A5" s="1446"/>
      <c r="B5" s="1434"/>
      <c r="C5" s="625">
        <v>0.05</v>
      </c>
      <c r="D5" s="625">
        <v>0.25</v>
      </c>
      <c r="E5" s="625">
        <v>0.35</v>
      </c>
      <c r="F5" s="625">
        <v>0.35</v>
      </c>
      <c r="G5" s="626"/>
      <c r="H5" s="627"/>
      <c r="I5" s="627"/>
      <c r="J5" s="627"/>
      <c r="K5" s="627"/>
      <c r="L5" s="627"/>
      <c r="M5" s="627"/>
      <c r="N5" s="628"/>
      <c r="O5" s="627"/>
      <c r="P5" s="628"/>
      <c r="Q5" s="627"/>
      <c r="R5" s="731"/>
      <c r="S5" s="732"/>
      <c r="T5" s="732"/>
      <c r="U5" s="732"/>
      <c r="V5" s="732"/>
      <c r="W5" s="732"/>
      <c r="X5" s="732"/>
      <c r="Y5" s="732"/>
      <c r="Z5" s="732"/>
      <c r="AA5" s="733"/>
    </row>
    <row r="6" spans="1:28">
      <c r="A6" s="1436" t="s">
        <v>275</v>
      </c>
      <c r="B6" s="1437"/>
      <c r="C6" s="1437"/>
      <c r="D6" s="1437"/>
      <c r="E6" s="1437"/>
      <c r="F6" s="1437"/>
      <c r="G6" s="1437"/>
      <c r="H6" s="629"/>
      <c r="I6" s="629"/>
      <c r="J6" s="629"/>
      <c r="K6" s="629"/>
      <c r="L6" s="629"/>
      <c r="M6" s="629"/>
      <c r="N6" s="630"/>
      <c r="O6" s="629"/>
      <c r="P6" s="630"/>
      <c r="Q6" s="629"/>
      <c r="R6" s="1270"/>
      <c r="S6" s="1058"/>
      <c r="T6" s="1058"/>
      <c r="U6" s="1058"/>
      <c r="V6" s="1058"/>
      <c r="W6" s="1058"/>
      <c r="X6" s="1058"/>
      <c r="Y6" s="1058"/>
      <c r="Z6" s="1058"/>
      <c r="AA6" s="1271"/>
    </row>
    <row r="7" spans="1:28">
      <c r="A7" s="1311">
        <v>1</v>
      </c>
      <c r="B7" s="1059" t="s">
        <v>273</v>
      </c>
      <c r="C7" s="1060">
        <f>ROUND($G7*C$5,2)</f>
        <v>-88.43</v>
      </c>
      <c r="D7" s="1060">
        <f>ROUND($G7*D$5,2)</f>
        <v>-442.17</v>
      </c>
      <c r="E7" s="1060">
        <f>ROUND($G7*E$5,2)</f>
        <v>-619.04</v>
      </c>
      <c r="F7" s="1060">
        <f>ROUND($G7*F$5,2)</f>
        <v>-619.04</v>
      </c>
      <c r="G7" s="1272">
        <f>-[12]Capex!D22</f>
        <v>-1768.675</v>
      </c>
      <c r="H7" s="1062"/>
      <c r="I7" s="1062"/>
      <c r="J7" s="1062"/>
      <c r="K7" s="1062"/>
      <c r="L7" s="1062"/>
      <c r="M7" s="1062"/>
      <c r="N7" s="636"/>
      <c r="O7" s="1062"/>
      <c r="P7" s="1062"/>
      <c r="Q7" s="1062"/>
      <c r="R7" s="1273"/>
      <c r="S7" s="1064"/>
      <c r="T7" s="1064"/>
      <c r="U7" s="1064"/>
      <c r="V7" s="1064"/>
      <c r="W7" s="1064"/>
      <c r="X7" s="1064"/>
      <c r="Y7" s="1064"/>
      <c r="Z7" s="1064"/>
      <c r="AA7" s="1274"/>
    </row>
    <row r="8" spans="1:28">
      <c r="A8" s="1071"/>
      <c r="B8" s="638" t="s">
        <v>274</v>
      </c>
      <c r="C8" s="639">
        <f>SUM(C7:C7)</f>
        <v>-88.43</v>
      </c>
      <c r="D8" s="639">
        <f>SUM(D7:D7)</f>
        <v>-442.17</v>
      </c>
      <c r="E8" s="639">
        <f>SUM(E7:E7)</f>
        <v>-619.04</v>
      </c>
      <c r="F8" s="639">
        <f>SUM(F7:F7)</f>
        <v>-619.04</v>
      </c>
      <c r="G8" s="640">
        <f>G7</f>
        <v>-1768.675</v>
      </c>
      <c r="H8" s="1074"/>
      <c r="I8" s="1074"/>
      <c r="J8" s="1074"/>
      <c r="K8" s="1074"/>
      <c r="L8" s="1074"/>
      <c r="M8" s="1074"/>
      <c r="N8" s="1075"/>
      <c r="O8" s="1075"/>
      <c r="P8" s="1075"/>
      <c r="Q8" s="1075"/>
      <c r="R8" s="1275"/>
      <c r="S8" s="1076"/>
      <c r="T8" s="1076"/>
      <c r="U8" s="1076"/>
      <c r="V8" s="1076"/>
      <c r="W8" s="1076"/>
      <c r="X8" s="1076"/>
      <c r="Y8" s="1076"/>
      <c r="Z8" s="1076"/>
      <c r="AA8" s="1241"/>
    </row>
    <row r="9" spans="1:28">
      <c r="A9" s="1313"/>
      <c r="B9" s="1276" t="s">
        <v>253</v>
      </c>
      <c r="C9" s="1276"/>
      <c r="D9" s="1276"/>
      <c r="E9" s="1276"/>
      <c r="F9" s="1276"/>
      <c r="G9" s="1277"/>
      <c r="H9" s="645">
        <v>0.9</v>
      </c>
      <c r="I9" s="645">
        <v>0.9</v>
      </c>
      <c r="J9" s="645">
        <v>1</v>
      </c>
      <c r="K9" s="645">
        <v>1</v>
      </c>
      <c r="L9" s="645">
        <v>1</v>
      </c>
      <c r="M9" s="645">
        <v>1</v>
      </c>
      <c r="N9" s="645">
        <v>1</v>
      </c>
      <c r="O9" s="645">
        <v>1</v>
      </c>
      <c r="P9" s="645">
        <v>1</v>
      </c>
      <c r="Q9" s="645">
        <v>1</v>
      </c>
      <c r="R9" s="646">
        <v>1</v>
      </c>
      <c r="S9" s="645">
        <v>1</v>
      </c>
      <c r="T9" s="645">
        <v>1</v>
      </c>
      <c r="U9" s="645">
        <v>1</v>
      </c>
      <c r="V9" s="645">
        <v>1</v>
      </c>
      <c r="W9" s="645">
        <v>1</v>
      </c>
      <c r="X9" s="645">
        <v>1</v>
      </c>
      <c r="Y9" s="645">
        <v>1</v>
      </c>
      <c r="Z9" s="645">
        <v>1</v>
      </c>
      <c r="AA9" s="647">
        <v>1</v>
      </c>
    </row>
    <row r="10" spans="1:28" s="142" customFormat="1">
      <c r="A10" s="1077">
        <v>2</v>
      </c>
      <c r="B10" s="1078" t="s">
        <v>31</v>
      </c>
      <c r="C10" s="1078"/>
      <c r="D10" s="1078"/>
      <c r="E10" s="1078"/>
      <c r="F10" s="1078"/>
      <c r="G10" s="1061"/>
      <c r="H10" s="1079">
        <f>H11+H12</f>
        <v>2035.2829305093751</v>
      </c>
      <c r="I10" s="1079">
        <f>I11+I12</f>
        <v>2393.1580027410423</v>
      </c>
      <c r="J10" s="1079">
        <f t="shared" ref="J10:AA10" si="0">J11+J12</f>
        <v>2532.5647444396996</v>
      </c>
      <c r="K10" s="1079">
        <f t="shared" si="0"/>
        <v>2680.0928041001916</v>
      </c>
      <c r="L10" s="1079">
        <f t="shared" si="0"/>
        <v>2836.215332307238</v>
      </c>
      <c r="M10" s="1079">
        <f t="shared" si="0"/>
        <v>3001.4330474494791</v>
      </c>
      <c r="N10" s="1079">
        <f t="shared" si="0"/>
        <v>3176.2758420491173</v>
      </c>
      <c r="O10" s="1079">
        <f t="shared" si="0"/>
        <v>3361.304482696059</v>
      </c>
      <c r="P10" s="1079">
        <f t="shared" si="0"/>
        <v>3557.112409041446</v>
      </c>
      <c r="Q10" s="1079">
        <f t="shared" si="0"/>
        <v>3764.3276376234389</v>
      </c>
      <c r="R10" s="1278">
        <f t="shared" si="0"/>
        <v>3983.6147766344848</v>
      </c>
      <c r="S10" s="1079">
        <f t="shared" si="0"/>
        <v>4215.6771580954173</v>
      </c>
      <c r="T10" s="1079">
        <f t="shared" si="0"/>
        <v>4461.2590942785073</v>
      </c>
      <c r="U10" s="1079">
        <f t="shared" si="0"/>
        <v>4721.1482656203543</v>
      </c>
      <c r="V10" s="1079">
        <f t="shared" si="0"/>
        <v>4996.1782477875067</v>
      </c>
      <c r="W10" s="1079">
        <f t="shared" si="0"/>
        <v>5287.2311860043483</v>
      </c>
      <c r="X10" s="1079">
        <f t="shared" si="0"/>
        <v>5595.2406252253295</v>
      </c>
      <c r="Y10" s="1079">
        <f t="shared" si="0"/>
        <v>5921.1945052339461</v>
      </c>
      <c r="Z10" s="1079">
        <f t="shared" si="0"/>
        <v>6266.1383302800223</v>
      </c>
      <c r="AA10" s="1279">
        <f t="shared" si="0"/>
        <v>6631.1785234272465</v>
      </c>
    </row>
    <row r="11" spans="1:28">
      <c r="A11" s="1312"/>
      <c r="B11" s="1080" t="s">
        <v>147</v>
      </c>
      <c r="C11" s="1080"/>
      <c r="D11" s="1080"/>
      <c r="E11" s="1080"/>
      <c r="F11" s="1080"/>
      <c r="G11" s="1082"/>
      <c r="H11" s="657">
        <v>1386.6910392857144</v>
      </c>
      <c r="I11" s="657">
        <v>1631.0337042469644</v>
      </c>
      <c r="J11" s="657">
        <v>1726.5878138102726</v>
      </c>
      <c r="K11" s="657">
        <v>1827.7399608823475</v>
      </c>
      <c r="L11" s="657">
        <v>1934.8181064906394</v>
      </c>
      <c r="M11" s="657">
        <v>2048.1694252593934</v>
      </c>
      <c r="N11" s="657">
        <v>2168.1614310382142</v>
      </c>
      <c r="O11" s="657">
        <v>2295.1831684755884</v>
      </c>
      <c r="P11" s="657">
        <v>2429.6464744007299</v>
      </c>
      <c r="Q11" s="657">
        <v>2571.9873131034965</v>
      </c>
      <c r="R11" s="657">
        <v>2722.6671898416648</v>
      </c>
      <c r="S11" s="657">
        <v>2882.1746471585388</v>
      </c>
      <c r="T11" s="657">
        <v>3051.026848862321</v>
      </c>
      <c r="U11" s="657">
        <v>3229.7712568029201</v>
      </c>
      <c r="V11" s="657">
        <v>3418.9874058827181</v>
      </c>
      <c r="W11" s="657">
        <v>3619.2887830563573</v>
      </c>
      <c r="X11" s="657">
        <v>3831.3248164117126</v>
      </c>
      <c r="Y11" s="657">
        <v>4055.7829807811931</v>
      </c>
      <c r="Z11" s="657">
        <v>4293.3910267102583</v>
      </c>
      <c r="AA11" s="657">
        <v>4544.9193400100785</v>
      </c>
    </row>
    <row r="12" spans="1:28">
      <c r="A12" s="1312"/>
      <c r="B12" s="1080" t="s">
        <v>11</v>
      </c>
      <c r="C12" s="1080"/>
      <c r="D12" s="1080"/>
      <c r="E12" s="1080"/>
      <c r="F12" s="1080"/>
      <c r="G12" s="1082"/>
      <c r="H12" s="657">
        <v>648.5918912236607</v>
      </c>
      <c r="I12" s="657">
        <v>762.12429849407783</v>
      </c>
      <c r="J12" s="657">
        <v>805.97693062942699</v>
      </c>
      <c r="K12" s="657">
        <v>852.35284321784422</v>
      </c>
      <c r="L12" s="657">
        <v>901.39722581659873</v>
      </c>
      <c r="M12" s="657">
        <v>953.26362219008581</v>
      </c>
      <c r="N12" s="657">
        <v>1008.1144110109032</v>
      </c>
      <c r="O12" s="657">
        <v>1066.1213142204706</v>
      </c>
      <c r="P12" s="657">
        <v>1127.4659346407161</v>
      </c>
      <c r="Q12" s="657">
        <v>1192.3403245199427</v>
      </c>
      <c r="R12" s="657">
        <v>1260.9475867928199</v>
      </c>
      <c r="S12" s="657">
        <v>1333.5025109368789</v>
      </c>
      <c r="T12" s="657">
        <v>1410.2322454161865</v>
      </c>
      <c r="U12" s="657">
        <v>1491.3770088174342</v>
      </c>
      <c r="V12" s="657">
        <v>1577.1908419047888</v>
      </c>
      <c r="W12" s="657">
        <v>1667.9424029479906</v>
      </c>
      <c r="X12" s="657">
        <v>1763.9158088136171</v>
      </c>
      <c r="Y12" s="657">
        <v>1865.4115244527527</v>
      </c>
      <c r="Z12" s="657">
        <v>1972.7473035697635</v>
      </c>
      <c r="AA12" s="657">
        <v>2086.2591834171676</v>
      </c>
    </row>
    <row r="13" spans="1:28">
      <c r="A13" s="1077">
        <v>5</v>
      </c>
      <c r="B13" s="1078" t="s">
        <v>113</v>
      </c>
      <c r="C13" s="1078"/>
      <c r="D13" s="1078"/>
      <c r="E13" s="1078"/>
      <c r="F13" s="1078"/>
      <c r="G13" s="1085"/>
      <c r="H13" s="1062"/>
      <c r="I13" s="1062"/>
      <c r="J13" s="1062"/>
      <c r="K13" s="1062"/>
      <c r="L13" s="1062"/>
      <c r="M13" s="1062"/>
      <c r="N13" s="1062"/>
      <c r="O13" s="1062"/>
      <c r="P13" s="1062"/>
      <c r="Q13" s="1062"/>
      <c r="R13" s="1273"/>
      <c r="S13" s="1064"/>
      <c r="T13" s="1064"/>
      <c r="U13" s="1064"/>
      <c r="V13" s="1064"/>
      <c r="W13" s="1064"/>
      <c r="X13" s="1064"/>
      <c r="Y13" s="1064"/>
      <c r="Z13" s="1064"/>
      <c r="AA13" s="1274"/>
    </row>
    <row r="14" spans="1:28">
      <c r="A14" s="1312"/>
      <c r="B14" s="1314" t="s">
        <v>524</v>
      </c>
      <c r="C14" s="1314"/>
      <c r="D14" s="1314"/>
      <c r="E14" s="1314"/>
      <c r="F14" s="1314"/>
      <c r="G14" s="660">
        <f>J14/$J$19</f>
        <v>0.80332146321619136</v>
      </c>
      <c r="H14" s="657">
        <f>IF(H$1&lt;=$H$56,0,'[14]Opex Phenol'!D4*H$2*(1+$H$55)^(H$1-$H$56-1))</f>
        <v>1209.860012314324</v>
      </c>
      <c r="I14" s="657">
        <f>IF(I$1&lt;=$H$56,0,'[14]Opex Phenol'!E4*I$2*(1+$H$55)^(I$1-$H$56-1))</f>
        <v>1421.6392860254332</v>
      </c>
      <c r="J14" s="657">
        <f>IF(J$1&lt;=$H$56,0,'[14]Opex Phenol'!F4*J$2*(1+$H$55)^(J$1-$H$56-1))</f>
        <v>1503.4404105433366</v>
      </c>
      <c r="K14" s="657">
        <f>IF(K$1&lt;=$H$56,0,'[14]Opex Phenol'!G4*K$2*(1+$H$55)^(K$1-$H$56-1))</f>
        <v>1589.9483717660003</v>
      </c>
      <c r="L14" s="657">
        <f>IF(L$1&lt;=$H$56,0,'[14]Opex Phenol'!H4*L$2*(1+$H$55)^(L$1-$H$56-1))</f>
        <v>1681.4340010774154</v>
      </c>
      <c r="M14" s="657">
        <f>IF(M$1&lt;=$H$56,0,'[14]Opex Phenol'!I4*M$2*(1+$H$55)^(M$1-$H$56-1))</f>
        <v>1778.18371349941</v>
      </c>
      <c r="N14" s="657">
        <f>IF(N$1&lt;=$H$56,0,'[14]Opex Phenol'!J4*N$2*(1+$H$55)^(N$1-$H$56-1))</f>
        <v>1880.5004043741656</v>
      </c>
      <c r="O14" s="657">
        <f>IF(O$1&lt;=$H$56,0,'[14]Opex Phenol'!K4*O$2*(1+$H$55)^(O$1-$H$56-1))</f>
        <v>1988.7043976418554</v>
      </c>
      <c r="P14" s="657">
        <f>IF(P$1&lt;=$H$56,0,'[14]Opex Phenol'!L4*P$2*(1+$H$55)^(P$1-$H$56-1))</f>
        <v>2103.1344486821672</v>
      </c>
      <c r="Q14" s="657">
        <f>IF(Q$1&lt;=$H$56,0,'[14]Opex Phenol'!M4*Q$2*(1+$H$55)^(Q$1-$H$56-1))</f>
        <v>2224.1488048593387</v>
      </c>
      <c r="R14" s="657">
        <f>IF(R$1&lt;=$H$56,0,'[14]Opex Phenol'!N4*R$2*(1+$H$55)^(R$1-$H$56-1))</f>
        <v>2352.1263270909449</v>
      </c>
      <c r="S14" s="657">
        <f>IF(S$1&lt;=$H$56,0,'[14]Opex Phenol'!O4*S$2*(1+$H$55)^(S$1-$H$56-1))</f>
        <v>2487.4676759517574</v>
      </c>
      <c r="T14" s="657">
        <f>IF(T$1&lt;=$H$56,0,'[14]Opex Phenol'!P4*T$2*(1+$H$55)^(T$1-$H$56-1))</f>
        <v>2630.5965660260213</v>
      </c>
      <c r="U14" s="657">
        <f>IF(U$1&lt;=$H$56,0,'[14]Opex Phenol'!Q4*U$2*(1+$H$55)^(U$1-$H$56-1))</f>
        <v>2781.9610924351587</v>
      </c>
      <c r="V14" s="657">
        <f>IF(V$1&lt;=$H$56,0,'[14]Opex Phenol'!R4*V$2*(1+$H$55)^(V$1-$H$56-1))</f>
        <v>2942.035133693877</v>
      </c>
      <c r="W14" s="657">
        <f>IF(W$1&lt;=$H$56,0,'[14]Opex Phenol'!S4*W$2*(1+$H$55)^(W$1-$H$56-1))</f>
        <v>3111.3198352866229</v>
      </c>
      <c r="X14" s="657">
        <f>IF(X$1&lt;=$H$56,0,'[14]Opex Phenol'!T4*X$2*(1+$H$55)^(X$1-$H$56-1))</f>
        <v>3290.3451786090136</v>
      </c>
      <c r="Y14" s="657">
        <f>IF(Y$1&lt;=$H$56,0,'[14]Opex Phenol'!U4*Y$2*(1+$H$55)^(Y$1-$H$56-1))</f>
        <v>3479.6716401861768</v>
      </c>
      <c r="Z14" s="657">
        <f>IF(Z$1&lt;=$H$56,0,'[14]Opex Phenol'!V4*Z$2*(1+$H$55)^(Z$1-$H$56-1))</f>
        <v>3679.8919463624884</v>
      </c>
      <c r="AA14" s="657">
        <f>IF(AA$1&lt;=$H$56,0,'[14]Opex Phenol'!W4*AA$2*(1+$H$55)^(AA$1-$H$56-1))</f>
        <v>3891.6329289561859</v>
      </c>
    </row>
    <row r="15" spans="1:28">
      <c r="A15" s="1312"/>
      <c r="B15" s="1314" t="s">
        <v>33</v>
      </c>
      <c r="C15" s="1314"/>
      <c r="D15" s="1314"/>
      <c r="E15" s="1314"/>
      <c r="F15" s="1314"/>
      <c r="G15" s="660">
        <f>J15/$J$19</f>
        <v>1.5701799590476826E-2</v>
      </c>
      <c r="H15" s="657">
        <f>IF(H$1&lt;=$H$56,0,'[14]Opex Phenol'!$D$7*(1+$H$55)^(H$1-$H$56-1))</f>
        <v>26.91</v>
      </c>
      <c r="I15" s="657">
        <f>IF(I$1&lt;=$H$56,0,'[14]Opex Phenol'!$D$7*(1+$H$55)^(I$1-$H$56-1))</f>
        <v>28.120949999999997</v>
      </c>
      <c r="J15" s="657">
        <f>IF(J$1&lt;=$H$56,0,'[14]Opex Phenol'!$D$7*(1+$H$55)^(J$1-$H$56-1))</f>
        <v>29.386392749999995</v>
      </c>
      <c r="K15" s="657">
        <f>IF(K$1&lt;=$H$56,0,'[14]Opex Phenol'!$D$7*(1+$H$55)^(K$1-$H$56-1))</f>
        <v>30.708780423749996</v>
      </c>
      <c r="L15" s="657">
        <f>IF(L$1&lt;=$H$56,0,'[14]Opex Phenol'!$D$7*(1+$H$55)^(L$1-$H$56-1))</f>
        <v>32.090675542818737</v>
      </c>
      <c r="M15" s="657">
        <f>IF(M$1&lt;=$H$56,0,'[14]Opex Phenol'!$D$7*(1+$H$55)^(M$1-$H$56-1))</f>
        <v>33.534755942245582</v>
      </c>
      <c r="N15" s="657">
        <f>IF(N$1&lt;=$H$56,0,'[14]Opex Phenol'!$D$7*(1+$H$55)^(N$1-$H$56-1))</f>
        <v>35.043819959646619</v>
      </c>
      <c r="O15" s="657">
        <f>IF(O$1&lt;=$H$56,0,'[14]Opex Phenol'!$D$7*(1+$H$55)^(O$1-$H$56-1))</f>
        <v>36.620791857830724</v>
      </c>
      <c r="P15" s="657">
        <f>IF(P$1&lt;=$H$56,0,'[14]Opex Phenol'!$D$7*(1+$H$55)^(P$1-$H$56-1))</f>
        <v>38.26872749143309</v>
      </c>
      <c r="Q15" s="657">
        <f>IF(Q$1&lt;=$H$56,0,'[14]Opex Phenol'!$D$7*(1+$H$55)^(Q$1-$H$56-1))</f>
        <v>39.990820228547577</v>
      </c>
      <c r="R15" s="657">
        <f>IF(R$1&lt;=$H$56,0,'[14]Opex Phenol'!$D$7*(1+$H$55)^(R$1-$H$56-1))</f>
        <v>41.790407138832215</v>
      </c>
      <c r="S15" s="657">
        <f>IF(S$1&lt;=$H$56,0,'[14]Opex Phenol'!$D$7*(1+$H$55)^(S$1-$H$56-1))</f>
        <v>43.67097546007966</v>
      </c>
      <c r="T15" s="657">
        <f>IF(T$1&lt;=$H$56,0,'[14]Opex Phenol'!$D$7*(1+$H$55)^(T$1-$H$56-1))</f>
        <v>45.636169355783238</v>
      </c>
      <c r="U15" s="657">
        <f>IF(U$1&lt;=$H$56,0,'[14]Opex Phenol'!$D$7*(1+$H$55)^(U$1-$H$56-1))</f>
        <v>47.689796976793488</v>
      </c>
      <c r="V15" s="657">
        <f>IF(V$1&lt;=$H$56,0,'[14]Opex Phenol'!$D$7*(1+$H$55)^(V$1-$H$56-1))</f>
        <v>49.835837840749178</v>
      </c>
      <c r="W15" s="657">
        <f>IF(W$1&lt;=$H$56,0,'[14]Opex Phenol'!$D$7*(1+$H$55)^(W$1-$H$56-1))</f>
        <v>52.078450543582896</v>
      </c>
      <c r="X15" s="657">
        <f>IF(X$1&lt;=$H$56,0,'[14]Opex Phenol'!$D$7*(1+$H$55)^(X$1-$H$56-1))</f>
        <v>54.421980818044105</v>
      </c>
      <c r="Y15" s="657">
        <f>IF(Y$1&lt;=$H$56,0,'[14]Opex Phenol'!$D$7*(1+$H$55)^(Y$1-$H$56-1))</f>
        <v>56.870969954856093</v>
      </c>
      <c r="Z15" s="657">
        <f>IF(Z$1&lt;=$H$56,0,'[14]Opex Phenol'!$D$7*(1+$H$55)^(Z$1-$H$56-1))</f>
        <v>59.430163602824607</v>
      </c>
      <c r="AA15" s="657">
        <f>IF(AA$1&lt;=$H$56,0,'[14]Opex Phenol'!$D$7*(1+$H$55)^(AA$1-$H$56-1))</f>
        <v>62.10452096495171</v>
      </c>
    </row>
    <row r="16" spans="1:28">
      <c r="A16" s="1312"/>
      <c r="B16" s="1314" t="s">
        <v>20</v>
      </c>
      <c r="C16" s="1314"/>
      <c r="D16" s="1314"/>
      <c r="E16" s="1314"/>
      <c r="F16" s="1314"/>
      <c r="G16" s="660">
        <f>J16/$J$19</f>
        <v>0.11615885025674834</v>
      </c>
      <c r="H16" s="657">
        <f>IF(H$1&lt;=$H$56,0,'[14]Opex Phenol'!$D$9*H$2*(1+$H$55)^(H$1-$H$56-1))</f>
        <v>179.16743734740004</v>
      </c>
      <c r="I16" s="657">
        <f>IF(I$1&lt;=$H$56,0,'[14]Opex Phenol'!$D$9*I$2*(1+$H$55)^(I$1-$H$56-1))</f>
        <v>208.03330225337001</v>
      </c>
      <c r="J16" s="657">
        <f>IF(J$1&lt;=$H$56,0,'[14]Opex Phenol'!$D$9*J$2*(1+$H$55)^(J$1-$H$56-1))</f>
        <v>217.39480085477166</v>
      </c>
      <c r="K16" s="657">
        <f>IF(K$1&lt;=$H$56,0,'[14]Opex Phenol'!$D$9*K$2*(1+$H$55)^(K$1-$H$56-1))</f>
        <v>227.17756689323639</v>
      </c>
      <c r="L16" s="657">
        <f>IF(L$1&lt;=$H$56,0,'[14]Opex Phenol'!$D$9*L$2*(1+$H$55)^(L$1-$H$56-1))</f>
        <v>237.40055740343195</v>
      </c>
      <c r="M16" s="657">
        <f>IF(M$1&lt;=$H$56,0,'[14]Opex Phenol'!$D$9*M$2*(1+$H$55)^(M$1-$H$56-1))</f>
        <v>248.08358248658638</v>
      </c>
      <c r="N16" s="657">
        <f>IF(N$1&lt;=$H$56,0,'[14]Opex Phenol'!$D$9*N$2*(1+$H$55)^(N$1-$H$56-1))</f>
        <v>259.24734369848272</v>
      </c>
      <c r="O16" s="657">
        <f>IF(O$1&lt;=$H$56,0,'[14]Opex Phenol'!$D$9*O$2*(1+$H$55)^(O$1-$H$56-1))</f>
        <v>270.91347416491448</v>
      </c>
      <c r="P16" s="657">
        <f>IF(P$1&lt;=$H$56,0,'[14]Opex Phenol'!$D$9*P$2*(1+$H$55)^(P$1-$H$56-1))</f>
        <v>283.10458050233552</v>
      </c>
      <c r="Q16" s="657">
        <f>IF(Q$1&lt;=$H$56,0,'[14]Opex Phenol'!$D$9*Q$2*(1+$H$55)^(Q$1-$H$56-1))</f>
        <v>295.84428662494059</v>
      </c>
      <c r="R16" s="657">
        <f>IF(R$1&lt;=$H$56,0,'[14]Opex Phenol'!$D$9*R$2*(1+$H$55)^(R$1-$H$56-1))</f>
        <v>309.15727952306287</v>
      </c>
      <c r="S16" s="657">
        <f>IF(S$1&lt;=$H$56,0,'[14]Opex Phenol'!$D$9*S$2*(1+$H$55)^(S$1-$H$56-1))</f>
        <v>323.0693571016007</v>
      </c>
      <c r="T16" s="657">
        <f>IF(T$1&lt;=$H$56,0,'[14]Opex Phenol'!$D$9*T$2*(1+$H$55)^(T$1-$H$56-1))</f>
        <v>337.60747817117266</v>
      </c>
      <c r="U16" s="657">
        <f>IF(U$1&lt;=$H$56,0,'[14]Opex Phenol'!$D$9*U$2*(1+$H$55)^(U$1-$H$56-1))</f>
        <v>352.79981468887541</v>
      </c>
      <c r="V16" s="657">
        <f>IF(V$1&lt;=$H$56,0,'[14]Opex Phenol'!$D$9*V$2*(1+$H$55)^(V$1-$H$56-1))</f>
        <v>368.67580634987473</v>
      </c>
      <c r="W16" s="657">
        <f>IF(W$1&lt;=$H$56,0,'[14]Opex Phenol'!$D$9*W$2*(1+$H$55)^(W$1-$H$56-1))</f>
        <v>385.26621763561917</v>
      </c>
      <c r="X16" s="657">
        <f>IF(X$1&lt;=$H$56,0,'[14]Opex Phenol'!$D$9*X$2*(1+$H$55)^(X$1-$H$56-1))</f>
        <v>402.60319742922184</v>
      </c>
      <c r="Y16" s="657">
        <f>IF(Y$1&lt;=$H$56,0,'[14]Opex Phenol'!$D$9*Y$2*(1+$H$55)^(Y$1-$H$56-1))</f>
        <v>420.72034131353684</v>
      </c>
      <c r="Z16" s="657">
        <f>IF(Z$1&lt;=$H$56,0,'[14]Opex Phenol'!$D$9*Z$2*(1+$H$55)^(Z$1-$H$56-1))</f>
        <v>439.65275667264592</v>
      </c>
      <c r="AA16" s="657">
        <f>IF(AA$1&lt;=$H$56,0,'[14]Opex Phenol'!$D$9*AA$2*(1+$H$55)^(AA$1-$H$56-1))</f>
        <v>459.43713072291496</v>
      </c>
      <c r="AB16" s="657"/>
    </row>
    <row r="17" spans="1:27">
      <c r="A17" s="1312"/>
      <c r="B17" s="1314" t="s">
        <v>23</v>
      </c>
      <c r="C17" s="1314"/>
      <c r="D17" s="1314"/>
      <c r="E17" s="1314"/>
      <c r="F17" s="1314"/>
      <c r="G17" s="660">
        <f>J17/$J$19</f>
        <v>1.7818791000494282E-2</v>
      </c>
      <c r="H17" s="657">
        <f>IF(H$1&lt;=$H$56,0,'[14]Opex Phenol'!$D$12*H$2*(1+$H$55)^(H$1-$H$56-1))</f>
        <v>27.484320937499998</v>
      </c>
      <c r="I17" s="657">
        <f>IF(I$1&lt;=$H$56,0,'[14]Opex Phenol'!$D$12*I$2*(1+$H$55)^(I$1-$H$56-1))</f>
        <v>31.912350421874997</v>
      </c>
      <c r="J17" s="657">
        <f>IF(J$1&lt;=$H$56,0,'[14]Opex Phenol'!$D$12*J$2*(1+$H$55)^(J$1-$H$56-1))</f>
        <v>33.348406190859365</v>
      </c>
      <c r="K17" s="657">
        <f>IF(K$1&lt;=$H$56,0,'[14]Opex Phenol'!$D$12*K$2*(1+$H$55)^(K$1-$H$56-1))</f>
        <v>34.849084469448037</v>
      </c>
      <c r="L17" s="657">
        <f>IF(L$1&lt;=$H$56,0,'[14]Opex Phenol'!$D$12*L$2*(1+$H$55)^(L$1-$H$56-1))</f>
        <v>36.41729327057319</v>
      </c>
      <c r="M17" s="657">
        <f>IF(M$1&lt;=$H$56,0,'[14]Opex Phenol'!$D$12*M$2*(1+$H$55)^(M$1-$H$56-1))</f>
        <v>38.056071467748986</v>
      </c>
      <c r="N17" s="657">
        <f>IF(N$1&lt;=$H$56,0,'[14]Opex Phenol'!$D$12*N$2*(1+$H$55)^(N$1-$H$56-1))</f>
        <v>39.76859468379768</v>
      </c>
      <c r="O17" s="657">
        <f>IF(O$1&lt;=$H$56,0,'[14]Opex Phenol'!$D$12*O$2*(1+$H$55)^(O$1-$H$56-1))</f>
        <v>41.558181444568575</v>
      </c>
      <c r="P17" s="657">
        <f>IF(P$1&lt;=$H$56,0,'[14]Opex Phenol'!$D$12*P$2*(1+$H$55)^(P$1-$H$56-1))</f>
        <v>43.428299609574154</v>
      </c>
      <c r="Q17" s="657">
        <f>IF(Q$1&lt;=$H$56,0,'[14]Opex Phenol'!$D$12*Q$2*(1+$H$55)^(Q$1-$H$56-1))</f>
        <v>45.382573092004982</v>
      </c>
      <c r="R17" s="657">
        <f>IF(R$1&lt;=$H$56,0,'[14]Opex Phenol'!$D$12*R$2*(1+$H$55)^(R$1-$H$56-1))</f>
        <v>47.424788881145197</v>
      </c>
      <c r="S17" s="657">
        <f>IF(S$1&lt;=$H$56,0,'[14]Opex Phenol'!$D$12*S$2*(1+$H$55)^(S$1-$H$56-1))</f>
        <v>49.558904380796733</v>
      </c>
      <c r="T17" s="657">
        <f>IF(T$1&lt;=$H$56,0,'[14]Opex Phenol'!$D$12*T$2*(1+$H$55)^(T$1-$H$56-1))</f>
        <v>51.789055077932574</v>
      </c>
      <c r="U17" s="657">
        <f>IF(U$1&lt;=$H$56,0,'[14]Opex Phenol'!$D$12*U$2*(1+$H$55)^(U$1-$H$56-1))</f>
        <v>54.119562556439547</v>
      </c>
      <c r="V17" s="657">
        <f>IF(V$1&lt;=$H$56,0,'[14]Opex Phenol'!$D$12*V$2*(1+$H$55)^(V$1-$H$56-1))</f>
        <v>56.554942871479312</v>
      </c>
      <c r="W17" s="657">
        <f>IF(W$1&lt;=$H$56,0,'[14]Opex Phenol'!$D$12*W$2*(1+$H$55)^(W$1-$H$56-1))</f>
        <v>59.099915300695884</v>
      </c>
      <c r="X17" s="657">
        <f>IF(X$1&lt;=$H$56,0,'[14]Opex Phenol'!$D$12*X$2*(1+$H$55)^(X$1-$H$56-1))</f>
        <v>61.759411489227176</v>
      </c>
      <c r="Y17" s="657">
        <f>IF(Y$1&lt;=$H$56,0,'[14]Opex Phenol'!$D$12*Y$2*(1+$H$55)^(Y$1-$H$56-1))</f>
        <v>64.5385850062424</v>
      </c>
      <c r="Z17" s="657">
        <f>IF(Z$1&lt;=$H$56,0,'[14]Opex Phenol'!$D$12*Z$2*(1+$H$55)^(Z$1-$H$56-1))</f>
        <v>67.442821331523291</v>
      </c>
      <c r="AA17" s="657">
        <f>IF(AA$1&lt;=$H$56,0,'[14]Opex Phenol'!$D$12*AA$2*(1+$H$55)^(AA$1-$H$56-1))</f>
        <v>70.477748291441841</v>
      </c>
    </row>
    <row r="18" spans="1:27">
      <c r="A18" s="1312"/>
      <c r="B18" s="1314" t="s">
        <v>25</v>
      </c>
      <c r="C18" s="1314"/>
      <c r="D18" s="1314"/>
      <c r="E18" s="1314"/>
      <c r="F18" s="1314"/>
      <c r="G18" s="660">
        <f>J18/$J$19</f>
        <v>4.6999095936089363E-2</v>
      </c>
      <c r="H18" s="657">
        <f>IF(H$1&lt;=$H$56,0,'[14]Opex Phenol'!$D$15*H$2*(1+$H$55)^(H$1-$H$56-1))</f>
        <v>72.493034821722745</v>
      </c>
      <c r="I18" s="657">
        <f>IF(I$1&lt;=$H$56,0,'[14]Opex Phenol'!$D$15*I$2*(1+$H$55)^(I$1-$H$56-1))</f>
        <v>84.172468209666945</v>
      </c>
      <c r="J18" s="657">
        <f>IF(J$1&lt;=$H$56,0,'[14]Opex Phenol'!$D$15*J$2*(1+$H$55)^(J$1-$H$56-1))</f>
        <v>87.960229279101952</v>
      </c>
      <c r="K18" s="657">
        <f>IF(K$1&lt;=$H$56,0,'[14]Opex Phenol'!$D$15*K$2*(1+$H$55)^(K$1-$H$56-1))</f>
        <v>91.918439596661543</v>
      </c>
      <c r="L18" s="657">
        <f>IF(L$1&lt;=$H$56,0,'[14]Opex Phenol'!$D$15*L$2*(1+$H$55)^(L$1-$H$56-1))</f>
        <v>96.054769378511281</v>
      </c>
      <c r="M18" s="657">
        <f>IF(M$1&lt;=$H$56,0,'[14]Opex Phenol'!$D$15*M$2*(1+$H$55)^(M$1-$H$56-1))</f>
        <v>100.37723400054429</v>
      </c>
      <c r="N18" s="657">
        <f>IF(N$1&lt;=$H$56,0,'[14]Opex Phenol'!$D$15*N$2*(1+$H$55)^(N$1-$H$56-1))</f>
        <v>104.89420953056876</v>
      </c>
      <c r="O18" s="657">
        <f>IF(O$1&lt;=$H$56,0,'[14]Opex Phenol'!$D$15*O$2*(1+$H$55)^(O$1-$H$56-1))</f>
        <v>109.61444895944436</v>
      </c>
      <c r="P18" s="657">
        <f>IF(P$1&lt;=$H$56,0,'[14]Opex Phenol'!$D$15*P$2*(1+$H$55)^(P$1-$H$56-1))</f>
        <v>114.54709916261932</v>
      </c>
      <c r="Q18" s="657">
        <f>IF(Q$1&lt;=$H$56,0,'[14]Opex Phenol'!$D$15*Q$2*(1+$H$55)^(Q$1-$H$56-1))</f>
        <v>119.70171862493719</v>
      </c>
      <c r="R18" s="657">
        <f>IF(R$1&lt;=$H$56,0,'[14]Opex Phenol'!$D$15*R$2*(1+$H$55)^(R$1-$H$56-1))</f>
        <v>125.08829596305934</v>
      </c>
      <c r="S18" s="657">
        <f>IF(S$1&lt;=$H$56,0,'[14]Opex Phenol'!$D$15*S$2*(1+$H$55)^(S$1-$H$56-1))</f>
        <v>130.71726928139702</v>
      </c>
      <c r="T18" s="657">
        <f>IF(T$1&lt;=$H$56,0,'[14]Opex Phenol'!$D$15*T$2*(1+$H$55)^(T$1-$H$56-1))</f>
        <v>136.59954639905985</v>
      </c>
      <c r="U18" s="657">
        <f>IF(U$1&lt;=$H$56,0,'[14]Opex Phenol'!$D$15*U$2*(1+$H$55)^(U$1-$H$56-1))</f>
        <v>142.74652598701755</v>
      </c>
      <c r="V18" s="657">
        <f>IF(V$1&lt;=$H$56,0,'[14]Opex Phenol'!$D$15*V$2*(1+$H$55)^(V$1-$H$56-1))</f>
        <v>149.17011965643329</v>
      </c>
      <c r="W18" s="657">
        <f>IF(W$1&lt;=$H$56,0,'[14]Opex Phenol'!$D$15*W$2*(1+$H$55)^(W$1-$H$56-1))</f>
        <v>155.8827750409728</v>
      </c>
      <c r="X18" s="657">
        <f>IF(X$1&lt;=$H$56,0,'[14]Opex Phenol'!$D$15*X$2*(1+$H$55)^(X$1-$H$56-1))</f>
        <v>162.89749991781653</v>
      </c>
      <c r="Y18" s="657">
        <f>IF(Y$1&lt;=$H$56,0,'[14]Opex Phenol'!$D$15*Y$2*(1+$H$55)^(Y$1-$H$56-1))</f>
        <v>170.22788741411827</v>
      </c>
      <c r="Z18" s="657">
        <f>IF(Z$1&lt;=$H$56,0,'[14]Opex Phenol'!$D$15*Z$2*(1+$H$55)^(Z$1-$H$56-1))</f>
        <v>177.88814234775356</v>
      </c>
      <c r="AA18" s="657">
        <f>IF(AA$1&lt;=$H$56,0,'[14]Opex Phenol'!$D$15*AA$2*(1+$H$55)^(AA$1-$H$56-1))</f>
        <v>185.89310875340246</v>
      </c>
    </row>
    <row r="19" spans="1:27" s="142" customFormat="1">
      <c r="A19" s="1071"/>
      <c r="B19" s="1088" t="s">
        <v>34</v>
      </c>
      <c r="C19" s="1088"/>
      <c r="D19" s="1088"/>
      <c r="E19" s="1088"/>
      <c r="F19" s="1088"/>
      <c r="G19" s="1089"/>
      <c r="H19" s="1075">
        <f t="shared" ref="H19:Q19" si="1">SUM(H14:H18)</f>
        <v>1515.9148054209468</v>
      </c>
      <c r="I19" s="1075">
        <f t="shared" si="1"/>
        <v>1773.8783569103452</v>
      </c>
      <c r="J19" s="1075">
        <f t="shared" si="1"/>
        <v>1871.5302396180693</v>
      </c>
      <c r="K19" s="1075">
        <f t="shared" si="1"/>
        <v>1974.6022431490962</v>
      </c>
      <c r="L19" s="1075">
        <f t="shared" si="1"/>
        <v>2083.3972966727506</v>
      </c>
      <c r="M19" s="1075">
        <f t="shared" si="1"/>
        <v>2198.2353573965352</v>
      </c>
      <c r="N19" s="1075">
        <f t="shared" si="1"/>
        <v>2319.4543722466615</v>
      </c>
      <c r="O19" s="1075">
        <f t="shared" si="1"/>
        <v>2447.4112940686136</v>
      </c>
      <c r="P19" s="1075">
        <f t="shared" si="1"/>
        <v>2582.4831554481293</v>
      </c>
      <c r="Q19" s="1075">
        <f t="shared" si="1"/>
        <v>2725.0682034297688</v>
      </c>
      <c r="R19" s="1280">
        <f t="shared" ref="R19:AA19" si="2">SUM(R14:R18)</f>
        <v>2875.5870985970441</v>
      </c>
      <c r="S19" s="1075">
        <f t="shared" si="2"/>
        <v>3034.4841821756318</v>
      </c>
      <c r="T19" s="1075">
        <f t="shared" si="2"/>
        <v>3202.2288150299696</v>
      </c>
      <c r="U19" s="1075">
        <f t="shared" si="2"/>
        <v>3379.3167926442848</v>
      </c>
      <c r="V19" s="1075">
        <f t="shared" si="2"/>
        <v>3566.2718404124134</v>
      </c>
      <c r="W19" s="1075">
        <f t="shared" si="2"/>
        <v>3763.6471938074937</v>
      </c>
      <c r="X19" s="1075">
        <f t="shared" si="2"/>
        <v>3972.0272682633235</v>
      </c>
      <c r="Y19" s="1075">
        <f t="shared" si="2"/>
        <v>4192.0294238749302</v>
      </c>
      <c r="Z19" s="1075">
        <f t="shared" si="2"/>
        <v>4424.3058303172356</v>
      </c>
      <c r="AA19" s="1281">
        <f t="shared" si="2"/>
        <v>4669.5454376888974</v>
      </c>
    </row>
    <row r="20" spans="1:27">
      <c r="A20" s="1312"/>
      <c r="B20" s="1314"/>
      <c r="C20" s="1314"/>
      <c r="D20" s="1314"/>
      <c r="E20" s="1314"/>
      <c r="F20" s="1314"/>
      <c r="G20" s="1082"/>
      <c r="H20" s="1068"/>
      <c r="I20" s="1068"/>
      <c r="J20" s="1068"/>
      <c r="K20" s="1068"/>
      <c r="L20" s="1068"/>
      <c r="M20" s="1068"/>
      <c r="N20" s="1068"/>
      <c r="O20" s="1068"/>
      <c r="P20" s="1068"/>
      <c r="Q20" s="1068"/>
      <c r="R20" s="1282"/>
      <c r="AA20" s="43"/>
    </row>
    <row r="21" spans="1:27" s="142" customFormat="1">
      <c r="A21" s="1317">
        <v>6</v>
      </c>
      <c r="B21" s="1318" t="s">
        <v>520</v>
      </c>
      <c r="C21" s="1318"/>
      <c r="D21" s="1318"/>
      <c r="E21" s="1318"/>
      <c r="F21" s="1318"/>
      <c r="G21" s="1098"/>
      <c r="H21" s="1099">
        <f t="shared" ref="H21:AA21" si="3">H10-H19</f>
        <v>519.36812508842831</v>
      </c>
      <c r="I21" s="1099">
        <f t="shared" si="3"/>
        <v>619.27964583069706</v>
      </c>
      <c r="J21" s="1099">
        <f t="shared" si="3"/>
        <v>661.03450482163021</v>
      </c>
      <c r="K21" s="1099">
        <f t="shared" si="3"/>
        <v>705.4905609510954</v>
      </c>
      <c r="L21" s="1099">
        <f t="shared" si="3"/>
        <v>752.81803563448739</v>
      </c>
      <c r="M21" s="1099">
        <f t="shared" si="3"/>
        <v>803.19769005294393</v>
      </c>
      <c r="N21" s="1099">
        <f t="shared" si="3"/>
        <v>856.82146980245579</v>
      </c>
      <c r="O21" s="1099">
        <f t="shared" si="3"/>
        <v>913.8931886274454</v>
      </c>
      <c r="P21" s="1099">
        <f t="shared" si="3"/>
        <v>974.62925359331666</v>
      </c>
      <c r="Q21" s="1099">
        <f t="shared" si="3"/>
        <v>1039.2594341936701</v>
      </c>
      <c r="R21" s="1283">
        <f t="shared" si="3"/>
        <v>1108.0276780374406</v>
      </c>
      <c r="S21" s="1099">
        <f t="shared" si="3"/>
        <v>1181.1929759197856</v>
      </c>
      <c r="T21" s="1099">
        <f t="shared" si="3"/>
        <v>1259.0302792485377</v>
      </c>
      <c r="U21" s="1099">
        <f t="shared" si="3"/>
        <v>1341.8314729760696</v>
      </c>
      <c r="V21" s="1099">
        <f t="shared" si="3"/>
        <v>1429.9064073750933</v>
      </c>
      <c r="W21" s="1099">
        <f t="shared" si="3"/>
        <v>1523.5839921968545</v>
      </c>
      <c r="X21" s="1099">
        <f t="shared" si="3"/>
        <v>1623.2133569620059</v>
      </c>
      <c r="Y21" s="1099">
        <f t="shared" si="3"/>
        <v>1729.1650813590159</v>
      </c>
      <c r="Z21" s="1099">
        <f t="shared" si="3"/>
        <v>1841.8324999627866</v>
      </c>
      <c r="AA21" s="1284">
        <f t="shared" si="3"/>
        <v>1961.6330857383491</v>
      </c>
    </row>
    <row r="22" spans="1:27">
      <c r="A22" s="1312"/>
      <c r="B22" s="1314" t="s">
        <v>523</v>
      </c>
      <c r="C22" s="1314"/>
      <c r="D22" s="1314"/>
      <c r="E22" s="1314"/>
      <c r="F22" s="1314"/>
      <c r="G22" s="1082"/>
      <c r="H22" s="709">
        <f>H21/H10</f>
        <v>0.25518227333555282</v>
      </c>
      <c r="I22" s="709">
        <f t="shared" ref="I22:AA22" si="4">I21/I10</f>
        <v>0.25877089816944604</v>
      </c>
      <c r="J22" s="709">
        <f t="shared" si="4"/>
        <v>0.26101386204358473</v>
      </c>
      <c r="K22" s="709">
        <f t="shared" si="4"/>
        <v>0.26323363126522598</v>
      </c>
      <c r="L22" s="709">
        <f t="shared" si="4"/>
        <v>0.26543049360856397</v>
      </c>
      <c r="M22" s="709">
        <f t="shared" si="4"/>
        <v>0.26760473325749357</v>
      </c>
      <c r="N22" s="709">
        <f t="shared" si="4"/>
        <v>0.26975663085032714</v>
      </c>
      <c r="O22" s="709">
        <f t="shared" si="4"/>
        <v>0.27188646352395407</v>
      </c>
      <c r="P22" s="709">
        <f t="shared" si="4"/>
        <v>0.27399450495745092</v>
      </c>
      <c r="Q22" s="709">
        <f t="shared" si="4"/>
        <v>0.2760810254151505</v>
      </c>
      <c r="R22" s="709">
        <f t="shared" si="4"/>
        <v>0.27814629178917399</v>
      </c>
      <c r="S22" s="709">
        <f t="shared" si="4"/>
        <v>0.2801905676414348</v>
      </c>
      <c r="T22" s="709">
        <f t="shared" si="4"/>
        <v>0.28221411324512036</v>
      </c>
      <c r="U22" s="709">
        <f t="shared" si="4"/>
        <v>0.28421718562565718</v>
      </c>
      <c r="V22" s="709">
        <f t="shared" si="4"/>
        <v>0.28620003860116661</v>
      </c>
      <c r="W22" s="709">
        <f t="shared" si="4"/>
        <v>0.28816292282241834</v>
      </c>
      <c r="X22" s="709">
        <f t="shared" si="4"/>
        <v>0.29010608581228559</v>
      </c>
      <c r="Y22" s="709">
        <f t="shared" si="4"/>
        <v>0.29202977200471086</v>
      </c>
      <c r="Z22" s="709">
        <f t="shared" si="4"/>
        <v>0.29393422278318559</v>
      </c>
      <c r="AA22" s="709">
        <f t="shared" si="4"/>
        <v>0.29581967651875285</v>
      </c>
    </row>
    <row r="23" spans="1:27">
      <c r="A23" s="1312"/>
      <c r="B23" s="1314"/>
      <c r="C23" s="1314"/>
      <c r="D23" s="1314"/>
      <c r="E23" s="1314"/>
      <c r="F23" s="1314"/>
      <c r="G23" s="1082"/>
      <c r="H23" s="1068"/>
      <c r="I23" s="1068"/>
      <c r="J23" s="1068"/>
      <c r="K23" s="1068"/>
      <c r="L23" s="1068"/>
      <c r="M23" s="1068"/>
      <c r="N23" s="1068"/>
      <c r="O23" s="1068"/>
      <c r="P23" s="1068"/>
      <c r="Q23" s="1068"/>
      <c r="R23" s="1285"/>
      <c r="S23" s="1068"/>
      <c r="T23" s="1068"/>
      <c r="U23" s="1068"/>
      <c r="V23" s="1068"/>
      <c r="W23" s="1068"/>
      <c r="X23" s="1068"/>
      <c r="Y23" s="1068"/>
      <c r="Z23" s="1068"/>
      <c r="AA23" s="1286"/>
    </row>
    <row r="24" spans="1:27" s="142" customFormat="1">
      <c r="A24" s="1077"/>
      <c r="B24" s="1078" t="s">
        <v>36</v>
      </c>
      <c r="C24" s="1060">
        <f>+C7</f>
        <v>-88.43</v>
      </c>
      <c r="D24" s="1060">
        <f>+D7</f>
        <v>-442.17</v>
      </c>
      <c r="E24" s="1060">
        <f>+E7</f>
        <v>-619.04</v>
      </c>
      <c r="F24" s="1060">
        <f>+F7</f>
        <v>-619.04</v>
      </c>
      <c r="G24" s="1061"/>
      <c r="H24" s="1079">
        <f>H21+SUM(C24:F24)</f>
        <v>-1249.3118749115715</v>
      </c>
      <c r="I24" s="1079">
        <f t="shared" ref="I24:AA24" si="5">I21</f>
        <v>619.27964583069706</v>
      </c>
      <c r="J24" s="1079">
        <f t="shared" si="5"/>
        <v>661.03450482163021</v>
      </c>
      <c r="K24" s="1079">
        <f t="shared" si="5"/>
        <v>705.4905609510954</v>
      </c>
      <c r="L24" s="1079">
        <f t="shared" si="5"/>
        <v>752.81803563448739</v>
      </c>
      <c r="M24" s="1079">
        <f t="shared" si="5"/>
        <v>803.19769005294393</v>
      </c>
      <c r="N24" s="1079">
        <f t="shared" si="5"/>
        <v>856.82146980245579</v>
      </c>
      <c r="O24" s="1079">
        <f t="shared" si="5"/>
        <v>913.8931886274454</v>
      </c>
      <c r="P24" s="1079">
        <f t="shared" si="5"/>
        <v>974.62925359331666</v>
      </c>
      <c r="Q24" s="1079">
        <f t="shared" si="5"/>
        <v>1039.2594341936701</v>
      </c>
      <c r="R24" s="1278">
        <f t="shared" si="5"/>
        <v>1108.0276780374406</v>
      </c>
      <c r="S24" s="1079">
        <f t="shared" si="5"/>
        <v>1181.1929759197856</v>
      </c>
      <c r="T24" s="1079">
        <f t="shared" si="5"/>
        <v>1259.0302792485377</v>
      </c>
      <c r="U24" s="1079">
        <f t="shared" si="5"/>
        <v>1341.8314729760696</v>
      </c>
      <c r="V24" s="1079">
        <f t="shared" si="5"/>
        <v>1429.9064073750933</v>
      </c>
      <c r="W24" s="1079">
        <f t="shared" si="5"/>
        <v>1523.5839921968545</v>
      </c>
      <c r="X24" s="1079">
        <f t="shared" si="5"/>
        <v>1623.2133569620059</v>
      </c>
      <c r="Y24" s="1079">
        <f t="shared" si="5"/>
        <v>1729.1650813590159</v>
      </c>
      <c r="Z24" s="1079">
        <f t="shared" si="5"/>
        <v>1841.8324999627866</v>
      </c>
      <c r="AA24" s="1279">
        <f t="shared" si="5"/>
        <v>1961.6330857383491</v>
      </c>
    </row>
    <row r="25" spans="1:27">
      <c r="A25" s="1312"/>
      <c r="B25" s="1314"/>
      <c r="C25" s="1314"/>
      <c r="D25" s="1314"/>
      <c r="E25" s="1314"/>
      <c r="F25" s="1314"/>
      <c r="G25" s="1082"/>
      <c r="H25" s="1068"/>
      <c r="I25" s="1068"/>
      <c r="J25" s="1068"/>
      <c r="K25" s="1068"/>
      <c r="L25" s="1068"/>
      <c r="M25" s="1068"/>
      <c r="N25" s="1068"/>
      <c r="O25" s="1068"/>
      <c r="P25" s="1068"/>
      <c r="Q25" s="1068"/>
      <c r="R25" s="1285"/>
      <c r="S25" s="1068"/>
      <c r="T25" s="1068"/>
      <c r="U25" s="1068"/>
      <c r="V25" s="1068"/>
      <c r="W25" s="1068"/>
      <c r="X25" s="1068"/>
      <c r="Y25" s="1068"/>
      <c r="Z25" s="1068"/>
      <c r="AA25" s="1286"/>
    </row>
    <row r="26" spans="1:27">
      <c r="A26" s="1312"/>
      <c r="B26" s="1314" t="s">
        <v>37</v>
      </c>
      <c r="C26" s="1314"/>
      <c r="D26" s="1314"/>
      <c r="E26" s="1314"/>
      <c r="F26" s="1314"/>
      <c r="G26" s="1082">
        <v>1</v>
      </c>
      <c r="H26" s="1068">
        <f>G26/(1+0.1)</f>
        <v>0.90909090909090906</v>
      </c>
      <c r="I26" s="1068">
        <f>H26/(1+0.1)</f>
        <v>0.82644628099173545</v>
      </c>
      <c r="J26" s="1068">
        <f t="shared" ref="J26:AA26" si="6">I26/(1+0.1)</f>
        <v>0.75131480090157765</v>
      </c>
      <c r="K26" s="1068">
        <f t="shared" si="6"/>
        <v>0.68301345536507052</v>
      </c>
      <c r="L26" s="1068">
        <f t="shared" si="6"/>
        <v>0.62092132305915493</v>
      </c>
      <c r="M26" s="1068">
        <f t="shared" si="6"/>
        <v>0.56447393005377711</v>
      </c>
      <c r="N26" s="1068">
        <f t="shared" si="6"/>
        <v>0.51315811823070645</v>
      </c>
      <c r="O26" s="1068">
        <f t="shared" si="6"/>
        <v>0.46650738020973309</v>
      </c>
      <c r="P26" s="1068">
        <f t="shared" si="6"/>
        <v>0.42409761837248461</v>
      </c>
      <c r="Q26" s="1068">
        <f t="shared" si="6"/>
        <v>0.38554328942953142</v>
      </c>
      <c r="R26" s="1285">
        <f t="shared" si="6"/>
        <v>0.35049389948139215</v>
      </c>
      <c r="S26" s="1068">
        <f t="shared" si="6"/>
        <v>0.31863081771035645</v>
      </c>
      <c r="T26" s="1068">
        <f t="shared" si="6"/>
        <v>0.28966437973668768</v>
      </c>
      <c r="U26" s="1068">
        <f t="shared" si="6"/>
        <v>0.26333125430607968</v>
      </c>
      <c r="V26" s="1068">
        <f t="shared" si="6"/>
        <v>0.23939204936916333</v>
      </c>
      <c r="W26" s="1068">
        <f t="shared" si="6"/>
        <v>0.21762913579014848</v>
      </c>
      <c r="X26" s="1068">
        <f t="shared" si="6"/>
        <v>0.19784466890013497</v>
      </c>
      <c r="Y26" s="1068">
        <f t="shared" si="6"/>
        <v>0.17985878990921358</v>
      </c>
      <c r="Z26" s="1068">
        <f t="shared" si="6"/>
        <v>0.16350799082655779</v>
      </c>
      <c r="AA26" s="1286">
        <f t="shared" si="6"/>
        <v>0.14864362802414344</v>
      </c>
    </row>
    <row r="27" spans="1:27">
      <c r="A27" s="1312"/>
      <c r="B27" s="1314" t="s">
        <v>38</v>
      </c>
      <c r="C27" s="1084"/>
      <c r="D27" s="1084"/>
      <c r="E27" s="1084"/>
      <c r="F27" s="1084"/>
      <c r="G27" s="672"/>
      <c r="H27" s="657">
        <f>H24*H26</f>
        <v>-1135.7380681014286</v>
      </c>
      <c r="I27" s="657">
        <f t="shared" ref="I27:AA27" si="7">I24*I26</f>
        <v>511.80136019065867</v>
      </c>
      <c r="J27" s="657">
        <f t="shared" si="7"/>
        <v>496.64500737913608</v>
      </c>
      <c r="K27" s="657">
        <f t="shared" si="7"/>
        <v>481.85954576264959</v>
      </c>
      <c r="L27" s="657">
        <f t="shared" si="7"/>
        <v>467.44077070895997</v>
      </c>
      <c r="M27" s="657">
        <f t="shared" si="7"/>
        <v>453.38415671430079</v>
      </c>
      <c r="N27" s="657">
        <f t="shared" si="7"/>
        <v>439.68489310349628</v>
      </c>
      <c r="O27" s="657">
        <f t="shared" si="7"/>
        <v>426.337917218109</v>
      </c>
      <c r="P27" s="657">
        <f t="shared" si="7"/>
        <v>413.33794524507795</v>
      </c>
      <c r="Q27" s="657">
        <f t="shared" si="7"/>
        <v>400.67950082970123</v>
      </c>
      <c r="R27" s="673">
        <f t="shared" si="7"/>
        <v>388.35694160865506</v>
      </c>
      <c r="S27" s="657">
        <f t="shared" si="7"/>
        <v>376.36448379105065</v>
      </c>
      <c r="T27" s="657">
        <f t="shared" si="7"/>
        <v>364.69622490823633</v>
      </c>
      <c r="U27" s="657">
        <f t="shared" si="7"/>
        <v>353.34616484616288</v>
      </c>
      <c r="V27" s="657">
        <f t="shared" si="7"/>
        <v>342.30822526762131</v>
      </c>
      <c r="W27" s="657">
        <f t="shared" si="7"/>
        <v>331.57626752550578</v>
      </c>
      <c r="X27" s="657">
        <f t="shared" si="7"/>
        <v>321.14410916242468</v>
      </c>
      <c r="Y27" s="657">
        <f t="shared" si="7"/>
        <v>311.00553908649943</v>
      </c>
      <c r="Z27" s="657">
        <f t="shared" si="7"/>
        <v>301.15433150797134</v>
      </c>
      <c r="AA27" s="674">
        <f t="shared" si="7"/>
        <v>291.58425871634381</v>
      </c>
    </row>
    <row r="28" spans="1:27">
      <c r="A28" s="1312"/>
      <c r="B28" s="1314" t="s">
        <v>39</v>
      </c>
      <c r="C28" s="1314"/>
      <c r="D28" s="1314"/>
      <c r="E28" s="1314"/>
      <c r="F28" s="1314"/>
      <c r="G28" s="672"/>
      <c r="H28" s="657">
        <f>H24</f>
        <v>-1249.3118749115715</v>
      </c>
      <c r="I28" s="657">
        <f t="shared" ref="I28:AA28" si="8">I24</f>
        <v>619.27964583069706</v>
      </c>
      <c r="J28" s="657">
        <f t="shared" si="8"/>
        <v>661.03450482163021</v>
      </c>
      <c r="K28" s="657">
        <f>K24</f>
        <v>705.4905609510954</v>
      </c>
      <c r="L28" s="657">
        <f t="shared" si="8"/>
        <v>752.81803563448739</v>
      </c>
      <c r="M28" s="657">
        <f t="shared" si="8"/>
        <v>803.19769005294393</v>
      </c>
      <c r="N28" s="657">
        <f t="shared" si="8"/>
        <v>856.82146980245579</v>
      </c>
      <c r="O28" s="657">
        <f t="shared" si="8"/>
        <v>913.8931886274454</v>
      </c>
      <c r="P28" s="657">
        <f t="shared" si="8"/>
        <v>974.62925359331666</v>
      </c>
      <c r="Q28" s="657">
        <f t="shared" si="8"/>
        <v>1039.2594341936701</v>
      </c>
      <c r="R28" s="673">
        <f t="shared" si="8"/>
        <v>1108.0276780374406</v>
      </c>
      <c r="S28" s="657">
        <f t="shared" si="8"/>
        <v>1181.1929759197856</v>
      </c>
      <c r="T28" s="657">
        <f t="shared" si="8"/>
        <v>1259.0302792485377</v>
      </c>
      <c r="U28" s="657">
        <f t="shared" si="8"/>
        <v>1341.8314729760696</v>
      </c>
      <c r="V28" s="657">
        <f t="shared" si="8"/>
        <v>1429.9064073750933</v>
      </c>
      <c r="W28" s="657">
        <f t="shared" si="8"/>
        <v>1523.5839921968545</v>
      </c>
      <c r="X28" s="657">
        <f t="shared" si="8"/>
        <v>1623.2133569620059</v>
      </c>
      <c r="Y28" s="657">
        <f t="shared" si="8"/>
        <v>1729.1650813590159</v>
      </c>
      <c r="Z28" s="657">
        <f t="shared" si="8"/>
        <v>1841.8324999627866</v>
      </c>
      <c r="AA28" s="674">
        <f t="shared" si="8"/>
        <v>1961.6330857383491</v>
      </c>
    </row>
    <row r="29" spans="1:27">
      <c r="A29" s="1313"/>
      <c r="B29" s="1315" t="s">
        <v>495</v>
      </c>
      <c r="C29" s="1315"/>
      <c r="D29" s="1315"/>
      <c r="E29" s="1315"/>
      <c r="F29" s="1315"/>
      <c r="G29" s="676"/>
      <c r="H29" s="677">
        <f>G28+H24</f>
        <v>-1249.3118749115715</v>
      </c>
      <c r="I29" s="677">
        <f>H29+I24</f>
        <v>-630.03222908087446</v>
      </c>
      <c r="J29" s="677">
        <f t="shared" ref="J29:AA29" si="9">I29+J24</f>
        <v>31.002275740755749</v>
      </c>
      <c r="K29" s="677">
        <f>J29+K24</f>
        <v>736.49283669185115</v>
      </c>
      <c r="L29" s="677">
        <f t="shared" si="9"/>
        <v>1489.3108723263385</v>
      </c>
      <c r="M29" s="677">
        <f t="shared" si="9"/>
        <v>2292.5085623792825</v>
      </c>
      <c r="N29" s="677">
        <f t="shared" si="9"/>
        <v>3149.3300321817383</v>
      </c>
      <c r="O29" s="677">
        <f t="shared" si="9"/>
        <v>4063.2232208091837</v>
      </c>
      <c r="P29" s="677">
        <f t="shared" si="9"/>
        <v>5037.8524744024999</v>
      </c>
      <c r="Q29" s="677">
        <f t="shared" si="9"/>
        <v>6077.11190859617</v>
      </c>
      <c r="R29" s="678">
        <f t="shared" si="9"/>
        <v>7185.1395866336106</v>
      </c>
      <c r="S29" s="677">
        <f t="shared" si="9"/>
        <v>8366.3325625533962</v>
      </c>
      <c r="T29" s="677">
        <f t="shared" si="9"/>
        <v>9625.3628418019343</v>
      </c>
      <c r="U29" s="677">
        <f t="shared" si="9"/>
        <v>10967.194314778004</v>
      </c>
      <c r="V29" s="677">
        <f t="shared" si="9"/>
        <v>12397.100722153096</v>
      </c>
      <c r="W29" s="677">
        <f t="shared" si="9"/>
        <v>13920.684714349951</v>
      </c>
      <c r="X29" s="677">
        <f t="shared" si="9"/>
        <v>15543.898071311956</v>
      </c>
      <c r="Y29" s="677">
        <f t="shared" si="9"/>
        <v>17273.063152670973</v>
      </c>
      <c r="Z29" s="677">
        <f t="shared" si="9"/>
        <v>19114.895652633761</v>
      </c>
      <c r="AA29" s="679">
        <f t="shared" si="9"/>
        <v>21076.528738372108</v>
      </c>
    </row>
    <row r="30" spans="1:27">
      <c r="A30" s="1312"/>
      <c r="B30" s="1314"/>
      <c r="C30" s="1314"/>
      <c r="D30" s="1314"/>
      <c r="E30" s="1314"/>
      <c r="F30" s="1314"/>
      <c r="G30" s="1082"/>
      <c r="H30" s="657"/>
      <c r="I30" s="657"/>
      <c r="J30" s="657"/>
      <c r="K30" s="657"/>
      <c r="L30" s="657"/>
      <c r="M30" s="657"/>
      <c r="N30" s="657"/>
      <c r="O30" s="657"/>
      <c r="P30" s="657"/>
      <c r="Q30" s="657"/>
      <c r="R30" s="673"/>
      <c r="S30" s="657"/>
      <c r="T30" s="657"/>
      <c r="U30" s="657"/>
      <c r="V30" s="657"/>
      <c r="W30" s="657"/>
      <c r="X30" s="657"/>
      <c r="Y30" s="657"/>
      <c r="Z30" s="657"/>
      <c r="AA30" s="674"/>
    </row>
    <row r="31" spans="1:27">
      <c r="A31" s="1312"/>
      <c r="B31" s="1314"/>
      <c r="C31" s="1314"/>
      <c r="D31" s="1314"/>
      <c r="E31" s="1314"/>
      <c r="F31" s="1314"/>
      <c r="G31" s="1082"/>
      <c r="H31" s="657"/>
      <c r="I31" s="657"/>
      <c r="J31" s="657"/>
      <c r="K31" s="657"/>
      <c r="L31" s="657"/>
      <c r="M31" s="657"/>
      <c r="N31" s="657"/>
      <c r="O31" s="657"/>
      <c r="P31" s="657"/>
      <c r="Q31" s="657"/>
      <c r="R31" s="673"/>
      <c r="S31" s="657"/>
      <c r="T31" s="657"/>
      <c r="U31" s="657"/>
      <c r="V31" s="657"/>
      <c r="W31" s="657"/>
      <c r="X31" s="657"/>
      <c r="Y31" s="657"/>
      <c r="Z31" s="657"/>
      <c r="AA31" s="674"/>
    </row>
    <row r="32" spans="1:27">
      <c r="A32" s="1312"/>
      <c r="B32" s="680" t="s">
        <v>455</v>
      </c>
      <c r="C32" s="681"/>
      <c r="D32" s="681"/>
      <c r="E32" s="681"/>
      <c r="F32" s="681"/>
      <c r="G32" s="682">
        <f>NPV(0%,(H27:AA27))+G27</f>
        <v>6336.969575471132</v>
      </c>
      <c r="H32" s="1287"/>
      <c r="I32" s="1068"/>
      <c r="J32" s="1068"/>
      <c r="K32" s="1068"/>
      <c r="L32" s="1068"/>
      <c r="M32" s="1068"/>
      <c r="N32" s="1068"/>
      <c r="O32" s="1068"/>
      <c r="P32" s="1068"/>
      <c r="Q32" s="1068"/>
      <c r="R32" s="1285"/>
      <c r="S32" s="1068"/>
      <c r="T32" s="1068"/>
      <c r="U32" s="1068"/>
      <c r="V32" s="1068"/>
      <c r="W32" s="1068"/>
      <c r="X32" s="1068"/>
      <c r="Y32" s="1068"/>
      <c r="Z32" s="1068"/>
      <c r="AA32" s="1286"/>
    </row>
    <row r="33" spans="1:27">
      <c r="A33" s="1312"/>
      <c r="B33" s="1288" t="s">
        <v>41</v>
      </c>
      <c r="C33" s="1276"/>
      <c r="D33" s="1276"/>
      <c r="E33" s="1276"/>
      <c r="F33" s="1276"/>
      <c r="G33" s="685">
        <f>IRR(C24:AA24,0.1)</f>
        <v>0.21197582212861299</v>
      </c>
      <c r="H33" s="1286"/>
      <c r="I33" s="1068"/>
      <c r="J33" s="1068"/>
      <c r="K33" s="1068"/>
      <c r="L33" s="1068"/>
      <c r="M33" s="1068"/>
      <c r="N33" s="1068"/>
      <c r="O33" s="1068"/>
      <c r="P33" s="1068"/>
      <c r="Q33" s="1068"/>
      <c r="R33" s="1285"/>
      <c r="S33" s="1068"/>
      <c r="T33" s="1068"/>
      <c r="U33" s="1068"/>
      <c r="V33" s="1068"/>
      <c r="W33" s="1068"/>
      <c r="X33" s="1068"/>
      <c r="Y33" s="1068"/>
      <c r="Z33" s="1068"/>
      <c r="AA33" s="1286"/>
    </row>
    <row r="34" spans="1:27">
      <c r="A34" s="1312"/>
      <c r="B34" s="1289" t="s">
        <v>500</v>
      </c>
      <c r="C34" s="1290"/>
      <c r="D34" s="1290"/>
      <c r="E34" s="1290"/>
      <c r="F34" s="1290"/>
      <c r="G34" s="688">
        <f>IF(SUM(H39:AA39)&lt;=25,SUM(H39:AA39)," N/A ")</f>
        <v>2.9531003669027518</v>
      </c>
      <c r="H34" s="1291"/>
      <c r="I34" s="1068"/>
      <c r="J34" s="1068"/>
      <c r="K34" s="1068"/>
      <c r="L34" s="1068"/>
      <c r="M34" s="1068"/>
      <c r="N34" s="1068"/>
      <c r="O34" s="1068"/>
      <c r="P34" s="1068"/>
      <c r="Q34" s="1068"/>
      <c r="R34" s="1285"/>
      <c r="S34" s="1068"/>
      <c r="T34" s="1068"/>
      <c r="U34" s="1068"/>
      <c r="V34" s="1068"/>
      <c r="W34" s="1068"/>
      <c r="X34" s="1068"/>
      <c r="Y34" s="1068"/>
      <c r="Z34" s="1068"/>
      <c r="AA34" s="1286"/>
    </row>
    <row r="35" spans="1:27">
      <c r="A35" s="1312"/>
      <c r="B35" s="1292" t="s">
        <v>501</v>
      </c>
      <c r="C35" s="1293"/>
      <c r="D35" s="1293"/>
      <c r="E35" s="1293"/>
      <c r="F35" s="1293"/>
      <c r="G35" s="688">
        <f>IF(SUM(H40:AA40)&lt;=25,SUM(H40:AA40)," N/A ")</f>
        <v>3.2685765883475626</v>
      </c>
      <c r="H35" s="1294"/>
      <c r="I35" s="1068"/>
      <c r="J35" s="1068"/>
      <c r="K35" s="1068"/>
      <c r="L35" s="1068"/>
      <c r="M35" s="1068"/>
      <c r="N35" s="1068"/>
      <c r="O35" s="1068"/>
      <c r="P35" s="1068"/>
      <c r="Q35" s="1068"/>
      <c r="R35" s="1285"/>
      <c r="S35" s="1068"/>
      <c r="T35" s="1068"/>
      <c r="U35" s="1068"/>
      <c r="V35" s="1068"/>
      <c r="W35" s="1068"/>
      <c r="X35" s="1068"/>
      <c r="Y35" s="1068"/>
      <c r="Z35" s="1068"/>
      <c r="AA35" s="1286"/>
    </row>
    <row r="36" spans="1:27">
      <c r="A36" s="1321"/>
      <c r="G36" s="1070"/>
      <c r="H36" s="693">
        <v>1</v>
      </c>
      <c r="I36" s="693">
        <v>2</v>
      </c>
      <c r="J36" s="693">
        <v>3</v>
      </c>
      <c r="K36" s="693">
        <v>4</v>
      </c>
      <c r="L36" s="693">
        <v>5</v>
      </c>
      <c r="M36" s="693">
        <v>6</v>
      </c>
      <c r="N36" s="693">
        <v>7</v>
      </c>
      <c r="O36" s="693">
        <v>8</v>
      </c>
      <c r="P36" s="693">
        <v>9</v>
      </c>
      <c r="Q36" s="693">
        <v>10</v>
      </c>
      <c r="R36" s="694">
        <v>11</v>
      </c>
      <c r="S36" s="693">
        <v>12</v>
      </c>
      <c r="T36" s="693">
        <v>13</v>
      </c>
      <c r="U36" s="693">
        <v>14</v>
      </c>
      <c r="V36" s="693">
        <v>15</v>
      </c>
      <c r="W36" s="693">
        <v>16</v>
      </c>
      <c r="X36" s="693">
        <v>17</v>
      </c>
      <c r="Y36" s="693">
        <v>18</v>
      </c>
      <c r="Z36" s="693">
        <v>19</v>
      </c>
      <c r="AA36" s="695">
        <v>20</v>
      </c>
    </row>
    <row r="37" spans="1:27">
      <c r="A37" s="859"/>
      <c r="B37" s="1295" t="s">
        <v>502</v>
      </c>
      <c r="C37" s="843"/>
      <c r="D37" s="843"/>
      <c r="E37" s="843"/>
      <c r="F37" s="843"/>
      <c r="G37" s="1296"/>
      <c r="H37" s="700">
        <f t="shared" ref="H37:AA37" si="10">IF(H29&lt;0,1,IF(H28=0,0,-G29/H28))</f>
        <v>1</v>
      </c>
      <c r="I37" s="700">
        <f t="shared" si="10"/>
        <v>1</v>
      </c>
      <c r="J37" s="700">
        <f t="shared" si="10"/>
        <v>0.95310036690275157</v>
      </c>
      <c r="K37" s="700">
        <f t="shared" si="10"/>
        <v>-4.3944281407479843E-2</v>
      </c>
      <c r="L37" s="700">
        <f t="shared" si="10"/>
        <v>-0.97831454857630096</v>
      </c>
      <c r="M37" s="700">
        <f t="shared" si="10"/>
        <v>-1.8542270362208941</v>
      </c>
      <c r="N37" s="700">
        <f t="shared" si="10"/>
        <v>-2.6755965427755108</v>
      </c>
      <c r="O37" s="700">
        <f t="shared" si="10"/>
        <v>-3.446059201854478</v>
      </c>
      <c r="P37" s="700">
        <f t="shared" si="10"/>
        <v>-4.1689937028143458</v>
      </c>
      <c r="Q37" s="700">
        <f t="shared" si="10"/>
        <v>-4.847540766672199</v>
      </c>
      <c r="R37" s="701">
        <f t="shared" si="10"/>
        <v>-5.4846210334385006</v>
      </c>
      <c r="S37" s="700">
        <f t="shared" si="10"/>
        <v>-6.0829515016702498</v>
      </c>
      <c r="T37" s="700">
        <f t="shared" si="10"/>
        <v>-6.6450606474269298</v>
      </c>
      <c r="U37" s="700">
        <f t="shared" si="10"/>
        <v>-7.1733023376279048</v>
      </c>
      <c r="V37" s="700">
        <f t="shared" si="10"/>
        <v>-7.6698686418999227</v>
      </c>
      <c r="W37" s="700">
        <f t="shared" si="10"/>
        <v>-8.1368016372223284</v>
      </c>
      <c r="X37" s="700">
        <f t="shared" si="10"/>
        <v>-8.5760042908985188</v>
      </c>
      <c r="Y37" s="700">
        <f t="shared" si="10"/>
        <v>-8.9892504994927513</v>
      </c>
      <c r="Z37" s="700">
        <f t="shared" si="10"/>
        <v>-9.3781943542748696</v>
      </c>
      <c r="AA37" s="702">
        <f t="shared" si="10"/>
        <v>-9.7443786973235138</v>
      </c>
    </row>
    <row r="38" spans="1:27">
      <c r="B38" s="1320" t="s">
        <v>503</v>
      </c>
      <c r="G38" s="1297"/>
      <c r="H38" s="700">
        <f>IF(H29&lt;0,1,IF(H29=0,0,-G29/H27))</f>
        <v>1</v>
      </c>
      <c r="I38" s="700">
        <f t="shared" ref="I38:AA38" si="11">IF(I29&lt;0,1,IF(I29=0,0,-H29/I27))</f>
        <v>1</v>
      </c>
      <c r="J38" s="700">
        <f t="shared" si="11"/>
        <v>1.2685765883475626</v>
      </c>
      <c r="K38" s="700">
        <f t="shared" si="11"/>
        <v>-6.4338822408691251E-2</v>
      </c>
      <c r="L38" s="700">
        <f t="shared" si="11"/>
        <v>-1.5755853636276189</v>
      </c>
      <c r="M38" s="700">
        <f t="shared" si="11"/>
        <v>-3.2848763025145256</v>
      </c>
      <c r="N38" s="700">
        <f t="shared" si="11"/>
        <v>-5.2139807356075227</v>
      </c>
      <c r="O38" s="700">
        <f t="shared" si="11"/>
        <v>-7.386933943692795</v>
      </c>
      <c r="P38" s="700">
        <f t="shared" si="11"/>
        <v>-9.8302690753446349</v>
      </c>
      <c r="Q38" s="700">
        <f t="shared" si="11"/>
        <v>-12.5732723135834</v>
      </c>
      <c r="R38" s="700">
        <f t="shared" si="11"/>
        <v>-15.648263897185695</v>
      </c>
      <c r="S38" s="700">
        <f t="shared" si="11"/>
        <v>-19.090907607059552</v>
      </c>
      <c r="T38" s="700">
        <f t="shared" si="11"/>
        <v>-22.940551591008393</v>
      </c>
      <c r="U38" s="700">
        <f t="shared" si="11"/>
        <v>-27.240603689564736</v>
      </c>
      <c r="V38" s="700">
        <f t="shared" si="11"/>
        <v>-32.038944744035</v>
      </c>
      <c r="W38" s="700">
        <f t="shared" si="11"/>
        <v>-37.388383718383814</v>
      </c>
      <c r="X38" s="700">
        <f t="shared" si="11"/>
        <v>-43.347158852318543</v>
      </c>
      <c r="Y38" s="700">
        <f t="shared" si="11"/>
        <v>-49.979489487448518</v>
      </c>
      <c r="Z38" s="700">
        <f t="shared" si="11"/>
        <v>-57.356183675590827</v>
      </c>
      <c r="AA38" s="700">
        <f t="shared" si="11"/>
        <v>-65.555307192453512</v>
      </c>
    </row>
    <row r="39" spans="1:27" ht="13.5" customHeight="1">
      <c r="B39" s="1295" t="s">
        <v>502</v>
      </c>
      <c r="C39" s="1298"/>
      <c r="D39" s="1298"/>
      <c r="E39" s="1298"/>
      <c r="F39" s="1298"/>
      <c r="H39" s="693">
        <f t="shared" ref="H39:AA40" si="12">IF(H37&gt;0,H37,0)</f>
        <v>1</v>
      </c>
      <c r="I39" s="693">
        <f t="shared" si="12"/>
        <v>1</v>
      </c>
      <c r="J39" s="693">
        <f t="shared" si="12"/>
        <v>0.95310036690275157</v>
      </c>
      <c r="K39" s="693">
        <f>IF(K37&gt;0,K37,0)</f>
        <v>0</v>
      </c>
      <c r="L39" s="693">
        <f t="shared" si="12"/>
        <v>0</v>
      </c>
      <c r="M39" s="693">
        <f t="shared" si="12"/>
        <v>0</v>
      </c>
      <c r="N39" s="693">
        <f t="shared" si="12"/>
        <v>0</v>
      </c>
      <c r="O39" s="693">
        <f t="shared" si="12"/>
        <v>0</v>
      </c>
      <c r="P39" s="693">
        <f t="shared" si="12"/>
        <v>0</v>
      </c>
      <c r="Q39" s="693">
        <f t="shared" si="12"/>
        <v>0</v>
      </c>
      <c r="R39" s="694">
        <f t="shared" si="12"/>
        <v>0</v>
      </c>
      <c r="S39" s="693">
        <f t="shared" si="12"/>
        <v>0</v>
      </c>
      <c r="T39" s="693">
        <f t="shared" si="12"/>
        <v>0</v>
      </c>
      <c r="U39" s="693">
        <f t="shared" si="12"/>
        <v>0</v>
      </c>
      <c r="V39" s="693">
        <f t="shared" si="12"/>
        <v>0</v>
      </c>
      <c r="W39" s="693">
        <f t="shared" si="12"/>
        <v>0</v>
      </c>
      <c r="X39" s="693">
        <f t="shared" si="12"/>
        <v>0</v>
      </c>
      <c r="Y39" s="693">
        <f t="shared" si="12"/>
        <v>0</v>
      </c>
      <c r="Z39" s="693">
        <f>IF(Z37&gt;0,Z37,0)</f>
        <v>0</v>
      </c>
      <c r="AA39" s="695">
        <f t="shared" si="12"/>
        <v>0</v>
      </c>
    </row>
    <row r="40" spans="1:27">
      <c r="B40" s="1320" t="s">
        <v>503</v>
      </c>
      <c r="C40" s="1298"/>
      <c r="D40" s="1298"/>
      <c r="E40" s="1298"/>
      <c r="F40" s="1298"/>
      <c r="H40" s="693">
        <f t="shared" si="12"/>
        <v>1</v>
      </c>
      <c r="I40" s="693">
        <f t="shared" si="12"/>
        <v>1</v>
      </c>
      <c r="J40" s="693">
        <f t="shared" si="12"/>
        <v>1.2685765883475626</v>
      </c>
      <c r="K40" s="693">
        <f t="shared" si="12"/>
        <v>0</v>
      </c>
      <c r="L40" s="693">
        <f t="shared" si="12"/>
        <v>0</v>
      </c>
      <c r="M40" s="693">
        <f t="shared" si="12"/>
        <v>0</v>
      </c>
      <c r="N40" s="693">
        <f t="shared" si="12"/>
        <v>0</v>
      </c>
      <c r="O40" s="693">
        <f t="shared" si="12"/>
        <v>0</v>
      </c>
      <c r="P40" s="693">
        <f t="shared" si="12"/>
        <v>0</v>
      </c>
      <c r="Q40" s="693">
        <f t="shared" si="12"/>
        <v>0</v>
      </c>
      <c r="R40" s="693">
        <f t="shared" si="12"/>
        <v>0</v>
      </c>
      <c r="S40" s="693">
        <f t="shared" si="12"/>
        <v>0</v>
      </c>
      <c r="T40" s="693">
        <f t="shared" si="12"/>
        <v>0</v>
      </c>
      <c r="U40" s="693">
        <f t="shared" si="12"/>
        <v>0</v>
      </c>
      <c r="V40" s="693">
        <f t="shared" si="12"/>
        <v>0</v>
      </c>
      <c r="W40" s="693">
        <f t="shared" si="12"/>
        <v>0</v>
      </c>
      <c r="X40" s="693">
        <f t="shared" si="12"/>
        <v>0</v>
      </c>
      <c r="Y40" s="693">
        <f t="shared" si="12"/>
        <v>0</v>
      </c>
      <c r="Z40" s="693">
        <f t="shared" si="12"/>
        <v>0</v>
      </c>
      <c r="AA40" s="693">
        <f t="shared" si="12"/>
        <v>0</v>
      </c>
    </row>
    <row r="42" spans="1:27">
      <c r="L42" s="1128"/>
      <c r="M42" s="1128"/>
      <c r="N42" s="1128"/>
      <c r="O42" s="1128"/>
      <c r="P42" s="1128"/>
      <c r="Q42" s="1128"/>
    </row>
    <row r="43" spans="1:27" ht="25.5">
      <c r="B43" s="1298" t="s">
        <v>163</v>
      </c>
      <c r="L43" s="1128"/>
      <c r="M43" s="1128"/>
      <c r="N43" s="1128"/>
      <c r="O43" s="1128"/>
      <c r="P43" s="1128"/>
      <c r="Q43" s="1128"/>
    </row>
    <row r="44" spans="1:27">
      <c r="B44" s="1298" t="s">
        <v>42</v>
      </c>
      <c r="L44" s="1128"/>
      <c r="M44" s="1128"/>
      <c r="N44" s="1128"/>
      <c r="O44" s="1128"/>
      <c r="P44" s="1128"/>
      <c r="Q44" s="1128"/>
    </row>
    <row r="45" spans="1:27">
      <c r="B45" s="1" t="s">
        <v>496</v>
      </c>
    </row>
    <row r="46" spans="1:27">
      <c r="B46" s="1" t="s">
        <v>43</v>
      </c>
      <c r="H46" s="1070">
        <v>1</v>
      </c>
    </row>
    <row r="47" spans="1:27">
      <c r="B47" s="1" t="s">
        <v>80</v>
      </c>
    </row>
    <row r="48" spans="1:27">
      <c r="B48" s="1" t="s">
        <v>497</v>
      </c>
    </row>
    <row r="49" spans="2:16">
      <c r="B49" s="1" t="s">
        <v>44</v>
      </c>
    </row>
    <row r="51" spans="2:16" ht="14.45" customHeight="1">
      <c r="B51" s="1" t="s">
        <v>45</v>
      </c>
    </row>
    <row r="52" spans="2:16">
      <c r="B52" s="1" t="s">
        <v>46</v>
      </c>
    </row>
    <row r="53" spans="2:16">
      <c r="B53" s="1" t="s">
        <v>498</v>
      </c>
      <c r="E53" s="1299"/>
      <c r="F53" s="1299"/>
      <c r="G53" s="1299"/>
      <c r="I53" s="1128"/>
      <c r="J53" s="1128"/>
      <c r="K53" s="1128"/>
      <c r="L53" s="1128"/>
      <c r="M53" s="1128"/>
      <c r="N53" s="1128"/>
      <c r="P53" s="1128"/>
    </row>
    <row r="54" spans="2:16">
      <c r="E54" s="1299"/>
      <c r="F54" s="1299"/>
      <c r="G54" s="1299"/>
      <c r="I54" s="1316"/>
      <c r="J54" s="1447"/>
      <c r="K54" s="1447"/>
      <c r="L54" s="1447"/>
      <c r="M54" s="1447"/>
      <c r="N54" s="1447"/>
    </row>
    <row r="55" spans="2:16" ht="38.25">
      <c r="B55" s="324"/>
      <c r="E55" s="1299"/>
      <c r="F55" s="1299"/>
      <c r="G55" s="620" t="s">
        <v>521</v>
      </c>
      <c r="H55" s="1300">
        <v>4.4999999999999998E-2</v>
      </c>
      <c r="I55" s="1299"/>
      <c r="J55" s="1299"/>
      <c r="K55" s="1299"/>
      <c r="L55" s="1128"/>
      <c r="M55" s="1128"/>
      <c r="N55" s="1128"/>
      <c r="P55" s="1128"/>
    </row>
    <row r="56" spans="2:16" ht="25.5" customHeight="1">
      <c r="E56" s="1299"/>
      <c r="F56" s="1299"/>
      <c r="G56" s="929" t="s">
        <v>456</v>
      </c>
      <c r="H56" s="1301">
        <v>4</v>
      </c>
      <c r="I56" s="1316"/>
      <c r="J56" s="1447"/>
      <c r="K56" s="1447"/>
      <c r="L56" s="1447"/>
      <c r="M56" s="1447"/>
      <c r="N56" s="1447"/>
    </row>
    <row r="57" spans="2:16" ht="19.5" customHeight="1">
      <c r="I57" s="1316"/>
      <c r="J57" s="1447"/>
      <c r="K57" s="1447"/>
      <c r="L57" s="1447"/>
      <c r="M57" s="1447"/>
      <c r="N57" s="1447"/>
    </row>
    <row r="58" spans="2:16">
      <c r="I58" s="1128"/>
      <c r="J58" s="1128"/>
      <c r="K58" s="1128"/>
      <c r="L58" s="1128"/>
      <c r="M58" s="1128"/>
      <c r="N58" s="1128"/>
      <c r="P58" s="1128"/>
    </row>
    <row r="59" spans="2:16">
      <c r="I59" s="1128"/>
      <c r="J59" s="1128"/>
      <c r="K59" s="1128"/>
      <c r="L59" s="1128"/>
      <c r="M59" s="1128"/>
      <c r="N59" s="1128"/>
      <c r="P59" s="1128"/>
    </row>
    <row r="70" spans="8:13">
      <c r="H70" s="1068"/>
      <c r="I70" s="1068"/>
      <c r="J70" s="1068"/>
      <c r="K70" s="1068"/>
      <c r="L70" s="1068"/>
      <c r="M70" s="1068"/>
    </row>
    <row r="71" spans="8:13">
      <c r="H71" s="1131" t="s">
        <v>91</v>
      </c>
      <c r="I71" s="1131" t="s">
        <v>147</v>
      </c>
      <c r="J71" s="1131" t="s">
        <v>11</v>
      </c>
      <c r="K71" s="1131"/>
      <c r="L71" s="1131">
        <v>0.05</v>
      </c>
      <c r="M71" s="1131"/>
    </row>
    <row r="72" spans="8:13">
      <c r="H72" s="1131">
        <v>350000</v>
      </c>
      <c r="I72" s="1131">
        <v>200000</v>
      </c>
      <c r="J72" s="1131">
        <v>120000</v>
      </c>
      <c r="K72" s="1131"/>
      <c r="L72" s="1131"/>
      <c r="M72" s="1131"/>
    </row>
  </sheetData>
  <mergeCells count="10">
    <mergeCell ref="J57:N57"/>
    <mergeCell ref="A1:B1"/>
    <mergeCell ref="A2:B2"/>
    <mergeCell ref="A3:A5"/>
    <mergeCell ref="H3:Q3"/>
    <mergeCell ref="R3:AA3"/>
    <mergeCell ref="B4:B5"/>
    <mergeCell ref="A6:G6"/>
    <mergeCell ref="J54:N54"/>
    <mergeCell ref="J56:N56"/>
  </mergeCells>
  <hyperlinks>
    <hyperlink ref="B32" r:id="rId1" display="NPV@12%" xr:uid="{56DDA872-41A4-4153-9D2B-AD12F4DE8319}"/>
  </hyperlinks>
  <pageMargins left="0.7" right="0.7" top="0.75" bottom="0.75" header="0.3" footer="0.3"/>
  <pageSetup orientation="portrait"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86FC8-AB30-42EC-8A26-EAE8091D67D0}">
  <sheetPr codeName="Sheet43"/>
  <dimension ref="A1:AB72"/>
  <sheetViews>
    <sheetView showGridLines="0" zoomScaleNormal="100" workbookViewId="0">
      <pane ySplit="9" topLeftCell="A10" activePane="bottomLeft" state="frozen"/>
      <selection activeCell="G26" sqref="G26"/>
      <selection pane="bottomLeft" activeCell="H14" sqref="H14"/>
    </sheetView>
  </sheetViews>
  <sheetFormatPr defaultColWidth="8.7109375" defaultRowHeight="12.75"/>
  <cols>
    <col min="1" max="1" width="8.85546875" style="347" bestFit="1" customWidth="1"/>
    <col min="2" max="2" width="76.5703125" style="1" customWidth="1"/>
    <col min="3" max="3" width="15.140625" style="1" customWidth="1"/>
    <col min="4" max="4" width="10.28515625" style="1" customWidth="1"/>
    <col min="5" max="5" width="8.140625" style="1" customWidth="1"/>
    <col min="6" max="6" width="13.7109375" style="1" customWidth="1"/>
    <col min="7" max="7" width="23.42578125" style="1" customWidth="1"/>
    <col min="8" max="8" width="21.140625" style="1070" customWidth="1"/>
    <col min="9" max="10" width="14" style="1070" customWidth="1"/>
    <col min="11" max="11" width="16" style="1070" customWidth="1"/>
    <col min="12" max="12" width="18.5703125" style="1070" bestFit="1" customWidth="1"/>
    <col min="13" max="17" width="18.7109375" style="1070" bestFit="1" customWidth="1"/>
    <col min="18" max="18" width="15" style="1070" customWidth="1"/>
    <col min="19" max="19" width="16.28515625" style="1070" customWidth="1"/>
    <col min="20" max="20" width="16.42578125" style="1070" customWidth="1"/>
    <col min="21" max="21" width="18" style="1070" customWidth="1"/>
    <col min="22" max="22" width="18.7109375" style="1070" customWidth="1"/>
    <col min="23" max="23" width="19.140625" style="1070" customWidth="1"/>
    <col min="24" max="24" width="20.42578125" style="1070" customWidth="1"/>
    <col min="25" max="25" width="19" style="1070" customWidth="1"/>
    <col min="26" max="27" width="19.28515625" style="1070" customWidth="1"/>
    <col min="28" max="16384" width="8.7109375" style="1"/>
  </cols>
  <sheetData>
    <row r="1" spans="1:28">
      <c r="A1" s="1440" t="s">
        <v>457</v>
      </c>
      <c r="B1" s="1441"/>
      <c r="C1" s="723">
        <v>1</v>
      </c>
      <c r="D1" s="723">
        <v>2</v>
      </c>
      <c r="E1" s="723">
        <v>3</v>
      </c>
      <c r="F1" s="723">
        <v>4</v>
      </c>
      <c r="G1" s="723"/>
      <c r="H1" s="723">
        <v>5</v>
      </c>
      <c r="I1" s="723">
        <v>6</v>
      </c>
      <c r="J1" s="723">
        <v>7</v>
      </c>
      <c r="K1" s="723">
        <v>8</v>
      </c>
      <c r="L1" s="723">
        <v>9</v>
      </c>
      <c r="M1" s="723">
        <v>10</v>
      </c>
      <c r="N1" s="723">
        <v>11</v>
      </c>
      <c r="O1" s="723">
        <v>12</v>
      </c>
      <c r="P1" s="723">
        <v>13</v>
      </c>
      <c r="Q1" s="723">
        <v>14</v>
      </c>
      <c r="R1" s="724">
        <v>15</v>
      </c>
      <c r="S1" s="723">
        <v>16</v>
      </c>
      <c r="T1" s="723">
        <v>17</v>
      </c>
      <c r="U1" s="723">
        <v>18</v>
      </c>
      <c r="V1" s="723">
        <v>19</v>
      </c>
      <c r="W1" s="723">
        <v>20</v>
      </c>
      <c r="X1" s="723">
        <v>21</v>
      </c>
      <c r="Y1" s="723">
        <v>22</v>
      </c>
      <c r="Z1" s="723">
        <v>23</v>
      </c>
      <c r="AA1" s="725">
        <v>24</v>
      </c>
    </row>
    <row r="2" spans="1:28" ht="12" customHeight="1">
      <c r="A2" s="1448" t="s">
        <v>458</v>
      </c>
      <c r="B2" s="1449"/>
      <c r="C2" s="922"/>
      <c r="D2" s="922"/>
      <c r="E2" s="922"/>
      <c r="F2" s="922"/>
      <c r="G2" s="922"/>
      <c r="H2" s="1054">
        <v>0.9</v>
      </c>
      <c r="I2" s="1054">
        <v>1</v>
      </c>
      <c r="J2" s="1054">
        <v>1</v>
      </c>
      <c r="K2" s="1054">
        <v>1</v>
      </c>
      <c r="L2" s="1054">
        <v>1</v>
      </c>
      <c r="M2" s="1054">
        <v>1</v>
      </c>
      <c r="N2" s="1054">
        <v>1</v>
      </c>
      <c r="O2" s="1054">
        <v>1</v>
      </c>
      <c r="P2" s="1054">
        <v>1</v>
      </c>
      <c r="Q2" s="1054">
        <v>1</v>
      </c>
      <c r="R2" s="1268">
        <v>1</v>
      </c>
      <c r="S2" s="1054">
        <v>1</v>
      </c>
      <c r="T2" s="1054">
        <v>1</v>
      </c>
      <c r="U2" s="1054">
        <v>1</v>
      </c>
      <c r="V2" s="1054">
        <v>1</v>
      </c>
      <c r="W2" s="1054">
        <v>1</v>
      </c>
      <c r="X2" s="1054">
        <v>1</v>
      </c>
      <c r="Y2" s="1054">
        <v>1</v>
      </c>
      <c r="Z2" s="1054">
        <v>1</v>
      </c>
      <c r="AA2" s="1269">
        <v>1</v>
      </c>
    </row>
    <row r="3" spans="1:28" s="142" customFormat="1" ht="15" customHeight="1">
      <c r="A3" s="1444"/>
      <c r="B3" s="1319" t="s">
        <v>27</v>
      </c>
      <c r="C3" s="1319"/>
      <c r="D3" s="1319"/>
      <c r="E3" s="1319"/>
      <c r="F3" s="1319"/>
      <c r="G3" s="622"/>
      <c r="H3" s="1431" t="s">
        <v>28</v>
      </c>
      <c r="I3" s="1431"/>
      <c r="J3" s="1431"/>
      <c r="K3" s="1431"/>
      <c r="L3" s="1431"/>
      <c r="M3" s="1431"/>
      <c r="N3" s="1431"/>
      <c r="O3" s="1431"/>
      <c r="P3" s="1431"/>
      <c r="Q3" s="1431"/>
      <c r="R3" s="1430" t="s">
        <v>28</v>
      </c>
      <c r="S3" s="1431"/>
      <c r="T3" s="1431"/>
      <c r="U3" s="1431"/>
      <c r="V3" s="1431"/>
      <c r="W3" s="1431"/>
      <c r="X3" s="1431"/>
      <c r="Y3" s="1431"/>
      <c r="Z3" s="1431"/>
      <c r="AA3" s="1432"/>
    </row>
    <row r="4" spans="1:28" s="142" customFormat="1" ht="15" customHeight="1">
      <c r="A4" s="1445"/>
      <c r="B4" s="1450" t="s">
        <v>29</v>
      </c>
      <c r="C4" s="623">
        <v>2023</v>
      </c>
      <c r="D4" s="623">
        <v>2024</v>
      </c>
      <c r="E4" s="623">
        <v>2025</v>
      </c>
      <c r="F4" s="623">
        <v>2026</v>
      </c>
      <c r="G4" s="623" t="s">
        <v>172</v>
      </c>
      <c r="H4" s="623">
        <v>2027</v>
      </c>
      <c r="I4" s="623">
        <v>2028</v>
      </c>
      <c r="J4" s="623">
        <v>2029</v>
      </c>
      <c r="K4" s="623">
        <v>2030</v>
      </c>
      <c r="L4" s="623">
        <v>2031</v>
      </c>
      <c r="M4" s="623">
        <v>2032</v>
      </c>
      <c r="N4" s="623">
        <v>2033</v>
      </c>
      <c r="O4" s="623">
        <v>2034</v>
      </c>
      <c r="P4" s="623">
        <v>2035</v>
      </c>
      <c r="Q4" s="624">
        <v>2036</v>
      </c>
      <c r="R4" s="623">
        <v>2037</v>
      </c>
      <c r="S4" s="623">
        <v>2038</v>
      </c>
      <c r="T4" s="623">
        <v>2039</v>
      </c>
      <c r="U4" s="623">
        <v>2040</v>
      </c>
      <c r="V4" s="623">
        <v>2041</v>
      </c>
      <c r="W4" s="623">
        <v>2042</v>
      </c>
      <c r="X4" s="623">
        <v>2043</v>
      </c>
      <c r="Y4" s="623">
        <v>2044</v>
      </c>
      <c r="Z4" s="623">
        <v>2045</v>
      </c>
      <c r="AA4" s="623">
        <v>2046</v>
      </c>
    </row>
    <row r="5" spans="1:28">
      <c r="A5" s="1446"/>
      <c r="B5" s="1434"/>
      <c r="C5" s="625">
        <v>0.05</v>
      </c>
      <c r="D5" s="625">
        <v>0.25</v>
      </c>
      <c r="E5" s="625">
        <v>0.35</v>
      </c>
      <c r="F5" s="625">
        <v>0.35</v>
      </c>
      <c r="G5" s="626"/>
      <c r="H5" s="627"/>
      <c r="I5" s="627"/>
      <c r="J5" s="627"/>
      <c r="K5" s="627"/>
      <c r="L5" s="627"/>
      <c r="M5" s="627"/>
      <c r="N5" s="628"/>
      <c r="O5" s="627"/>
      <c r="P5" s="628"/>
      <c r="Q5" s="627"/>
      <c r="R5" s="731"/>
      <c r="S5" s="732"/>
      <c r="T5" s="732"/>
      <c r="U5" s="732"/>
      <c r="V5" s="732"/>
      <c r="W5" s="732"/>
      <c r="X5" s="732"/>
      <c r="Y5" s="732"/>
      <c r="Z5" s="732"/>
      <c r="AA5" s="733"/>
    </row>
    <row r="6" spans="1:28">
      <c r="A6" s="1436" t="s">
        <v>275</v>
      </c>
      <c r="B6" s="1437"/>
      <c r="C6" s="1437"/>
      <c r="D6" s="1437"/>
      <c r="E6" s="1437"/>
      <c r="F6" s="1437"/>
      <c r="G6" s="1437"/>
      <c r="H6" s="629"/>
      <c r="I6" s="629"/>
      <c r="J6" s="629"/>
      <c r="K6" s="629"/>
      <c r="L6" s="629"/>
      <c r="M6" s="629"/>
      <c r="N6" s="630"/>
      <c r="O6" s="629"/>
      <c r="P6" s="630"/>
      <c r="Q6" s="629"/>
      <c r="R6" s="1270"/>
      <c r="S6" s="1058"/>
      <c r="T6" s="1058"/>
      <c r="U6" s="1058"/>
      <c r="V6" s="1058"/>
      <c r="W6" s="1058"/>
      <c r="X6" s="1058"/>
      <c r="Y6" s="1058"/>
      <c r="Z6" s="1058"/>
      <c r="AA6" s="1271"/>
    </row>
    <row r="7" spans="1:28">
      <c r="A7" s="1311">
        <v>1</v>
      </c>
      <c r="B7" s="1059" t="s">
        <v>273</v>
      </c>
      <c r="C7" s="1060">
        <f>ROUND($G7*C$5,2)</f>
        <v>-88.43</v>
      </c>
      <c r="D7" s="1060">
        <f>ROUND($G7*D$5,2)</f>
        <v>-442.17</v>
      </c>
      <c r="E7" s="1060">
        <f>ROUND($G7*E$5,2)</f>
        <v>-619.04</v>
      </c>
      <c r="F7" s="1060">
        <f>ROUND($G7*F$5,2)</f>
        <v>-619.04</v>
      </c>
      <c r="G7" s="1272">
        <f>-[12]Capex!D22</f>
        <v>-1768.675</v>
      </c>
      <c r="H7" s="1062"/>
      <c r="I7" s="1062"/>
      <c r="J7" s="1062"/>
      <c r="K7" s="1062"/>
      <c r="L7" s="1062"/>
      <c r="M7" s="1062"/>
      <c r="N7" s="636"/>
      <c r="O7" s="1062"/>
      <c r="P7" s="1062"/>
      <c r="Q7" s="1062"/>
      <c r="R7" s="1273"/>
      <c r="S7" s="1064"/>
      <c r="T7" s="1064"/>
      <c r="U7" s="1064"/>
      <c r="V7" s="1064"/>
      <c r="W7" s="1064"/>
      <c r="X7" s="1064"/>
      <c r="Y7" s="1064"/>
      <c r="Z7" s="1064"/>
      <c r="AA7" s="1274"/>
    </row>
    <row r="8" spans="1:28">
      <c r="A8" s="1071"/>
      <c r="B8" s="638" t="s">
        <v>274</v>
      </c>
      <c r="C8" s="639">
        <f>SUM(C7:C7)</f>
        <v>-88.43</v>
      </c>
      <c r="D8" s="639">
        <f>SUM(D7:D7)</f>
        <v>-442.17</v>
      </c>
      <c r="E8" s="639">
        <f>SUM(E7:E7)</f>
        <v>-619.04</v>
      </c>
      <c r="F8" s="639">
        <f>SUM(F7:F7)</f>
        <v>-619.04</v>
      </c>
      <c r="G8" s="640">
        <f>G7</f>
        <v>-1768.675</v>
      </c>
      <c r="H8" s="1074"/>
      <c r="I8" s="1074"/>
      <c r="J8" s="1074"/>
      <c r="K8" s="1074"/>
      <c r="L8" s="1074"/>
      <c r="M8" s="1074"/>
      <c r="N8" s="1075"/>
      <c r="O8" s="1075"/>
      <c r="P8" s="1075"/>
      <c r="Q8" s="1075"/>
      <c r="R8" s="1275"/>
      <c r="S8" s="1076"/>
      <c r="T8" s="1076"/>
      <c r="U8" s="1076"/>
      <c r="V8" s="1076"/>
      <c r="W8" s="1076"/>
      <c r="X8" s="1076"/>
      <c r="Y8" s="1076"/>
      <c r="Z8" s="1076"/>
      <c r="AA8" s="1241"/>
    </row>
    <row r="9" spans="1:28">
      <c r="A9" s="1313"/>
      <c r="B9" s="1276" t="s">
        <v>253</v>
      </c>
      <c r="C9" s="1276"/>
      <c r="D9" s="1276"/>
      <c r="E9" s="1276"/>
      <c r="F9" s="1276"/>
      <c r="G9" s="1277"/>
      <c r="H9" s="645">
        <v>0.9</v>
      </c>
      <c r="I9" s="645">
        <v>0.9</v>
      </c>
      <c r="J9" s="645">
        <v>1</v>
      </c>
      <c r="K9" s="645">
        <v>1</v>
      </c>
      <c r="L9" s="645">
        <v>1</v>
      </c>
      <c r="M9" s="645">
        <v>1</v>
      </c>
      <c r="N9" s="645">
        <v>1</v>
      </c>
      <c r="O9" s="645">
        <v>1</v>
      </c>
      <c r="P9" s="645">
        <v>1</v>
      </c>
      <c r="Q9" s="645">
        <v>1</v>
      </c>
      <c r="R9" s="646">
        <v>1</v>
      </c>
      <c r="S9" s="645">
        <v>1</v>
      </c>
      <c r="T9" s="645">
        <v>1</v>
      </c>
      <c r="U9" s="645">
        <v>1</v>
      </c>
      <c r="V9" s="645">
        <v>1</v>
      </c>
      <c r="W9" s="645">
        <v>1</v>
      </c>
      <c r="X9" s="645">
        <v>1</v>
      </c>
      <c r="Y9" s="645">
        <v>1</v>
      </c>
      <c r="Z9" s="645">
        <v>1</v>
      </c>
      <c r="AA9" s="647">
        <v>1</v>
      </c>
    </row>
    <row r="10" spans="1:28" s="142" customFormat="1">
      <c r="A10" s="1077">
        <v>2</v>
      </c>
      <c r="B10" s="1078" t="s">
        <v>31</v>
      </c>
      <c r="C10" s="1078"/>
      <c r="D10" s="1078"/>
      <c r="E10" s="1078"/>
      <c r="F10" s="1078"/>
      <c r="G10" s="1061"/>
      <c r="H10" s="1079">
        <f>H11+H12</f>
        <v>2035.2829305093751</v>
      </c>
      <c r="I10" s="1079">
        <f>I11+I12</f>
        <v>2393.1580027410423</v>
      </c>
      <c r="J10" s="1079">
        <f t="shared" ref="J10:AA10" si="0">J11+J12</f>
        <v>2532.5647444396996</v>
      </c>
      <c r="K10" s="1079">
        <f t="shared" si="0"/>
        <v>2680.0928041001916</v>
      </c>
      <c r="L10" s="1079">
        <f t="shared" si="0"/>
        <v>2836.215332307238</v>
      </c>
      <c r="M10" s="1079">
        <f t="shared" si="0"/>
        <v>3001.4330474494791</v>
      </c>
      <c r="N10" s="1079">
        <f t="shared" si="0"/>
        <v>3176.2758420491173</v>
      </c>
      <c r="O10" s="1079">
        <f t="shared" si="0"/>
        <v>3361.304482696059</v>
      </c>
      <c r="P10" s="1079">
        <f t="shared" si="0"/>
        <v>3557.112409041446</v>
      </c>
      <c r="Q10" s="1079">
        <f t="shared" si="0"/>
        <v>3764.3276376234389</v>
      </c>
      <c r="R10" s="1278">
        <f t="shared" si="0"/>
        <v>3983.6147766344848</v>
      </c>
      <c r="S10" s="1079">
        <f t="shared" si="0"/>
        <v>4215.6771580954173</v>
      </c>
      <c r="T10" s="1079">
        <f t="shared" si="0"/>
        <v>4461.2590942785073</v>
      </c>
      <c r="U10" s="1079">
        <f t="shared" si="0"/>
        <v>4721.1482656203543</v>
      </c>
      <c r="V10" s="1079">
        <f t="shared" si="0"/>
        <v>4996.1782477875067</v>
      </c>
      <c r="W10" s="1079">
        <f t="shared" si="0"/>
        <v>5287.2311860043483</v>
      </c>
      <c r="X10" s="1079">
        <f t="shared" si="0"/>
        <v>5595.2406252253295</v>
      </c>
      <c r="Y10" s="1079">
        <f t="shared" si="0"/>
        <v>5921.1945052339461</v>
      </c>
      <c r="Z10" s="1079">
        <f t="shared" si="0"/>
        <v>6266.1383302800223</v>
      </c>
      <c r="AA10" s="1279">
        <f t="shared" si="0"/>
        <v>6631.1785234272465</v>
      </c>
    </row>
    <row r="11" spans="1:28">
      <c r="A11" s="1312"/>
      <c r="B11" s="1080" t="s">
        <v>147</v>
      </c>
      <c r="C11" s="1080"/>
      <c r="D11" s="1080"/>
      <c r="E11" s="1080"/>
      <c r="F11" s="1080"/>
      <c r="G11" s="1082"/>
      <c r="H11" s="657">
        <v>1386.6910392857144</v>
      </c>
      <c r="I11" s="657">
        <v>1631.0337042469644</v>
      </c>
      <c r="J11" s="657">
        <v>1726.5878138102726</v>
      </c>
      <c r="K11" s="657">
        <v>1827.7399608823475</v>
      </c>
      <c r="L11" s="657">
        <v>1934.8181064906394</v>
      </c>
      <c r="M11" s="657">
        <v>2048.1694252593934</v>
      </c>
      <c r="N11" s="657">
        <v>2168.1614310382142</v>
      </c>
      <c r="O11" s="657">
        <v>2295.1831684755884</v>
      </c>
      <c r="P11" s="657">
        <v>2429.6464744007299</v>
      </c>
      <c r="Q11" s="657">
        <v>2571.9873131034965</v>
      </c>
      <c r="R11" s="657">
        <v>2722.6671898416648</v>
      </c>
      <c r="S11" s="657">
        <v>2882.1746471585388</v>
      </c>
      <c r="T11" s="657">
        <v>3051.026848862321</v>
      </c>
      <c r="U11" s="657">
        <v>3229.7712568029201</v>
      </c>
      <c r="V11" s="657">
        <v>3418.9874058827181</v>
      </c>
      <c r="W11" s="657">
        <v>3619.2887830563573</v>
      </c>
      <c r="X11" s="657">
        <v>3831.3248164117126</v>
      </c>
      <c r="Y11" s="657">
        <v>4055.7829807811931</v>
      </c>
      <c r="Z11" s="657">
        <v>4293.3910267102583</v>
      </c>
      <c r="AA11" s="657">
        <v>4544.9193400100785</v>
      </c>
    </row>
    <row r="12" spans="1:28">
      <c r="A12" s="1312"/>
      <c r="B12" s="1080" t="s">
        <v>11</v>
      </c>
      <c r="C12" s="1080"/>
      <c r="D12" s="1080"/>
      <c r="E12" s="1080"/>
      <c r="F12" s="1080"/>
      <c r="G12" s="1082"/>
      <c r="H12" s="657">
        <v>648.5918912236607</v>
      </c>
      <c r="I12" s="657">
        <v>762.12429849407783</v>
      </c>
      <c r="J12" s="657">
        <v>805.97693062942699</v>
      </c>
      <c r="K12" s="657">
        <v>852.35284321784422</v>
      </c>
      <c r="L12" s="657">
        <v>901.39722581659873</v>
      </c>
      <c r="M12" s="657">
        <v>953.26362219008581</v>
      </c>
      <c r="N12" s="657">
        <v>1008.1144110109032</v>
      </c>
      <c r="O12" s="657">
        <v>1066.1213142204706</v>
      </c>
      <c r="P12" s="657">
        <v>1127.4659346407161</v>
      </c>
      <c r="Q12" s="657">
        <v>1192.3403245199427</v>
      </c>
      <c r="R12" s="657">
        <v>1260.9475867928199</v>
      </c>
      <c r="S12" s="657">
        <v>1333.5025109368789</v>
      </c>
      <c r="T12" s="657">
        <v>1410.2322454161865</v>
      </c>
      <c r="U12" s="657">
        <v>1491.3770088174342</v>
      </c>
      <c r="V12" s="657">
        <v>1577.1908419047888</v>
      </c>
      <c r="W12" s="657">
        <v>1667.9424029479906</v>
      </c>
      <c r="X12" s="657">
        <v>1763.9158088136171</v>
      </c>
      <c r="Y12" s="657">
        <v>1865.4115244527527</v>
      </c>
      <c r="Z12" s="657">
        <v>1972.7473035697635</v>
      </c>
      <c r="AA12" s="657">
        <v>2086.2591834171676</v>
      </c>
    </row>
    <row r="13" spans="1:28">
      <c r="A13" s="1077">
        <v>5</v>
      </c>
      <c r="B13" s="1078" t="s">
        <v>113</v>
      </c>
      <c r="C13" s="1078"/>
      <c r="D13" s="1078"/>
      <c r="E13" s="1078"/>
      <c r="F13" s="1078"/>
      <c r="G13" s="1085"/>
      <c r="H13" s="1062"/>
      <c r="I13" s="1062"/>
      <c r="J13" s="1062"/>
      <c r="K13" s="1062"/>
      <c r="L13" s="1062"/>
      <c r="M13" s="1062"/>
      <c r="N13" s="1062"/>
      <c r="O13" s="1062"/>
      <c r="P13" s="1062"/>
      <c r="Q13" s="1062"/>
      <c r="R13" s="1273"/>
      <c r="S13" s="1064"/>
      <c r="T13" s="1064"/>
      <c r="U13" s="1064"/>
      <c r="V13" s="1064"/>
      <c r="W13" s="1064"/>
      <c r="X13" s="1064"/>
      <c r="Y13" s="1064"/>
      <c r="Z13" s="1064"/>
      <c r="AA13" s="1274"/>
    </row>
    <row r="14" spans="1:28">
      <c r="A14" s="1312"/>
      <c r="B14" s="1314" t="s">
        <v>524</v>
      </c>
      <c r="C14" s="1314"/>
      <c r="D14" s="1314"/>
      <c r="E14" s="1314"/>
      <c r="F14" s="1314"/>
      <c r="G14" s="660">
        <f>J14/$J$19</f>
        <v>0.8099763898250113</v>
      </c>
      <c r="H14" s="657">
        <f>IF(H$1&lt;=$H$56,0,'[14]Opex Phenol'!D24*H$2*(1+$H$55)^(H$1-$H$56-1))</f>
        <v>1266.1171806043806</v>
      </c>
      <c r="I14" s="657">
        <f>IF(I$1&lt;=$H$56,0,'[14]Opex Phenol'!E24*I$2*(1+$H$55)^(I$1-$H$56-1))</f>
        <v>1487.7439590848408</v>
      </c>
      <c r="J14" s="657">
        <f>IF(J$1&lt;=$H$56,0,'[14]Opex Phenol'!F24*J$2*(1+$H$55)^(J$1-$H$56-1))</f>
        <v>1573.3487464905822</v>
      </c>
      <c r="K14" s="657">
        <f>IF(K$1&lt;=$H$56,0,'[14]Opex Phenol'!G24*K$2*(1+$H$55)^(K$1-$H$56-1))</f>
        <v>1663.8792333636504</v>
      </c>
      <c r="L14" s="657">
        <f>IF(L$1&lt;=$H$56,0,'[14]Opex Phenol'!H24*L$2*(1+$H$55)^(L$1-$H$56-1))</f>
        <v>1759.6188444513944</v>
      </c>
      <c r="M14" s="657">
        <f>IF(M$1&lt;=$H$56,0,'[14]Opex Phenol'!I24*M$2*(1+$H$55)^(M$1-$H$56-1))</f>
        <v>1860.8673127611273</v>
      </c>
      <c r="N14" s="657">
        <f>IF(N$1&lt;=$H$56,0,'[14]Opex Phenol'!J24*N$2*(1+$H$55)^(N$1-$H$56-1))</f>
        <v>1967.9416179374023</v>
      </c>
      <c r="O14" s="657">
        <f>IF(O$1&lt;=$H$56,0,'[14]Opex Phenol'!K24*O$2*(1+$H$55)^(O$1-$H$56-1))</f>
        <v>2081.1769786335203</v>
      </c>
      <c r="P14" s="657">
        <f>IF(P$1&lt;=$H$56,0,'[14]Opex Phenol'!L24*P$2*(1+$H$55)^(P$1-$H$56-1))</f>
        <v>2200.9279019840924</v>
      </c>
      <c r="Q14" s="657">
        <f>IF(Q$1&lt;=$H$56,0,'[14]Opex Phenol'!M24*Q$2*(1+$H$55)^(Q$1-$H$56-1))</f>
        <v>2327.569293464257</v>
      </c>
      <c r="R14" s="657">
        <f>IF(R$1&lt;=$H$56,0,'[14]Opex Phenol'!N24*R$2*(1+$H$55)^(R$1-$H$56-1))</f>
        <v>2461.4976306101898</v>
      </c>
      <c r="S14" s="657">
        <f>IF(S$1&lt;=$H$56,0,'[14]Opex Phenol'!O24*S$2*(1+$H$55)^(S$1-$H$56-1))</f>
        <v>2603.1322042755005</v>
      </c>
      <c r="T14" s="657">
        <f>IF(T$1&lt;=$H$56,0,'[14]Opex Phenol'!P24*T$2*(1+$H$55)^(T$1-$H$56-1))</f>
        <v>2752.9164313095116</v>
      </c>
      <c r="U14" s="657">
        <f>IF(U$1&lt;=$H$56,0,'[14]Opex Phenol'!Q24*U$2*(1+$H$55)^(U$1-$H$56-1))</f>
        <v>2911.319242767061</v>
      </c>
      <c r="V14" s="657">
        <f>IF(V$1&lt;=$H$56,0,'[14]Opex Phenol'!R24*V$2*(1+$H$55)^(V$1-$H$56-1))</f>
        <v>3078.836551995877</v>
      </c>
      <c r="W14" s="657">
        <f>IF(W$1&lt;=$H$56,0,'[14]Opex Phenol'!S24*W$2*(1+$H$55)^(W$1-$H$56-1))</f>
        <v>3255.9928071977201</v>
      </c>
      <c r="X14" s="657">
        <f>IF(X$1&lt;=$H$56,0,'[14]Opex Phenol'!T24*X$2*(1+$H$55)^(X$1-$H$56-1))</f>
        <v>3443.3426333238754</v>
      </c>
      <c r="Y14" s="657">
        <f>IF(Y$1&lt;=$H$56,0,'[14]Opex Phenol'!U24*Y$2*(1+$H$55)^(Y$1-$H$56-1))</f>
        <v>3641.4725684453315</v>
      </c>
      <c r="Z14" s="657">
        <f>IF(Z$1&lt;=$H$56,0,'[14]Opex Phenol'!V24*Z$2*(1+$H$55)^(Z$1-$H$56-1))</f>
        <v>3851.0029000336749</v>
      </c>
      <c r="AA14" s="657">
        <f>IF(AA$1&lt;=$H$56,0,'[14]Opex Phenol'!W24*AA$2*(1+$H$55)^(AA$1-$H$56-1))</f>
        <v>4072.5896069016121</v>
      </c>
    </row>
    <row r="15" spans="1:28">
      <c r="A15" s="1312"/>
      <c r="B15" s="1314" t="s">
        <v>33</v>
      </c>
      <c r="C15" s="1314"/>
      <c r="D15" s="1314"/>
      <c r="E15" s="1314"/>
      <c r="F15" s="1314"/>
      <c r="G15" s="660">
        <f>J15/$J$19</f>
        <v>1.5128422330215621E-2</v>
      </c>
      <c r="H15" s="657">
        <f>IF(H$1&lt;=$H$56,0,'[14]Opex Phenol'!$D$27*(1+$H$55)^(H$1-$H$56-1))</f>
        <v>26.91</v>
      </c>
      <c r="I15" s="657">
        <f>IF(I$1&lt;=$H$56,0,'[14]Opex Phenol'!$D$27*(1+$H$55)^(I$1-$H$56-1))</f>
        <v>28.120949999999997</v>
      </c>
      <c r="J15" s="657">
        <f>IF(J$1&lt;=$H$56,0,'[14]Opex Phenol'!$D$27*(1+$H$55)^(J$1-$H$56-1))</f>
        <v>29.386392749999995</v>
      </c>
      <c r="K15" s="657">
        <f>IF(K$1&lt;=$H$56,0,'[14]Opex Phenol'!$D$27*(1+$H$55)^(K$1-$H$56-1))</f>
        <v>30.708780423749996</v>
      </c>
      <c r="L15" s="657">
        <f>IF(L$1&lt;=$H$56,0,'[14]Opex Phenol'!$D$27*(1+$H$55)^(L$1-$H$56-1))</f>
        <v>32.090675542818737</v>
      </c>
      <c r="M15" s="657">
        <f>IF(M$1&lt;=$H$56,0,'[14]Opex Phenol'!$D$27*(1+$H$55)^(M$1-$H$56-1))</f>
        <v>33.534755942245582</v>
      </c>
      <c r="N15" s="657">
        <f>IF(N$1&lt;=$H$56,0,'[14]Opex Phenol'!$D$27*(1+$H$55)^(N$1-$H$56-1))</f>
        <v>35.043819959646619</v>
      </c>
      <c r="O15" s="657">
        <f>IF(O$1&lt;=$H$56,0,'[14]Opex Phenol'!$D$27*(1+$H$55)^(O$1-$H$56-1))</f>
        <v>36.620791857830724</v>
      </c>
      <c r="P15" s="657">
        <f>IF(P$1&lt;=$H$56,0,'[14]Opex Phenol'!$D$27*(1+$H$55)^(P$1-$H$56-1))</f>
        <v>38.26872749143309</v>
      </c>
      <c r="Q15" s="657">
        <f>IF(Q$1&lt;=$H$56,0,'[14]Opex Phenol'!$D$27*(1+$H$55)^(Q$1-$H$56-1))</f>
        <v>39.990820228547577</v>
      </c>
      <c r="R15" s="657">
        <f>IF(R$1&lt;=$H$56,0,'[14]Opex Phenol'!$D$27*(1+$H$55)^(R$1-$H$56-1))</f>
        <v>41.790407138832215</v>
      </c>
      <c r="S15" s="657">
        <f>IF(S$1&lt;=$H$56,0,'[14]Opex Phenol'!$D$27*(1+$H$55)^(S$1-$H$56-1))</f>
        <v>43.67097546007966</v>
      </c>
      <c r="T15" s="657">
        <f>IF(T$1&lt;=$H$56,0,'[14]Opex Phenol'!$D$27*(1+$H$55)^(T$1-$H$56-1))</f>
        <v>45.636169355783238</v>
      </c>
      <c r="U15" s="657">
        <f>IF(U$1&lt;=$H$56,0,'[14]Opex Phenol'!$D$27*(1+$H$55)^(U$1-$H$56-1))</f>
        <v>47.689796976793488</v>
      </c>
      <c r="V15" s="657">
        <f>IF(V$1&lt;=$H$56,0,'[14]Opex Phenol'!$D$27*(1+$H$55)^(V$1-$H$56-1))</f>
        <v>49.835837840749178</v>
      </c>
      <c r="W15" s="657">
        <f>IF(W$1&lt;=$H$56,0,'[14]Opex Phenol'!$D$27*(1+$H$55)^(W$1-$H$56-1))</f>
        <v>52.078450543582896</v>
      </c>
      <c r="X15" s="657">
        <f>IF(X$1&lt;=$H$56,0,'[14]Opex Phenol'!$D$27*(1+$H$55)^(X$1-$H$56-1))</f>
        <v>54.421980818044105</v>
      </c>
      <c r="Y15" s="657">
        <f>IF(Y$1&lt;=$H$56,0,'[14]Opex Phenol'!$D$27*(1+$H$55)^(Y$1-$H$56-1))</f>
        <v>56.870969954856093</v>
      </c>
      <c r="Z15" s="657">
        <f>IF(Z$1&lt;=$H$56,0,'[14]Opex Phenol'!$D$27*(1+$H$55)^(Z$1-$H$56-1))</f>
        <v>59.430163602824607</v>
      </c>
      <c r="AA15" s="657">
        <f>IF(AA$1&lt;=$H$56,0,'[14]Opex Phenol'!$D$27*(1+$H$55)^(AA$1-$H$56-1))</f>
        <v>62.10452096495171</v>
      </c>
    </row>
    <row r="16" spans="1:28">
      <c r="A16" s="1312"/>
      <c r="B16" s="1314" t="s">
        <v>20</v>
      </c>
      <c r="C16" s="1314"/>
      <c r="D16" s="1314"/>
      <c r="E16" s="1314"/>
      <c r="F16" s="1314"/>
      <c r="G16" s="660">
        <f>J16/$J$19</f>
        <v>0.11191711714001053</v>
      </c>
      <c r="H16" s="657">
        <f>IF(H$1&lt;=$H$56,0,'[14]Opex Phenol'!$D$29*H$2*(1+$H$55)^(H$1-$H$56-1))</f>
        <v>179.16743734740004</v>
      </c>
      <c r="I16" s="657">
        <f>IF(I$1&lt;=$H$56,0,'[14]Opex Phenol'!$D$29*I$2*(1+$H$55)^(I$1-$H$56-1))</f>
        <v>208.03330225337001</v>
      </c>
      <c r="J16" s="657">
        <f>IF(J$1&lt;=$H$56,0,'[14]Opex Phenol'!$D$29*J$2*(1+$H$55)^(J$1-$H$56-1))</f>
        <v>217.39480085477166</v>
      </c>
      <c r="K16" s="657">
        <f>IF(K$1&lt;=$H$56,0,'[14]Opex Phenol'!$D$29*K$2*(1+$H$55)^(K$1-$H$56-1))</f>
        <v>227.17756689323639</v>
      </c>
      <c r="L16" s="657">
        <f>IF(L$1&lt;=$H$56,0,'[14]Opex Phenol'!$D$29*L$2*(1+$H$55)^(L$1-$H$56-1))</f>
        <v>237.40055740343195</v>
      </c>
      <c r="M16" s="657">
        <f>IF(M$1&lt;=$H$56,0,'[14]Opex Phenol'!$D$29*M$2*(1+$H$55)^(M$1-$H$56-1))</f>
        <v>248.08358248658638</v>
      </c>
      <c r="N16" s="657">
        <f>IF(N$1&lt;=$H$56,0,'[14]Opex Phenol'!$D$29*N$2*(1+$H$55)^(N$1-$H$56-1))</f>
        <v>259.24734369848272</v>
      </c>
      <c r="O16" s="657">
        <f>IF(O$1&lt;=$H$56,0,'[14]Opex Phenol'!$D$29*O$2*(1+$H$55)^(O$1-$H$56-1))</f>
        <v>270.91347416491448</v>
      </c>
      <c r="P16" s="657">
        <f>IF(P$1&lt;=$H$56,0,'[14]Opex Phenol'!$D$29*P$2*(1+$H$55)^(P$1-$H$56-1))</f>
        <v>283.10458050233552</v>
      </c>
      <c r="Q16" s="657">
        <f>IF(Q$1&lt;=$H$56,0,'[14]Opex Phenol'!$D$29*Q$2*(1+$H$55)^(Q$1-$H$56-1))</f>
        <v>295.84428662494059</v>
      </c>
      <c r="R16" s="657">
        <f>IF(R$1&lt;=$H$56,0,'[14]Opex Phenol'!$D$29*R$2*(1+$H$55)^(R$1-$H$56-1))</f>
        <v>309.15727952306287</v>
      </c>
      <c r="S16" s="657">
        <f>IF(S$1&lt;=$H$56,0,'[14]Opex Phenol'!$D$29*S$2*(1+$H$55)^(S$1-$H$56-1))</f>
        <v>323.0693571016007</v>
      </c>
      <c r="T16" s="657">
        <f>IF(T$1&lt;=$H$56,0,'[14]Opex Phenol'!$D$29*T$2*(1+$H$55)^(T$1-$H$56-1))</f>
        <v>337.60747817117266</v>
      </c>
      <c r="U16" s="657">
        <f>IF(U$1&lt;=$H$56,0,'[14]Opex Phenol'!$D$29*U$2*(1+$H$55)^(U$1-$H$56-1))</f>
        <v>352.79981468887541</v>
      </c>
      <c r="V16" s="657">
        <f>IF(V$1&lt;=$H$56,0,'[14]Opex Phenol'!$D$29*V$2*(1+$H$55)^(V$1-$H$56-1))</f>
        <v>368.67580634987473</v>
      </c>
      <c r="W16" s="657">
        <f>IF(W$1&lt;=$H$56,0,'[14]Opex Phenol'!$D$29*W$2*(1+$H$55)^(W$1-$H$56-1))</f>
        <v>385.26621763561917</v>
      </c>
      <c r="X16" s="657">
        <f>IF(X$1&lt;=$H$56,0,'[14]Opex Phenol'!$D$29*X$2*(1+$H$55)^(X$1-$H$56-1))</f>
        <v>402.60319742922184</v>
      </c>
      <c r="Y16" s="657">
        <f>IF(Y$1&lt;=$H$56,0,'[14]Opex Phenol'!$D$29*Y$2*(1+$H$55)^(Y$1-$H$56-1))</f>
        <v>420.72034131353684</v>
      </c>
      <c r="Z16" s="657">
        <f>IF(Z$1&lt;=$H$56,0,'[14]Opex Phenol'!$D$29*Z$2*(1+$H$55)^(Z$1-$H$56-1))</f>
        <v>439.65275667264592</v>
      </c>
      <c r="AA16" s="657">
        <f>IF(AA$1&lt;=$H$56,0,'[14]Opex Phenol'!$D$29*AA$2*(1+$H$55)^(AA$1-$H$56-1))</f>
        <v>459.43713072291496</v>
      </c>
      <c r="AB16" s="657"/>
    </row>
    <row r="17" spans="1:27">
      <c r="A17" s="1312"/>
      <c r="B17" s="1314" t="s">
        <v>23</v>
      </c>
      <c r="C17" s="1314"/>
      <c r="D17" s="1314"/>
      <c r="E17" s="1314"/>
      <c r="F17" s="1314"/>
      <c r="G17" s="660">
        <f>J17/$J$19</f>
        <v>1.7168108286951884E-2</v>
      </c>
      <c r="H17" s="657">
        <f>IF(H$1&lt;=$H$56,0,'[14]Opex Phenol'!$D$32*H$2*(1+$H$55)^(H$1-$H$56-1))</f>
        <v>27.484320937499998</v>
      </c>
      <c r="I17" s="657">
        <f>IF(I$1&lt;=$H$56,0,'[14]Opex Phenol'!$D$32*I$2*(1+$H$55)^(I$1-$H$56-1))</f>
        <v>31.912350421874997</v>
      </c>
      <c r="J17" s="657">
        <f>IF(J$1&lt;=$H$56,0,'[14]Opex Phenol'!$D$32*J$2*(1+$H$55)^(J$1-$H$56-1))</f>
        <v>33.348406190859365</v>
      </c>
      <c r="K17" s="657">
        <f>IF(K$1&lt;=$H$56,0,'[14]Opex Phenol'!$D$32*K$2*(1+$H$55)^(K$1-$H$56-1))</f>
        <v>34.849084469448037</v>
      </c>
      <c r="L17" s="657">
        <f>IF(L$1&lt;=$H$56,0,'[14]Opex Phenol'!$D$32*L$2*(1+$H$55)^(L$1-$H$56-1))</f>
        <v>36.41729327057319</v>
      </c>
      <c r="M17" s="657">
        <f>IF(M$1&lt;=$H$56,0,'[14]Opex Phenol'!$D$32*M$2*(1+$H$55)^(M$1-$H$56-1))</f>
        <v>38.056071467748986</v>
      </c>
      <c r="N17" s="657">
        <f>IF(N$1&lt;=$H$56,0,'[14]Opex Phenol'!$D$32*N$2*(1+$H$55)^(N$1-$H$56-1))</f>
        <v>39.76859468379768</v>
      </c>
      <c r="O17" s="657">
        <f>IF(O$1&lt;=$H$56,0,'[14]Opex Phenol'!$D$32*O$2*(1+$H$55)^(O$1-$H$56-1))</f>
        <v>41.558181444568575</v>
      </c>
      <c r="P17" s="657">
        <f>IF(P$1&lt;=$H$56,0,'[14]Opex Phenol'!$D$32*P$2*(1+$H$55)^(P$1-$H$56-1))</f>
        <v>43.428299609574154</v>
      </c>
      <c r="Q17" s="657">
        <f>IF(Q$1&lt;=$H$56,0,'[14]Opex Phenol'!$D$32*Q$2*(1+$H$55)^(Q$1-$H$56-1))</f>
        <v>45.382573092004982</v>
      </c>
      <c r="R17" s="657">
        <f>IF(R$1&lt;=$H$56,0,'[14]Opex Phenol'!$D$32*R$2*(1+$H$55)^(R$1-$H$56-1))</f>
        <v>47.424788881145197</v>
      </c>
      <c r="S17" s="657">
        <f>IF(S$1&lt;=$H$56,0,'[14]Opex Phenol'!$D$32*S$2*(1+$H$55)^(S$1-$H$56-1))</f>
        <v>49.558904380796733</v>
      </c>
      <c r="T17" s="657">
        <f>IF(T$1&lt;=$H$56,0,'[14]Opex Phenol'!$D$32*T$2*(1+$H$55)^(T$1-$H$56-1))</f>
        <v>51.789055077932574</v>
      </c>
      <c r="U17" s="657">
        <f>IF(U$1&lt;=$H$56,0,'[14]Opex Phenol'!$D$32*U$2*(1+$H$55)^(U$1-$H$56-1))</f>
        <v>54.119562556439547</v>
      </c>
      <c r="V17" s="657">
        <f>IF(V$1&lt;=$H$56,0,'[14]Opex Phenol'!$D$32*V$2*(1+$H$55)^(V$1-$H$56-1))</f>
        <v>56.554942871479312</v>
      </c>
      <c r="W17" s="657">
        <f>IF(W$1&lt;=$H$56,0,'[14]Opex Phenol'!$D$32*W$2*(1+$H$55)^(W$1-$H$56-1))</f>
        <v>59.099915300695884</v>
      </c>
      <c r="X17" s="657">
        <f>IF(X$1&lt;=$H$56,0,'[14]Opex Phenol'!$D$32*X$2*(1+$H$55)^(X$1-$H$56-1))</f>
        <v>61.759411489227176</v>
      </c>
      <c r="Y17" s="657">
        <f>IF(Y$1&lt;=$H$56,0,'[14]Opex Phenol'!$D$32*Y$2*(1+$H$55)^(Y$1-$H$56-1))</f>
        <v>64.5385850062424</v>
      </c>
      <c r="Z17" s="657">
        <f>IF(Z$1&lt;=$H$56,0,'[14]Opex Phenol'!$D$32*Z$2*(1+$H$55)^(Z$1-$H$56-1))</f>
        <v>67.442821331523291</v>
      </c>
      <c r="AA17" s="657">
        <f>IF(AA$1&lt;=$H$56,0,'[14]Opex Phenol'!$D$32*AA$2*(1+$H$55)^(AA$1-$H$56-1))</f>
        <v>70.477748291441841</v>
      </c>
    </row>
    <row r="18" spans="1:27">
      <c r="A18" s="1312"/>
      <c r="B18" s="1314" t="s">
        <v>25</v>
      </c>
      <c r="C18" s="1314"/>
      <c r="D18" s="1314"/>
      <c r="E18" s="1314"/>
      <c r="F18" s="1314"/>
      <c r="G18" s="660">
        <f>J18/$J$19</f>
        <v>4.5809962417810768E-2</v>
      </c>
      <c r="H18" s="657">
        <f>IF(H$1&lt;=$H$56,0,'[14]Opex Phenol'!$D$35*H$2*(1+$H$55)^(H$1-$H$56-1))</f>
        <v>73.336892346073597</v>
      </c>
      <c r="I18" s="657">
        <f>IF(I$1&lt;=$H$56,0,'[14]Opex Phenol'!$D$35*I$2*(1+$H$55)^(I$1-$H$56-1))</f>
        <v>85.152280557385438</v>
      </c>
      <c r="J18" s="657">
        <f>IF(J$1&lt;=$H$56,0,'[14]Opex Phenol'!$D$35*J$2*(1+$H$55)^(J$1-$H$56-1))</f>
        <v>88.984133182467787</v>
      </c>
      <c r="K18" s="657">
        <f>IF(K$1&lt;=$H$56,0,'[14]Opex Phenol'!$D$35*K$2*(1+$H$55)^(K$1-$H$56-1))</f>
        <v>92.988419175678828</v>
      </c>
      <c r="L18" s="657">
        <f>IF(L$1&lt;=$H$56,0,'[14]Opex Phenol'!$D$35*L$2*(1+$H$55)^(L$1-$H$56-1))</f>
        <v>97.17289803858435</v>
      </c>
      <c r="M18" s="657">
        <f>IF(M$1&lt;=$H$56,0,'[14]Opex Phenol'!$D$35*M$2*(1+$H$55)^(M$1-$H$56-1))</f>
        <v>101.54567845032065</v>
      </c>
      <c r="N18" s="657">
        <f>IF(N$1&lt;=$H$56,0,'[14]Opex Phenol'!$D$35*N$2*(1+$H$55)^(N$1-$H$56-1))</f>
        <v>106.11523398058505</v>
      </c>
      <c r="O18" s="657">
        <f>IF(O$1&lt;=$H$56,0,'[14]Opex Phenol'!$D$35*O$2*(1+$H$55)^(O$1-$H$56-1))</f>
        <v>110.89041950971139</v>
      </c>
      <c r="P18" s="657">
        <f>IF(P$1&lt;=$H$56,0,'[14]Opex Phenol'!$D$35*P$2*(1+$H$55)^(P$1-$H$56-1))</f>
        <v>115.88048838764837</v>
      </c>
      <c r="Q18" s="657">
        <f>IF(Q$1&lt;=$H$56,0,'[14]Opex Phenol'!$D$35*Q$2*(1+$H$55)^(Q$1-$H$56-1))</f>
        <v>121.09511036509254</v>
      </c>
      <c r="R18" s="657">
        <f>IF(R$1&lt;=$H$56,0,'[14]Opex Phenol'!$D$35*R$2*(1+$H$55)^(R$1-$H$56-1))</f>
        <v>126.54439033152167</v>
      </c>
      <c r="S18" s="657">
        <f>IF(S$1&lt;=$H$56,0,'[14]Opex Phenol'!$D$35*S$2*(1+$H$55)^(S$1-$H$56-1))</f>
        <v>132.23888789644016</v>
      </c>
      <c r="T18" s="657">
        <f>IF(T$1&lt;=$H$56,0,'[14]Opex Phenol'!$D$35*T$2*(1+$H$55)^(T$1-$H$56-1))</f>
        <v>138.18963785177993</v>
      </c>
      <c r="U18" s="657">
        <f>IF(U$1&lt;=$H$56,0,'[14]Opex Phenol'!$D$35*U$2*(1+$H$55)^(U$1-$H$56-1))</f>
        <v>144.40817155511004</v>
      </c>
      <c r="V18" s="657">
        <f>IF(V$1&lt;=$H$56,0,'[14]Opex Phenol'!$D$35*V$2*(1+$H$55)^(V$1-$H$56-1))</f>
        <v>150.90653927508995</v>
      </c>
      <c r="W18" s="657">
        <f>IF(W$1&lt;=$H$56,0,'[14]Opex Phenol'!$D$35*W$2*(1+$H$55)^(W$1-$H$56-1))</f>
        <v>157.69733354246901</v>
      </c>
      <c r="X18" s="657">
        <f>IF(X$1&lt;=$H$56,0,'[14]Opex Phenol'!$D$35*X$2*(1+$H$55)^(X$1-$H$56-1))</f>
        <v>164.79371355188005</v>
      </c>
      <c r="Y18" s="657">
        <f>IF(Y$1&lt;=$H$56,0,'[14]Opex Phenol'!$D$35*Y$2*(1+$H$55)^(Y$1-$H$56-1))</f>
        <v>172.20943066171466</v>
      </c>
      <c r="Z18" s="657">
        <f>IF(Z$1&lt;=$H$56,0,'[14]Opex Phenol'!$D$35*Z$2*(1+$H$55)^(Z$1-$H$56-1))</f>
        <v>179.95885504149177</v>
      </c>
      <c r="AA18" s="657">
        <f>IF(AA$1&lt;=$H$56,0,'[14]Opex Phenol'!$D$35*AA$2*(1+$H$55)^(AA$1-$H$56-1))</f>
        <v>188.0570035183589</v>
      </c>
    </row>
    <row r="19" spans="1:27" s="142" customFormat="1">
      <c r="A19" s="1071"/>
      <c r="B19" s="1088" t="s">
        <v>34</v>
      </c>
      <c r="C19" s="1088"/>
      <c r="D19" s="1088"/>
      <c r="E19" s="1088"/>
      <c r="F19" s="1088"/>
      <c r="G19" s="1089"/>
      <c r="H19" s="1075">
        <f t="shared" ref="H19:Q19" si="1">SUM(H14:H18)</f>
        <v>1573.0158312353542</v>
      </c>
      <c r="I19" s="1075">
        <f t="shared" si="1"/>
        <v>1840.9628423174713</v>
      </c>
      <c r="J19" s="1075">
        <f t="shared" si="1"/>
        <v>1942.4624794686808</v>
      </c>
      <c r="K19" s="1075">
        <f t="shared" si="1"/>
        <v>2049.6030843257636</v>
      </c>
      <c r="L19" s="1075">
        <f t="shared" si="1"/>
        <v>2162.7002687068025</v>
      </c>
      <c r="M19" s="1075">
        <f t="shared" si="1"/>
        <v>2282.0874011080291</v>
      </c>
      <c r="N19" s="1075">
        <f t="shared" si="1"/>
        <v>2408.1166102599145</v>
      </c>
      <c r="O19" s="1075">
        <f t="shared" si="1"/>
        <v>2541.1598456105457</v>
      </c>
      <c r="P19" s="1075">
        <f t="shared" si="1"/>
        <v>2681.6099979750834</v>
      </c>
      <c r="Q19" s="1075">
        <f t="shared" si="1"/>
        <v>2829.8820837748426</v>
      </c>
      <c r="R19" s="1280">
        <f t="shared" ref="R19:AA19" si="2">SUM(R14:R18)</f>
        <v>2986.4144964847515</v>
      </c>
      <c r="S19" s="1075">
        <f t="shared" si="2"/>
        <v>3151.6703291144181</v>
      </c>
      <c r="T19" s="1075">
        <f t="shared" si="2"/>
        <v>3326.1387717661801</v>
      </c>
      <c r="U19" s="1075">
        <f t="shared" si="2"/>
        <v>3510.3365885442795</v>
      </c>
      <c r="V19" s="1075">
        <f t="shared" si="2"/>
        <v>3704.8096783330702</v>
      </c>
      <c r="W19" s="1075">
        <f t="shared" si="2"/>
        <v>3910.1347242200873</v>
      </c>
      <c r="X19" s="1075">
        <f t="shared" si="2"/>
        <v>4126.9209366122486</v>
      </c>
      <c r="Y19" s="1075">
        <f t="shared" si="2"/>
        <v>4355.8118953816811</v>
      </c>
      <c r="Z19" s="1075">
        <f t="shared" si="2"/>
        <v>4597.4874966821608</v>
      </c>
      <c r="AA19" s="1281">
        <f t="shared" si="2"/>
        <v>4852.666010399279</v>
      </c>
    </row>
    <row r="20" spans="1:27">
      <c r="A20" s="1312"/>
      <c r="B20" s="1314"/>
      <c r="C20" s="1314"/>
      <c r="D20" s="1314"/>
      <c r="E20" s="1314"/>
      <c r="F20" s="1314"/>
      <c r="G20" s="1082"/>
      <c r="H20" s="1068"/>
      <c r="I20" s="1068"/>
      <c r="J20" s="1068"/>
      <c r="K20" s="1068"/>
      <c r="L20" s="1068"/>
      <c r="M20" s="1068"/>
      <c r="N20" s="1068"/>
      <c r="O20" s="1068"/>
      <c r="P20" s="1068"/>
      <c r="Q20" s="1068"/>
      <c r="R20" s="1282"/>
      <c r="AA20" s="43"/>
    </row>
    <row r="21" spans="1:27" s="142" customFormat="1">
      <c r="A21" s="1317">
        <v>6</v>
      </c>
      <c r="B21" s="1318" t="s">
        <v>520</v>
      </c>
      <c r="C21" s="1318"/>
      <c r="D21" s="1318"/>
      <c r="E21" s="1318"/>
      <c r="F21" s="1318"/>
      <c r="G21" s="1098"/>
      <c r="H21" s="1099">
        <f t="shared" ref="H21:AA21" si="3">H10-H19</f>
        <v>462.26709927402089</v>
      </c>
      <c r="I21" s="1099">
        <f t="shared" si="3"/>
        <v>552.195160423571</v>
      </c>
      <c r="J21" s="1099">
        <f t="shared" si="3"/>
        <v>590.10226497101871</v>
      </c>
      <c r="K21" s="1099">
        <f t="shared" si="3"/>
        <v>630.48971977442807</v>
      </c>
      <c r="L21" s="1099">
        <f t="shared" si="3"/>
        <v>673.5150636004355</v>
      </c>
      <c r="M21" s="1099">
        <f t="shared" si="3"/>
        <v>719.34564634144999</v>
      </c>
      <c r="N21" s="1099">
        <f t="shared" si="3"/>
        <v>768.15923178920275</v>
      </c>
      <c r="O21" s="1099">
        <f t="shared" si="3"/>
        <v>820.1446370855133</v>
      </c>
      <c r="P21" s="1099">
        <f t="shared" si="3"/>
        <v>875.50241106636258</v>
      </c>
      <c r="Q21" s="1099">
        <f t="shared" si="3"/>
        <v>934.44555384859632</v>
      </c>
      <c r="R21" s="1283">
        <f t="shared" si="3"/>
        <v>997.20028014973332</v>
      </c>
      <c r="S21" s="1099">
        <f t="shared" si="3"/>
        <v>1064.0068289809992</v>
      </c>
      <c r="T21" s="1099">
        <f t="shared" si="3"/>
        <v>1135.1203225123272</v>
      </c>
      <c r="U21" s="1099">
        <f t="shared" si="3"/>
        <v>1210.8116770760748</v>
      </c>
      <c r="V21" s="1099">
        <f t="shared" si="3"/>
        <v>1291.3685694544365</v>
      </c>
      <c r="W21" s="1099">
        <f t="shared" si="3"/>
        <v>1377.096461784261</v>
      </c>
      <c r="X21" s="1099">
        <f t="shared" si="3"/>
        <v>1468.3196886130809</v>
      </c>
      <c r="Y21" s="1099">
        <f t="shared" si="3"/>
        <v>1565.382609852265</v>
      </c>
      <c r="Z21" s="1099">
        <f t="shared" si="3"/>
        <v>1668.6508335978615</v>
      </c>
      <c r="AA21" s="1284">
        <f t="shared" si="3"/>
        <v>1778.5125130279675</v>
      </c>
    </row>
    <row r="22" spans="1:27">
      <c r="A22" s="1312"/>
      <c r="B22" s="1314" t="s">
        <v>523</v>
      </c>
      <c r="C22" s="1314"/>
      <c r="D22" s="1314"/>
      <c r="E22" s="1314"/>
      <c r="F22" s="1314"/>
      <c r="G22" s="1082"/>
      <c r="H22" s="709">
        <f>H21/H10</f>
        <v>0.22712670181846817</v>
      </c>
      <c r="I22" s="709">
        <f t="shared" ref="I22:AA22" si="4">I21/I10</f>
        <v>0.23073911534094502</v>
      </c>
      <c r="J22" s="709">
        <f t="shared" si="4"/>
        <v>0.23300579630455684</v>
      </c>
      <c r="K22" s="709">
        <f t="shared" si="4"/>
        <v>0.23524921182201647</v>
      </c>
      <c r="L22" s="709">
        <f t="shared" si="4"/>
        <v>0.23746965046287105</v>
      </c>
      <c r="M22" s="709">
        <f t="shared" si="4"/>
        <v>0.23966739719639146</v>
      </c>
      <c r="N22" s="709">
        <f t="shared" si="4"/>
        <v>0.24184273343641294</v>
      </c>
      <c r="O22" s="709">
        <f t="shared" si="4"/>
        <v>0.24399593708561798</v>
      </c>
      <c r="P22" s="709">
        <f t="shared" si="4"/>
        <v>0.24612728257926741</v>
      </c>
      <c r="Q22" s="709">
        <f t="shared" si="4"/>
        <v>0.24823704092838922</v>
      </c>
      <c r="R22" s="709">
        <f t="shared" si="4"/>
        <v>0.25032547976243014</v>
      </c>
      <c r="S22" s="709">
        <f t="shared" si="4"/>
        <v>0.25239286337137407</v>
      </c>
      <c r="T22" s="709">
        <f t="shared" si="4"/>
        <v>0.25443945274734225</v>
      </c>
      <c r="U22" s="709">
        <f t="shared" si="4"/>
        <v>0.25646550562566911</v>
      </c>
      <c r="V22" s="709">
        <f t="shared" si="4"/>
        <v>0.25847127652547275</v>
      </c>
      <c r="W22" s="709">
        <f t="shared" si="4"/>
        <v>0.26045701678971911</v>
      </c>
      <c r="X22" s="709">
        <f t="shared" si="4"/>
        <v>0.26242297462478642</v>
      </c>
      <c r="Y22" s="709">
        <f t="shared" si="4"/>
        <v>0.26436939513953983</v>
      </c>
      <c r="Z22" s="709">
        <f t="shared" si="4"/>
        <v>0.2662965203839176</v>
      </c>
      <c r="AA22" s="709">
        <f t="shared" si="4"/>
        <v>0.26820458938704073</v>
      </c>
    </row>
    <row r="23" spans="1:27">
      <c r="A23" s="1312"/>
      <c r="B23" s="1314"/>
      <c r="C23" s="1314"/>
      <c r="D23" s="1314"/>
      <c r="E23" s="1314"/>
      <c r="F23" s="1314"/>
      <c r="G23" s="1082"/>
      <c r="H23" s="1068"/>
      <c r="I23" s="1068"/>
      <c r="J23" s="1068"/>
      <c r="K23" s="1068"/>
      <c r="L23" s="1068"/>
      <c r="M23" s="1068"/>
      <c r="N23" s="1068"/>
      <c r="O23" s="1068"/>
      <c r="P23" s="1068"/>
      <c r="Q23" s="1068"/>
      <c r="R23" s="1285"/>
      <c r="S23" s="1068"/>
      <c r="T23" s="1068"/>
      <c r="U23" s="1068"/>
      <c r="V23" s="1068"/>
      <c r="W23" s="1068"/>
      <c r="X23" s="1068"/>
      <c r="Y23" s="1068"/>
      <c r="Z23" s="1068"/>
      <c r="AA23" s="1286"/>
    </row>
    <row r="24" spans="1:27" s="142" customFormat="1">
      <c r="A24" s="1077"/>
      <c r="B24" s="1078" t="s">
        <v>36</v>
      </c>
      <c r="C24" s="1060">
        <f>+C7</f>
        <v>-88.43</v>
      </c>
      <c r="D24" s="1060">
        <f>+D7</f>
        <v>-442.17</v>
      </c>
      <c r="E24" s="1060">
        <f>+E7</f>
        <v>-619.04</v>
      </c>
      <c r="F24" s="1060">
        <f>+F7</f>
        <v>-619.04</v>
      </c>
      <c r="G24" s="1061"/>
      <c r="H24" s="1079">
        <f>H21+SUM(C24:F24)</f>
        <v>-1306.4129007259789</v>
      </c>
      <c r="I24" s="1079">
        <f t="shared" ref="I24:AA24" si="5">I21</f>
        <v>552.195160423571</v>
      </c>
      <c r="J24" s="1079">
        <f t="shared" si="5"/>
        <v>590.10226497101871</v>
      </c>
      <c r="K24" s="1079">
        <f t="shared" si="5"/>
        <v>630.48971977442807</v>
      </c>
      <c r="L24" s="1079">
        <f t="shared" si="5"/>
        <v>673.5150636004355</v>
      </c>
      <c r="M24" s="1079">
        <f t="shared" si="5"/>
        <v>719.34564634144999</v>
      </c>
      <c r="N24" s="1079">
        <f t="shared" si="5"/>
        <v>768.15923178920275</v>
      </c>
      <c r="O24" s="1079">
        <f t="shared" si="5"/>
        <v>820.1446370855133</v>
      </c>
      <c r="P24" s="1079">
        <f t="shared" si="5"/>
        <v>875.50241106636258</v>
      </c>
      <c r="Q24" s="1079">
        <f t="shared" si="5"/>
        <v>934.44555384859632</v>
      </c>
      <c r="R24" s="1278">
        <f t="shared" si="5"/>
        <v>997.20028014973332</v>
      </c>
      <c r="S24" s="1079">
        <f t="shared" si="5"/>
        <v>1064.0068289809992</v>
      </c>
      <c r="T24" s="1079">
        <f t="shared" si="5"/>
        <v>1135.1203225123272</v>
      </c>
      <c r="U24" s="1079">
        <f t="shared" si="5"/>
        <v>1210.8116770760748</v>
      </c>
      <c r="V24" s="1079">
        <f t="shared" si="5"/>
        <v>1291.3685694544365</v>
      </c>
      <c r="W24" s="1079">
        <f t="shared" si="5"/>
        <v>1377.096461784261</v>
      </c>
      <c r="X24" s="1079">
        <f t="shared" si="5"/>
        <v>1468.3196886130809</v>
      </c>
      <c r="Y24" s="1079">
        <f t="shared" si="5"/>
        <v>1565.382609852265</v>
      </c>
      <c r="Z24" s="1079">
        <f t="shared" si="5"/>
        <v>1668.6508335978615</v>
      </c>
      <c r="AA24" s="1279">
        <f t="shared" si="5"/>
        <v>1778.5125130279675</v>
      </c>
    </row>
    <row r="25" spans="1:27">
      <c r="A25" s="1312"/>
      <c r="B25" s="1314"/>
      <c r="C25" s="1314"/>
      <c r="D25" s="1314"/>
      <c r="E25" s="1314"/>
      <c r="F25" s="1314"/>
      <c r="G25" s="1082"/>
      <c r="H25" s="1068"/>
      <c r="I25" s="1068"/>
      <c r="J25" s="1068"/>
      <c r="K25" s="1068"/>
      <c r="L25" s="1068"/>
      <c r="M25" s="1068"/>
      <c r="N25" s="1068"/>
      <c r="O25" s="1068"/>
      <c r="P25" s="1068"/>
      <c r="Q25" s="1068"/>
      <c r="R25" s="1285"/>
      <c r="S25" s="1068"/>
      <c r="T25" s="1068"/>
      <c r="U25" s="1068"/>
      <c r="V25" s="1068"/>
      <c r="W25" s="1068"/>
      <c r="X25" s="1068"/>
      <c r="Y25" s="1068"/>
      <c r="Z25" s="1068"/>
      <c r="AA25" s="1286"/>
    </row>
    <row r="26" spans="1:27">
      <c r="A26" s="1312"/>
      <c r="B26" s="1314" t="s">
        <v>37</v>
      </c>
      <c r="C26" s="1314"/>
      <c r="D26" s="1314"/>
      <c r="E26" s="1314"/>
      <c r="F26" s="1314"/>
      <c r="G26" s="1082">
        <v>1</v>
      </c>
      <c r="H26" s="1068">
        <f>G26/(1+0.1)</f>
        <v>0.90909090909090906</v>
      </c>
      <c r="I26" s="1068">
        <f>H26/(1+0.1)</f>
        <v>0.82644628099173545</v>
      </c>
      <c r="J26" s="1068">
        <f t="shared" ref="J26:AA26" si="6">I26/(1+0.1)</f>
        <v>0.75131480090157765</v>
      </c>
      <c r="K26" s="1068">
        <f t="shared" si="6"/>
        <v>0.68301345536507052</v>
      </c>
      <c r="L26" s="1068">
        <f t="shared" si="6"/>
        <v>0.62092132305915493</v>
      </c>
      <c r="M26" s="1068">
        <f t="shared" si="6"/>
        <v>0.56447393005377711</v>
      </c>
      <c r="N26" s="1068">
        <f t="shared" si="6"/>
        <v>0.51315811823070645</v>
      </c>
      <c r="O26" s="1068">
        <f t="shared" si="6"/>
        <v>0.46650738020973309</v>
      </c>
      <c r="P26" s="1068">
        <f t="shared" si="6"/>
        <v>0.42409761837248461</v>
      </c>
      <c r="Q26" s="1068">
        <f t="shared" si="6"/>
        <v>0.38554328942953142</v>
      </c>
      <c r="R26" s="1285">
        <f t="shared" si="6"/>
        <v>0.35049389948139215</v>
      </c>
      <c r="S26" s="1068">
        <f t="shared" si="6"/>
        <v>0.31863081771035645</v>
      </c>
      <c r="T26" s="1068">
        <f t="shared" si="6"/>
        <v>0.28966437973668768</v>
      </c>
      <c r="U26" s="1068">
        <f t="shared" si="6"/>
        <v>0.26333125430607968</v>
      </c>
      <c r="V26" s="1068">
        <f t="shared" si="6"/>
        <v>0.23939204936916333</v>
      </c>
      <c r="W26" s="1068">
        <f t="shared" si="6"/>
        <v>0.21762913579014848</v>
      </c>
      <c r="X26" s="1068">
        <f t="shared" si="6"/>
        <v>0.19784466890013497</v>
      </c>
      <c r="Y26" s="1068">
        <f t="shared" si="6"/>
        <v>0.17985878990921358</v>
      </c>
      <c r="Z26" s="1068">
        <f t="shared" si="6"/>
        <v>0.16350799082655779</v>
      </c>
      <c r="AA26" s="1286">
        <f t="shared" si="6"/>
        <v>0.14864362802414344</v>
      </c>
    </row>
    <row r="27" spans="1:27">
      <c r="A27" s="1312"/>
      <c r="B27" s="1314" t="s">
        <v>38</v>
      </c>
      <c r="C27" s="1084"/>
      <c r="D27" s="1084"/>
      <c r="E27" s="1084"/>
      <c r="F27" s="1084"/>
      <c r="G27" s="672"/>
      <c r="H27" s="657">
        <f>H24*H26</f>
        <v>-1187.6480915690718</v>
      </c>
      <c r="I27" s="657">
        <f t="shared" ref="I27:AA27" si="7">I24*I26</f>
        <v>456.35963671369501</v>
      </c>
      <c r="J27" s="657">
        <f t="shared" si="7"/>
        <v>443.35256571827097</v>
      </c>
      <c r="K27" s="657">
        <f t="shared" si="7"/>
        <v>430.63296207528714</v>
      </c>
      <c r="L27" s="657">
        <f t="shared" si="7"/>
        <v>418.19986439105327</v>
      </c>
      <c r="M27" s="657">
        <f t="shared" si="7"/>
        <v>406.05186405743274</v>
      </c>
      <c r="N27" s="657">
        <f t="shared" si="7"/>
        <v>394.18714588649232</v>
      </c>
      <c r="O27" s="657">
        <f t="shared" si="7"/>
        <v>382.60352603982511</v>
      </c>
      <c r="P27" s="657">
        <f t="shared" si="7"/>
        <v>371.29848741261236</v>
      </c>
      <c r="Q27" s="657">
        <f t="shared" si="7"/>
        <v>360.26921262358815</v>
      </c>
      <c r="R27" s="673">
        <f t="shared" si="7"/>
        <v>349.51261475361673</v>
      </c>
      <c r="S27" s="657">
        <f t="shared" si="7"/>
        <v>339.02536596761917</v>
      </c>
      <c r="T27" s="657">
        <f t="shared" si="7"/>
        <v>328.80392414704215</v>
      </c>
      <c r="U27" s="657">
        <f t="shared" si="7"/>
        <v>318.84455765289067</v>
      </c>
      <c r="V27" s="657">
        <f t="shared" si="7"/>
        <v>309.14336833262229</v>
      </c>
      <c r="W27" s="657">
        <f t="shared" si="7"/>
        <v>299.69631287777997</v>
      </c>
      <c r="X27" s="657">
        <f t="shared" si="7"/>
        <v>290.49922263320428</v>
      </c>
      <c r="Y27" s="657">
        <f t="shared" si="7"/>
        <v>281.54782195295496</v>
      </c>
      <c r="Z27" s="657">
        <f t="shared" si="7"/>
        <v>272.83774519264716</v>
      </c>
      <c r="AA27" s="674">
        <f t="shared" si="7"/>
        <v>264.36455242281374</v>
      </c>
    </row>
    <row r="28" spans="1:27">
      <c r="A28" s="1312"/>
      <c r="B28" s="1314" t="s">
        <v>39</v>
      </c>
      <c r="C28" s="1314"/>
      <c r="D28" s="1314"/>
      <c r="E28" s="1314"/>
      <c r="F28" s="1314"/>
      <c r="G28" s="672"/>
      <c r="H28" s="657">
        <f>H24</f>
        <v>-1306.4129007259789</v>
      </c>
      <c r="I28" s="657">
        <f t="shared" ref="I28:AA28" si="8">I24</f>
        <v>552.195160423571</v>
      </c>
      <c r="J28" s="657">
        <f t="shared" si="8"/>
        <v>590.10226497101871</v>
      </c>
      <c r="K28" s="657">
        <f>K24</f>
        <v>630.48971977442807</v>
      </c>
      <c r="L28" s="657">
        <f t="shared" si="8"/>
        <v>673.5150636004355</v>
      </c>
      <c r="M28" s="657">
        <f t="shared" si="8"/>
        <v>719.34564634144999</v>
      </c>
      <c r="N28" s="657">
        <f t="shared" si="8"/>
        <v>768.15923178920275</v>
      </c>
      <c r="O28" s="657">
        <f t="shared" si="8"/>
        <v>820.1446370855133</v>
      </c>
      <c r="P28" s="657">
        <f t="shared" si="8"/>
        <v>875.50241106636258</v>
      </c>
      <c r="Q28" s="657">
        <f t="shared" si="8"/>
        <v>934.44555384859632</v>
      </c>
      <c r="R28" s="673">
        <f t="shared" si="8"/>
        <v>997.20028014973332</v>
      </c>
      <c r="S28" s="657">
        <f t="shared" si="8"/>
        <v>1064.0068289809992</v>
      </c>
      <c r="T28" s="657">
        <f t="shared" si="8"/>
        <v>1135.1203225123272</v>
      </c>
      <c r="U28" s="657">
        <f t="shared" si="8"/>
        <v>1210.8116770760748</v>
      </c>
      <c r="V28" s="657">
        <f t="shared" si="8"/>
        <v>1291.3685694544365</v>
      </c>
      <c r="W28" s="657">
        <f t="shared" si="8"/>
        <v>1377.096461784261</v>
      </c>
      <c r="X28" s="657">
        <f t="shared" si="8"/>
        <v>1468.3196886130809</v>
      </c>
      <c r="Y28" s="657">
        <f t="shared" si="8"/>
        <v>1565.382609852265</v>
      </c>
      <c r="Z28" s="657">
        <f t="shared" si="8"/>
        <v>1668.6508335978615</v>
      </c>
      <c r="AA28" s="674">
        <f t="shared" si="8"/>
        <v>1778.5125130279675</v>
      </c>
    </row>
    <row r="29" spans="1:27">
      <c r="A29" s="1313"/>
      <c r="B29" s="1315" t="s">
        <v>495</v>
      </c>
      <c r="C29" s="1315"/>
      <c r="D29" s="1315"/>
      <c r="E29" s="1315"/>
      <c r="F29" s="1315"/>
      <c r="G29" s="676"/>
      <c r="H29" s="677">
        <f>G28+H24</f>
        <v>-1306.4129007259789</v>
      </c>
      <c r="I29" s="677">
        <f>H29+I24</f>
        <v>-754.21774030240795</v>
      </c>
      <c r="J29" s="677">
        <f t="shared" ref="J29:AA29" si="9">I29+J24</f>
        <v>-164.11547533138923</v>
      </c>
      <c r="K29" s="677">
        <f>J29+K24</f>
        <v>466.37424444303883</v>
      </c>
      <c r="L29" s="677">
        <f t="shared" si="9"/>
        <v>1139.8893080434743</v>
      </c>
      <c r="M29" s="677">
        <f t="shared" si="9"/>
        <v>1859.2349543849243</v>
      </c>
      <c r="N29" s="677">
        <f t="shared" si="9"/>
        <v>2627.3941861741268</v>
      </c>
      <c r="O29" s="677">
        <f t="shared" si="9"/>
        <v>3447.5388232596401</v>
      </c>
      <c r="P29" s="677">
        <f t="shared" si="9"/>
        <v>4323.0412343260032</v>
      </c>
      <c r="Q29" s="677">
        <f t="shared" si="9"/>
        <v>5257.4867881745995</v>
      </c>
      <c r="R29" s="678">
        <f t="shared" si="9"/>
        <v>6254.6870683243324</v>
      </c>
      <c r="S29" s="677">
        <f t="shared" si="9"/>
        <v>7318.6938973053311</v>
      </c>
      <c r="T29" s="677">
        <f t="shared" si="9"/>
        <v>8453.8142198176574</v>
      </c>
      <c r="U29" s="677">
        <f t="shared" si="9"/>
        <v>9664.6258968937327</v>
      </c>
      <c r="V29" s="677">
        <f t="shared" si="9"/>
        <v>10955.994466348169</v>
      </c>
      <c r="W29" s="677">
        <f t="shared" si="9"/>
        <v>12333.090928132431</v>
      </c>
      <c r="X29" s="677">
        <f t="shared" si="9"/>
        <v>13801.410616745512</v>
      </c>
      <c r="Y29" s="677">
        <f t="shared" si="9"/>
        <v>15366.793226597776</v>
      </c>
      <c r="Z29" s="677">
        <f t="shared" si="9"/>
        <v>17035.444060195638</v>
      </c>
      <c r="AA29" s="679">
        <f t="shared" si="9"/>
        <v>18813.956573223604</v>
      </c>
    </row>
    <row r="30" spans="1:27">
      <c r="A30" s="1312"/>
      <c r="B30" s="1314"/>
      <c r="C30" s="1314"/>
      <c r="D30" s="1314"/>
      <c r="E30" s="1314"/>
      <c r="F30" s="1314"/>
      <c r="G30" s="1082"/>
      <c r="H30" s="657"/>
      <c r="I30" s="657"/>
      <c r="J30" s="657"/>
      <c r="K30" s="657"/>
      <c r="L30" s="657"/>
      <c r="M30" s="657"/>
      <c r="N30" s="657"/>
      <c r="O30" s="657"/>
      <c r="P30" s="657"/>
      <c r="Q30" s="657"/>
      <c r="R30" s="673"/>
      <c r="S30" s="657"/>
      <c r="T30" s="657"/>
      <c r="U30" s="657"/>
      <c r="V30" s="657"/>
      <c r="W30" s="657"/>
      <c r="X30" s="657"/>
      <c r="Y30" s="657"/>
      <c r="Z30" s="657"/>
      <c r="AA30" s="674"/>
    </row>
    <row r="31" spans="1:27">
      <c r="A31" s="1312"/>
      <c r="B31" s="1314"/>
      <c r="C31" s="1314"/>
      <c r="D31" s="1314"/>
      <c r="E31" s="1314"/>
      <c r="F31" s="1314"/>
      <c r="G31" s="1082"/>
      <c r="H31" s="657"/>
      <c r="I31" s="657"/>
      <c r="J31" s="657"/>
      <c r="K31" s="657"/>
      <c r="L31" s="657"/>
      <c r="M31" s="657"/>
      <c r="N31" s="657"/>
      <c r="O31" s="657"/>
      <c r="P31" s="657"/>
      <c r="Q31" s="657"/>
      <c r="R31" s="673"/>
      <c r="S31" s="657"/>
      <c r="T31" s="657"/>
      <c r="U31" s="657"/>
      <c r="V31" s="657"/>
      <c r="W31" s="657"/>
      <c r="X31" s="657"/>
      <c r="Y31" s="657"/>
      <c r="Z31" s="657"/>
      <c r="AA31" s="674"/>
    </row>
    <row r="32" spans="1:27">
      <c r="A32" s="1312"/>
      <c r="B32" s="680" t="s">
        <v>455</v>
      </c>
      <c r="C32" s="681"/>
      <c r="D32" s="681"/>
      <c r="E32" s="681"/>
      <c r="F32" s="681"/>
      <c r="G32" s="682">
        <f>NPV(0%,(H27:AA27))+G27</f>
        <v>5529.5826592823769</v>
      </c>
      <c r="H32" s="1287"/>
      <c r="I32" s="1068"/>
      <c r="J32" s="1068"/>
      <c r="K32" s="1068"/>
      <c r="L32" s="1068"/>
      <c r="M32" s="1068"/>
      <c r="N32" s="1068"/>
      <c r="O32" s="1068"/>
      <c r="P32" s="1068"/>
      <c r="Q32" s="1068"/>
      <c r="R32" s="1285"/>
      <c r="S32" s="1068"/>
      <c r="T32" s="1068"/>
      <c r="U32" s="1068"/>
      <c r="V32" s="1068"/>
      <c r="W32" s="1068"/>
      <c r="X32" s="1068"/>
      <c r="Y32" s="1068"/>
      <c r="Z32" s="1068"/>
      <c r="AA32" s="1286"/>
    </row>
    <row r="33" spans="1:27">
      <c r="A33" s="1312"/>
      <c r="B33" s="1288" t="s">
        <v>41</v>
      </c>
      <c r="C33" s="1276"/>
      <c r="D33" s="1276"/>
      <c r="E33" s="1276"/>
      <c r="F33" s="1276"/>
      <c r="G33" s="685">
        <f>IRR(C24:AA24,0.1)</f>
        <v>0.19367553972956575</v>
      </c>
      <c r="H33" s="1286"/>
      <c r="I33" s="1068"/>
      <c r="J33" s="1068"/>
      <c r="K33" s="1068"/>
      <c r="L33" s="1068"/>
      <c r="M33" s="1068"/>
      <c r="N33" s="1068"/>
      <c r="O33" s="1068"/>
      <c r="P33" s="1068"/>
      <c r="Q33" s="1068"/>
      <c r="R33" s="1285"/>
      <c r="S33" s="1068"/>
      <c r="T33" s="1068"/>
      <c r="U33" s="1068"/>
      <c r="V33" s="1068"/>
      <c r="W33" s="1068"/>
      <c r="X33" s="1068"/>
      <c r="Y33" s="1068"/>
      <c r="Z33" s="1068"/>
      <c r="AA33" s="1286"/>
    </row>
    <row r="34" spans="1:27">
      <c r="A34" s="1312"/>
      <c r="B34" s="1289" t="s">
        <v>500</v>
      </c>
      <c r="C34" s="1290"/>
      <c r="D34" s="1290"/>
      <c r="E34" s="1290"/>
      <c r="F34" s="1290"/>
      <c r="G34" s="688">
        <f>IF(SUM(H39:AA39)&lt;=25,SUM(H39:AA39)," N/A ")</f>
        <v>3.2602984159521351</v>
      </c>
      <c r="H34" s="1291"/>
      <c r="I34" s="1068"/>
      <c r="J34" s="1068"/>
      <c r="K34" s="1068"/>
      <c r="L34" s="1068"/>
      <c r="M34" s="1068"/>
      <c r="N34" s="1068"/>
      <c r="O34" s="1068"/>
      <c r="P34" s="1068"/>
      <c r="Q34" s="1068"/>
      <c r="R34" s="1285"/>
      <c r="S34" s="1068"/>
      <c r="T34" s="1068"/>
      <c r="U34" s="1068"/>
      <c r="V34" s="1068"/>
      <c r="W34" s="1068"/>
      <c r="X34" s="1068"/>
      <c r="Y34" s="1068"/>
      <c r="Z34" s="1068"/>
      <c r="AA34" s="1286"/>
    </row>
    <row r="35" spans="1:27">
      <c r="A35" s="1312"/>
      <c r="B35" s="1292" t="s">
        <v>501</v>
      </c>
      <c r="C35" s="1293"/>
      <c r="D35" s="1293"/>
      <c r="E35" s="1293"/>
      <c r="F35" s="1293"/>
      <c r="G35" s="688">
        <f>IF(SUM(H40:AA40)&lt;=25,SUM(H40:AA40)," N/A ")</f>
        <v>3.3811029107955211</v>
      </c>
      <c r="H35" s="1294"/>
      <c r="I35" s="1068"/>
      <c r="J35" s="1068"/>
      <c r="K35" s="1068"/>
      <c r="L35" s="1068"/>
      <c r="M35" s="1068"/>
      <c r="N35" s="1068"/>
      <c r="O35" s="1068"/>
      <c r="P35" s="1068"/>
      <c r="Q35" s="1068"/>
      <c r="R35" s="1285"/>
      <c r="S35" s="1068"/>
      <c r="T35" s="1068"/>
      <c r="U35" s="1068"/>
      <c r="V35" s="1068"/>
      <c r="W35" s="1068"/>
      <c r="X35" s="1068"/>
      <c r="Y35" s="1068"/>
      <c r="Z35" s="1068"/>
      <c r="AA35" s="1286"/>
    </row>
    <row r="36" spans="1:27">
      <c r="A36" s="1321"/>
      <c r="G36" s="1070"/>
      <c r="H36" s="693">
        <v>1</v>
      </c>
      <c r="I36" s="693">
        <v>2</v>
      </c>
      <c r="J36" s="693">
        <v>3</v>
      </c>
      <c r="K36" s="693">
        <v>4</v>
      </c>
      <c r="L36" s="693">
        <v>5</v>
      </c>
      <c r="M36" s="693">
        <v>6</v>
      </c>
      <c r="N36" s="693">
        <v>7</v>
      </c>
      <c r="O36" s="693">
        <v>8</v>
      </c>
      <c r="P36" s="693">
        <v>9</v>
      </c>
      <c r="Q36" s="693">
        <v>10</v>
      </c>
      <c r="R36" s="694">
        <v>11</v>
      </c>
      <c r="S36" s="693">
        <v>12</v>
      </c>
      <c r="T36" s="693">
        <v>13</v>
      </c>
      <c r="U36" s="693">
        <v>14</v>
      </c>
      <c r="V36" s="693">
        <v>15</v>
      </c>
      <c r="W36" s="693">
        <v>16</v>
      </c>
      <c r="X36" s="693">
        <v>17</v>
      </c>
      <c r="Y36" s="693">
        <v>18</v>
      </c>
      <c r="Z36" s="693">
        <v>19</v>
      </c>
      <c r="AA36" s="695">
        <v>20</v>
      </c>
    </row>
    <row r="37" spans="1:27">
      <c r="A37" s="859"/>
      <c r="B37" s="1295" t="s">
        <v>502</v>
      </c>
      <c r="C37" s="843"/>
      <c r="D37" s="843"/>
      <c r="E37" s="843"/>
      <c r="F37" s="843"/>
      <c r="G37" s="1296"/>
      <c r="H37" s="700">
        <f t="shared" ref="H37:AA37" si="10">IF(H29&lt;0,1,IF(H28=0,0,-G29/H28))</f>
        <v>1</v>
      </c>
      <c r="I37" s="700">
        <f t="shared" si="10"/>
        <v>1</v>
      </c>
      <c r="J37" s="700">
        <f t="shared" si="10"/>
        <v>1</v>
      </c>
      <c r="K37" s="700">
        <f t="shared" si="10"/>
        <v>0.26029841595213521</v>
      </c>
      <c r="L37" s="700">
        <f t="shared" si="10"/>
        <v>-0.69244812721771065</v>
      </c>
      <c r="M37" s="700">
        <f t="shared" si="10"/>
        <v>-1.584619735784716</v>
      </c>
      <c r="N37" s="700">
        <f t="shared" si="10"/>
        <v>-2.4203770226836681</v>
      </c>
      <c r="O37" s="700">
        <f t="shared" si="10"/>
        <v>-3.2035741835865696</v>
      </c>
      <c r="P37" s="700">
        <f t="shared" si="10"/>
        <v>-3.9377833569419134</v>
      </c>
      <c r="Q37" s="700">
        <f t="shared" si="10"/>
        <v>-4.6263168747726144</v>
      </c>
      <c r="R37" s="701">
        <f t="shared" si="10"/>
        <v>-5.2722476044482942</v>
      </c>
      <c r="S37" s="700">
        <f t="shared" si="10"/>
        <v>-5.878427560765239</v>
      </c>
      <c r="T37" s="700">
        <f t="shared" si="10"/>
        <v>-6.4475049491732195</v>
      </c>
      <c r="U37" s="700">
        <f t="shared" si="10"/>
        <v>-6.9819397845851032</v>
      </c>
      <c r="V37" s="700">
        <f t="shared" si="10"/>
        <v>-7.4840182156336201</v>
      </c>
      <c r="W37" s="700">
        <f t="shared" si="10"/>
        <v>-7.9558656712782696</v>
      </c>
      <c r="X37" s="700">
        <f t="shared" si="10"/>
        <v>-8.399458935119096</v>
      </c>
      <c r="Y37" s="700">
        <f t="shared" si="10"/>
        <v>-8.8166372424745649</v>
      </c>
      <c r="Z37" s="700">
        <f t="shared" si="10"/>
        <v>-9.2091124860823435</v>
      </c>
      <c r="AA37" s="702">
        <f t="shared" si="10"/>
        <v>-9.5784786080544997</v>
      </c>
    </row>
    <row r="38" spans="1:27">
      <c r="B38" s="1320" t="s">
        <v>503</v>
      </c>
      <c r="G38" s="1297"/>
      <c r="H38" s="700">
        <f>IF(H29&lt;0,1,IF(H29=0,0,-G29/H27))</f>
        <v>1</v>
      </c>
      <c r="I38" s="700">
        <f t="shared" ref="I38:AA38" si="11">IF(I29&lt;0,1,IF(I29=0,0,-H29/I27))</f>
        <v>1</v>
      </c>
      <c r="J38" s="700">
        <f t="shared" si="11"/>
        <v>1</v>
      </c>
      <c r="K38" s="700">
        <f t="shared" si="11"/>
        <v>0.38110291079552122</v>
      </c>
      <c r="L38" s="700">
        <f t="shared" si="11"/>
        <v>-1.1151946333653957</v>
      </c>
      <c r="M38" s="700">
        <f t="shared" si="11"/>
        <v>-2.8072505237465091</v>
      </c>
      <c r="N38" s="700">
        <f t="shared" si="11"/>
        <v>-4.7166300925507549</v>
      </c>
      <c r="O38" s="700">
        <f t="shared" si="11"/>
        <v>-6.8671457719410611</v>
      </c>
      <c r="P38" s="700">
        <f t="shared" si="11"/>
        <v>-9.2850871741594201</v>
      </c>
      <c r="Q38" s="700">
        <f t="shared" si="11"/>
        <v>-11.999474511974876</v>
      </c>
      <c r="R38" s="700">
        <f t="shared" si="11"/>
        <v>-15.042337718999871</v>
      </c>
      <c r="S38" s="700">
        <f t="shared" si="11"/>
        <v>-18.44902386720446</v>
      </c>
      <c r="T38" s="700">
        <f t="shared" si="11"/>
        <v>-22.25853574068778</v>
      </c>
      <c r="U38" s="700">
        <f t="shared" si="11"/>
        <v>-26.513904712844059</v>
      </c>
      <c r="V38" s="700">
        <f t="shared" si="11"/>
        <v>-31.262601391128968</v>
      </c>
      <c r="W38" s="700">
        <f t="shared" si="11"/>
        <v>-36.556987842610411</v>
      </c>
      <c r="X38" s="700">
        <f t="shared" si="11"/>
        <v>-42.454815597577955</v>
      </c>
      <c r="Y38" s="700">
        <f t="shared" si="11"/>
        <v>-49.019774051214817</v>
      </c>
      <c r="Z38" s="700">
        <f t="shared" si="11"/>
        <v>-56.32209434859346</v>
      </c>
      <c r="AA38" s="700">
        <f t="shared" si="11"/>
        <v>-64.439214350303104</v>
      </c>
    </row>
    <row r="39" spans="1:27" ht="13.5" customHeight="1">
      <c r="B39" s="1295" t="s">
        <v>502</v>
      </c>
      <c r="C39" s="1298"/>
      <c r="D39" s="1298"/>
      <c r="E39" s="1298"/>
      <c r="F39" s="1298"/>
      <c r="H39" s="693">
        <f t="shared" ref="H39:AA40" si="12">IF(H37&gt;0,H37,0)</f>
        <v>1</v>
      </c>
      <c r="I39" s="693">
        <f t="shared" si="12"/>
        <v>1</v>
      </c>
      <c r="J39" s="693">
        <f t="shared" si="12"/>
        <v>1</v>
      </c>
      <c r="K39" s="693">
        <f>IF(K37&gt;0,K37,0)</f>
        <v>0.26029841595213521</v>
      </c>
      <c r="L39" s="693">
        <f t="shared" si="12"/>
        <v>0</v>
      </c>
      <c r="M39" s="693">
        <f t="shared" si="12"/>
        <v>0</v>
      </c>
      <c r="N39" s="693">
        <f t="shared" si="12"/>
        <v>0</v>
      </c>
      <c r="O39" s="693">
        <f t="shared" si="12"/>
        <v>0</v>
      </c>
      <c r="P39" s="693">
        <f t="shared" si="12"/>
        <v>0</v>
      </c>
      <c r="Q39" s="693">
        <f t="shared" si="12"/>
        <v>0</v>
      </c>
      <c r="R39" s="694">
        <f t="shared" si="12"/>
        <v>0</v>
      </c>
      <c r="S39" s="693">
        <f t="shared" si="12"/>
        <v>0</v>
      </c>
      <c r="T39" s="693">
        <f t="shared" si="12"/>
        <v>0</v>
      </c>
      <c r="U39" s="693">
        <f t="shared" si="12"/>
        <v>0</v>
      </c>
      <c r="V39" s="693">
        <f t="shared" si="12"/>
        <v>0</v>
      </c>
      <c r="W39" s="693">
        <f t="shared" si="12"/>
        <v>0</v>
      </c>
      <c r="X39" s="693">
        <f t="shared" si="12"/>
        <v>0</v>
      </c>
      <c r="Y39" s="693">
        <f t="shared" si="12"/>
        <v>0</v>
      </c>
      <c r="Z39" s="693">
        <f>IF(Z37&gt;0,Z37,0)</f>
        <v>0</v>
      </c>
      <c r="AA39" s="695">
        <f t="shared" si="12"/>
        <v>0</v>
      </c>
    </row>
    <row r="40" spans="1:27">
      <c r="B40" s="1320" t="s">
        <v>503</v>
      </c>
      <c r="C40" s="1298"/>
      <c r="D40" s="1298"/>
      <c r="E40" s="1298"/>
      <c r="F40" s="1298"/>
      <c r="H40" s="693">
        <f t="shared" si="12"/>
        <v>1</v>
      </c>
      <c r="I40" s="693">
        <f t="shared" si="12"/>
        <v>1</v>
      </c>
      <c r="J40" s="693">
        <f t="shared" si="12"/>
        <v>1</v>
      </c>
      <c r="K40" s="693">
        <f t="shared" si="12"/>
        <v>0.38110291079552122</v>
      </c>
      <c r="L40" s="693">
        <f t="shared" si="12"/>
        <v>0</v>
      </c>
      <c r="M40" s="693">
        <f t="shared" si="12"/>
        <v>0</v>
      </c>
      <c r="N40" s="693">
        <f t="shared" si="12"/>
        <v>0</v>
      </c>
      <c r="O40" s="693">
        <f t="shared" si="12"/>
        <v>0</v>
      </c>
      <c r="P40" s="693">
        <f t="shared" si="12"/>
        <v>0</v>
      </c>
      <c r="Q40" s="693">
        <f t="shared" si="12"/>
        <v>0</v>
      </c>
      <c r="R40" s="693">
        <f t="shared" si="12"/>
        <v>0</v>
      </c>
      <c r="S40" s="693">
        <f t="shared" si="12"/>
        <v>0</v>
      </c>
      <c r="T40" s="693">
        <f t="shared" si="12"/>
        <v>0</v>
      </c>
      <c r="U40" s="693">
        <f t="shared" si="12"/>
        <v>0</v>
      </c>
      <c r="V40" s="693">
        <f t="shared" si="12"/>
        <v>0</v>
      </c>
      <c r="W40" s="693">
        <f t="shared" si="12"/>
        <v>0</v>
      </c>
      <c r="X40" s="693">
        <f t="shared" si="12"/>
        <v>0</v>
      </c>
      <c r="Y40" s="693">
        <f t="shared" si="12"/>
        <v>0</v>
      </c>
      <c r="Z40" s="693">
        <f t="shared" si="12"/>
        <v>0</v>
      </c>
      <c r="AA40" s="693">
        <f t="shared" si="12"/>
        <v>0</v>
      </c>
    </row>
    <row r="42" spans="1:27">
      <c r="L42" s="1128"/>
      <c r="M42" s="1128"/>
      <c r="N42" s="1128"/>
      <c r="O42" s="1128"/>
      <c r="P42" s="1128"/>
      <c r="Q42" s="1128"/>
    </row>
    <row r="43" spans="1:27" ht="25.5">
      <c r="B43" s="1298" t="s">
        <v>163</v>
      </c>
      <c r="L43" s="1128"/>
      <c r="M43" s="1128"/>
      <c r="N43" s="1128"/>
      <c r="O43" s="1128"/>
      <c r="P43" s="1128"/>
      <c r="Q43" s="1128"/>
    </row>
    <row r="44" spans="1:27">
      <c r="B44" s="1298" t="s">
        <v>42</v>
      </c>
      <c r="L44" s="1128"/>
      <c r="M44" s="1128"/>
      <c r="N44" s="1128"/>
      <c r="O44" s="1128"/>
      <c r="P44" s="1128"/>
      <c r="Q44" s="1128"/>
    </row>
    <row r="45" spans="1:27">
      <c r="B45" s="1" t="s">
        <v>496</v>
      </c>
    </row>
    <row r="46" spans="1:27">
      <c r="B46" s="1" t="s">
        <v>43</v>
      </c>
      <c r="H46" s="1070">
        <v>1</v>
      </c>
    </row>
    <row r="47" spans="1:27">
      <c r="B47" s="1" t="s">
        <v>80</v>
      </c>
    </row>
    <row r="48" spans="1:27">
      <c r="B48" s="1" t="s">
        <v>497</v>
      </c>
    </row>
    <row r="49" spans="2:16">
      <c r="B49" s="1" t="s">
        <v>44</v>
      </c>
    </row>
    <row r="51" spans="2:16" ht="14.45" customHeight="1">
      <c r="B51" s="1" t="s">
        <v>45</v>
      </c>
    </row>
    <row r="52" spans="2:16">
      <c r="B52" s="1" t="s">
        <v>46</v>
      </c>
    </row>
    <row r="53" spans="2:16">
      <c r="B53" s="1" t="s">
        <v>498</v>
      </c>
      <c r="E53" s="1299"/>
      <c r="F53" s="1299"/>
      <c r="G53" s="1299"/>
      <c r="I53" s="1128"/>
      <c r="J53" s="1128"/>
      <c r="K53" s="1128"/>
      <c r="L53" s="1128"/>
      <c r="M53" s="1128"/>
      <c r="N53" s="1128"/>
      <c r="P53" s="1128"/>
    </row>
    <row r="54" spans="2:16">
      <c r="E54" s="1299"/>
      <c r="F54" s="1299"/>
      <c r="G54" s="1299"/>
      <c r="I54" s="1316"/>
      <c r="J54" s="1447"/>
      <c r="K54" s="1447"/>
      <c r="L54" s="1447"/>
      <c r="M54" s="1447"/>
      <c r="N54" s="1447"/>
    </row>
    <row r="55" spans="2:16" ht="38.25">
      <c r="B55" s="324"/>
      <c r="E55" s="1299"/>
      <c r="F55" s="1299"/>
      <c r="G55" s="620" t="s">
        <v>521</v>
      </c>
      <c r="H55" s="1300">
        <v>4.4999999999999998E-2</v>
      </c>
      <c r="I55" s="1299"/>
      <c r="J55" s="1299"/>
      <c r="K55" s="1299"/>
      <c r="L55" s="1128"/>
      <c r="M55" s="1128"/>
      <c r="N55" s="1128"/>
      <c r="P55" s="1128"/>
    </row>
    <row r="56" spans="2:16" ht="25.5" customHeight="1">
      <c r="E56" s="1299"/>
      <c r="F56" s="1299"/>
      <c r="G56" s="929" t="s">
        <v>456</v>
      </c>
      <c r="H56" s="1301">
        <v>4</v>
      </c>
      <c r="I56" s="1316"/>
      <c r="J56" s="1447"/>
      <c r="K56" s="1447"/>
      <c r="L56" s="1447"/>
      <c r="M56" s="1447"/>
      <c r="N56" s="1447"/>
    </row>
    <row r="57" spans="2:16" ht="19.5" customHeight="1">
      <c r="I57" s="1316"/>
      <c r="J57" s="1447"/>
      <c r="K57" s="1447"/>
      <c r="L57" s="1447"/>
      <c r="M57" s="1447"/>
      <c r="N57" s="1447"/>
    </row>
    <row r="58" spans="2:16">
      <c r="I58" s="1128"/>
      <c r="J58" s="1128"/>
      <c r="K58" s="1128"/>
      <c r="L58" s="1128"/>
      <c r="M58" s="1128"/>
      <c r="N58" s="1128"/>
      <c r="P58" s="1128"/>
    </row>
    <row r="59" spans="2:16">
      <c r="I59" s="1128"/>
      <c r="J59" s="1128"/>
      <c r="K59" s="1128"/>
      <c r="L59" s="1128"/>
      <c r="M59" s="1128"/>
      <c r="N59" s="1128"/>
      <c r="P59" s="1128"/>
    </row>
    <row r="70" spans="8:13">
      <c r="H70" s="1068"/>
      <c r="I70" s="1068"/>
      <c r="J70" s="1068"/>
      <c r="K70" s="1068"/>
      <c r="L70" s="1068"/>
      <c r="M70" s="1068"/>
    </row>
    <row r="71" spans="8:13">
      <c r="H71" s="1131" t="s">
        <v>91</v>
      </c>
      <c r="I71" s="1131" t="s">
        <v>147</v>
      </c>
      <c r="J71" s="1131" t="s">
        <v>11</v>
      </c>
      <c r="K71" s="1131"/>
      <c r="L71" s="1131">
        <v>0.05</v>
      </c>
      <c r="M71" s="1131"/>
    </row>
    <row r="72" spans="8:13">
      <c r="H72" s="1131">
        <v>350000</v>
      </c>
      <c r="I72" s="1131">
        <v>200000</v>
      </c>
      <c r="J72" s="1131">
        <v>120000</v>
      </c>
      <c r="K72" s="1131"/>
      <c r="L72" s="1131"/>
      <c r="M72" s="1131"/>
    </row>
  </sheetData>
  <mergeCells count="10">
    <mergeCell ref="J57:N57"/>
    <mergeCell ref="A1:B1"/>
    <mergeCell ref="A2:B2"/>
    <mergeCell ref="A3:A5"/>
    <mergeCell ref="H3:Q3"/>
    <mergeCell ref="R3:AA3"/>
    <mergeCell ref="B4:B5"/>
    <mergeCell ref="A6:G6"/>
    <mergeCell ref="J54:N54"/>
    <mergeCell ref="J56:N56"/>
  </mergeCells>
  <hyperlinks>
    <hyperlink ref="B32" r:id="rId1" display="NPV@12%" xr:uid="{C08DF12C-C9D6-4746-B063-219FDFF14240}"/>
  </hyperlinks>
  <pageMargins left="0.7" right="0.7" top="0.75" bottom="0.75" header="0.3" footer="0.3"/>
  <pageSetup orientation="portrait"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87F40-A2B8-4FAB-9BE4-B9CA389A0468}">
  <sheetPr codeName="Sheet41"/>
  <dimension ref="A1:AA75"/>
  <sheetViews>
    <sheetView showGridLines="0" zoomScale="96" zoomScaleNormal="96" workbookViewId="0">
      <pane ySplit="8" topLeftCell="A27" activePane="bottomLeft" state="frozen"/>
      <selection activeCell="G10" sqref="G10"/>
      <selection pane="bottomLeft" activeCell="G41" sqref="G41"/>
    </sheetView>
  </sheetViews>
  <sheetFormatPr defaultColWidth="8.7109375" defaultRowHeight="12.75"/>
  <cols>
    <col min="1" max="1" width="8.85546875" style="347" bestFit="1" customWidth="1"/>
    <col min="2" max="2" width="60" style="1" bestFit="1" customWidth="1"/>
    <col min="3" max="3" width="20" style="1" bestFit="1" customWidth="1"/>
    <col min="4" max="4" width="8.140625" style="1" customWidth="1"/>
    <col min="5" max="5" width="20" style="1" bestFit="1" customWidth="1"/>
    <col min="6" max="6" width="12.28515625" style="1" customWidth="1"/>
    <col min="7" max="7" width="11.140625" style="1" customWidth="1"/>
    <col min="8" max="8" width="18" style="1070" bestFit="1" customWidth="1"/>
    <col min="9" max="9" width="17.140625" style="1070" customWidth="1"/>
    <col min="10" max="10" width="18.5703125" style="1070" bestFit="1" customWidth="1"/>
    <col min="11" max="11" width="18.7109375" style="1070" bestFit="1" customWidth="1"/>
    <col min="12" max="12" width="18.5703125" style="1070" bestFit="1" customWidth="1"/>
    <col min="13" max="17" width="18.7109375" style="1070" bestFit="1" customWidth="1"/>
    <col min="18" max="18" width="15" style="1070" customWidth="1"/>
    <col min="19" max="19" width="16.28515625" style="1070" customWidth="1"/>
    <col min="20" max="20" width="16.42578125" style="1070" customWidth="1"/>
    <col min="21" max="21" width="18" style="1070" customWidth="1"/>
    <col min="22" max="22" width="18.7109375" style="1070" customWidth="1"/>
    <col min="23" max="23" width="19.140625" style="1070" customWidth="1"/>
    <col min="24" max="24" width="20.42578125" style="1070" customWidth="1"/>
    <col min="25" max="25" width="19" style="1070" customWidth="1"/>
    <col min="26" max="26" width="19.28515625" style="1070" customWidth="1"/>
    <col min="27" max="16384" width="8.7109375" style="1"/>
  </cols>
  <sheetData>
    <row r="1" spans="1:26" ht="12.75" customHeight="1">
      <c r="A1" s="1440" t="str">
        <f>'[15]Opex PVC'!A62</f>
        <v>Capacity for 350 KTPA PVC Resin and 200 KTPA Phenol + 123 KTPA Acetone</v>
      </c>
      <c r="B1" s="1441"/>
      <c r="C1" s="1441"/>
      <c r="D1" s="1441"/>
      <c r="E1" s="1441"/>
      <c r="F1" s="1441"/>
      <c r="G1" s="1441"/>
      <c r="H1" s="1441"/>
      <c r="I1" s="1053"/>
      <c r="J1" s="1053"/>
      <c r="K1" s="1053"/>
      <c r="L1" s="1053"/>
      <c r="M1" s="1053"/>
      <c r="N1" s="1053"/>
      <c r="O1" s="1053"/>
      <c r="P1" s="1053"/>
      <c r="Q1" s="1053"/>
      <c r="R1" s="1053"/>
      <c r="S1" s="1053"/>
      <c r="T1" s="1053"/>
      <c r="U1" s="1053"/>
      <c r="V1" s="1053"/>
      <c r="W1" s="1053"/>
      <c r="X1" s="1053"/>
      <c r="Y1" s="1053"/>
      <c r="Z1" s="1053"/>
    </row>
    <row r="2" spans="1:26" s="142" customFormat="1" ht="15" customHeight="1">
      <c r="A2" s="1440" t="s">
        <v>578</v>
      </c>
      <c r="B2" s="1441"/>
      <c r="C2" s="723">
        <v>1</v>
      </c>
      <c r="D2" s="723">
        <v>2</v>
      </c>
      <c r="E2" s="723">
        <v>3</v>
      </c>
      <c r="F2" s="723">
        <v>4</v>
      </c>
      <c r="G2" s="723"/>
      <c r="H2" s="723">
        <v>5</v>
      </c>
      <c r="I2" s="723">
        <v>6</v>
      </c>
      <c r="J2" s="723">
        <v>7</v>
      </c>
      <c r="K2" s="723">
        <v>8</v>
      </c>
      <c r="L2" s="723">
        <v>9</v>
      </c>
      <c r="M2" s="723">
        <v>10</v>
      </c>
      <c r="N2" s="723">
        <v>11</v>
      </c>
      <c r="O2" s="723">
        <v>12</v>
      </c>
      <c r="P2" s="723">
        <v>13</v>
      </c>
      <c r="Q2" s="723">
        <v>14</v>
      </c>
      <c r="R2" s="723">
        <v>15</v>
      </c>
      <c r="S2" s="723">
        <v>16</v>
      </c>
      <c r="T2" s="723">
        <v>17</v>
      </c>
      <c r="U2" s="723">
        <v>18</v>
      </c>
      <c r="V2" s="723">
        <v>19</v>
      </c>
      <c r="W2" s="723">
        <v>20</v>
      </c>
      <c r="X2" s="723">
        <v>21</v>
      </c>
      <c r="Y2" s="723">
        <v>22</v>
      </c>
      <c r="Z2" s="723">
        <v>23</v>
      </c>
    </row>
    <row r="3" spans="1:26" s="142" customFormat="1" ht="15" customHeight="1">
      <c r="A3" s="1448" t="s">
        <v>253</v>
      </c>
      <c r="B3" s="1449"/>
      <c r="C3" s="922"/>
      <c r="D3" s="922"/>
      <c r="E3" s="922"/>
      <c r="F3" s="922"/>
      <c r="G3" s="922"/>
      <c r="H3" s="1054">
        <v>0.7</v>
      </c>
      <c r="I3" s="1054">
        <v>0.9</v>
      </c>
      <c r="J3" s="1054">
        <v>1</v>
      </c>
      <c r="K3" s="1054">
        <v>1</v>
      </c>
      <c r="L3" s="1054">
        <v>1</v>
      </c>
      <c r="M3" s="1054">
        <v>1</v>
      </c>
      <c r="N3" s="1054">
        <v>1</v>
      </c>
      <c r="O3" s="1054">
        <v>1</v>
      </c>
      <c r="P3" s="1054">
        <v>1</v>
      </c>
      <c r="Q3" s="1054">
        <v>1</v>
      </c>
      <c r="R3" s="1054">
        <v>1</v>
      </c>
      <c r="S3" s="1054">
        <v>1</v>
      </c>
      <c r="T3" s="1054">
        <v>1</v>
      </c>
      <c r="U3" s="1054">
        <v>1</v>
      </c>
      <c r="V3" s="1054">
        <v>1</v>
      </c>
      <c r="W3" s="1054">
        <v>1</v>
      </c>
      <c r="X3" s="1054">
        <v>1</v>
      </c>
      <c r="Y3" s="1054">
        <v>1</v>
      </c>
      <c r="Z3" s="1054">
        <v>1</v>
      </c>
    </row>
    <row r="4" spans="1:26" ht="15" customHeight="1">
      <c r="A4" s="1444" t="s">
        <v>27</v>
      </c>
      <c r="B4" s="1451"/>
      <c r="C4" s="1164"/>
      <c r="D4" s="1164"/>
      <c r="E4" s="1164"/>
      <c r="F4" s="1164"/>
      <c r="G4" s="622"/>
      <c r="H4" s="1431" t="s">
        <v>28</v>
      </c>
      <c r="I4" s="1431"/>
      <c r="J4" s="1431"/>
      <c r="K4" s="1431"/>
      <c r="L4" s="1431"/>
      <c r="M4" s="1431"/>
      <c r="N4" s="1431"/>
      <c r="O4" s="1431"/>
      <c r="P4" s="1431"/>
      <c r="Q4" s="1431"/>
      <c r="R4" s="1431" t="s">
        <v>28</v>
      </c>
      <c r="S4" s="1431"/>
      <c r="T4" s="1431"/>
      <c r="U4" s="1431"/>
      <c r="V4" s="1431"/>
      <c r="W4" s="1431"/>
      <c r="X4" s="1431"/>
      <c r="Y4" s="1431"/>
      <c r="Z4" s="1431"/>
    </row>
    <row r="5" spans="1:26">
      <c r="A5" s="1055"/>
      <c r="B5" s="1450"/>
      <c r="C5" s="1056">
        <v>2023</v>
      </c>
      <c r="D5" s="1056">
        <v>2024</v>
      </c>
      <c r="E5" s="1056">
        <v>2025</v>
      </c>
      <c r="F5" s="1056">
        <v>2026</v>
      </c>
      <c r="G5" s="1056" t="s">
        <v>172</v>
      </c>
      <c r="H5" s="1056">
        <v>2027</v>
      </c>
      <c r="I5" s="1056">
        <v>2028</v>
      </c>
      <c r="J5" s="1056">
        <v>2029</v>
      </c>
      <c r="K5" s="1056">
        <v>2030</v>
      </c>
      <c r="L5" s="1056">
        <v>2031</v>
      </c>
      <c r="M5" s="1056">
        <v>2032</v>
      </c>
      <c r="N5" s="1056">
        <v>2033</v>
      </c>
      <c r="O5" s="1056">
        <v>2034</v>
      </c>
      <c r="P5" s="1056">
        <v>2035</v>
      </c>
      <c r="Q5" s="1056">
        <v>2036</v>
      </c>
      <c r="R5" s="1056">
        <v>2037</v>
      </c>
      <c r="S5" s="1056">
        <v>2038</v>
      </c>
      <c r="T5" s="1056">
        <v>2039</v>
      </c>
      <c r="U5" s="1056">
        <v>2040</v>
      </c>
      <c r="V5" s="1056">
        <v>2041</v>
      </c>
      <c r="W5" s="1056">
        <v>2042</v>
      </c>
      <c r="X5" s="1056">
        <v>2043</v>
      </c>
      <c r="Y5" s="1056">
        <v>2044</v>
      </c>
      <c r="Z5" s="1056">
        <v>2045</v>
      </c>
    </row>
    <row r="6" spans="1:26">
      <c r="A6" s="1057"/>
      <c r="B6" s="1434"/>
      <c r="C6" s="625">
        <v>0.05</v>
      </c>
      <c r="D6" s="625">
        <v>0.25</v>
      </c>
      <c r="E6" s="625">
        <v>0.35</v>
      </c>
      <c r="F6" s="625">
        <v>0.35</v>
      </c>
      <c r="G6" s="626"/>
      <c r="H6" s="627"/>
      <c r="I6" s="627"/>
      <c r="J6" s="627"/>
      <c r="K6" s="627"/>
      <c r="L6" s="627"/>
      <c r="M6" s="627"/>
      <c r="N6" s="628"/>
      <c r="O6" s="627"/>
      <c r="P6" s="628"/>
      <c r="Q6" s="627"/>
      <c r="R6" s="732"/>
      <c r="S6" s="732"/>
      <c r="T6" s="732"/>
      <c r="U6" s="732"/>
      <c r="V6" s="732"/>
      <c r="W6" s="732"/>
      <c r="X6" s="732"/>
      <c r="Y6" s="732"/>
      <c r="Z6" s="732"/>
    </row>
    <row r="7" spans="1:26" ht="19.5" customHeight="1">
      <c r="A7" s="1436" t="s">
        <v>275</v>
      </c>
      <c r="B7" s="1437"/>
      <c r="C7" s="1437"/>
      <c r="D7" s="1437"/>
      <c r="E7" s="1437"/>
      <c r="F7" s="1437"/>
      <c r="G7" s="1437"/>
      <c r="H7" s="629"/>
      <c r="I7" s="629"/>
      <c r="J7" s="629"/>
      <c r="K7" s="629"/>
      <c r="L7" s="629"/>
      <c r="M7" s="629"/>
      <c r="N7" s="630"/>
      <c r="O7" s="629"/>
      <c r="P7" s="630"/>
      <c r="Q7" s="629"/>
      <c r="R7" s="1058"/>
      <c r="S7" s="1058"/>
      <c r="T7" s="1058"/>
      <c r="U7" s="1058"/>
      <c r="V7" s="1058"/>
      <c r="W7" s="1058"/>
      <c r="X7" s="1058"/>
      <c r="Y7" s="1058"/>
      <c r="Z7" s="1058"/>
    </row>
    <row r="8" spans="1:26" ht="21.75" customHeight="1">
      <c r="A8" s="1156">
        <v>1</v>
      </c>
      <c r="B8" s="1059" t="s">
        <v>579</v>
      </c>
      <c r="C8" s="1060">
        <f>ROUND($G8*C$6,2)</f>
        <v>296.41000000000003</v>
      </c>
      <c r="D8" s="1060">
        <f>ROUND($G8*D$6,2)</f>
        <v>1482.03</v>
      </c>
      <c r="E8" s="1060">
        <f>ROUND($G8*E$6,2)</f>
        <v>2074.84</v>
      </c>
      <c r="F8" s="1060">
        <f>ROUND($G8*F$6,2)</f>
        <v>2074.84</v>
      </c>
      <c r="G8" s="1061">
        <f>'[15]Cashflow 350 KTPA'!G8+[16]Capex!$D$22</f>
        <v>5928.1247678079999</v>
      </c>
      <c r="H8" s="1062"/>
      <c r="I8" s="1063"/>
      <c r="J8" s="1062"/>
      <c r="K8" s="1062"/>
      <c r="L8" s="1062"/>
      <c r="M8" s="1062"/>
      <c r="N8" s="636"/>
      <c r="O8" s="1062"/>
      <c r="P8" s="1062"/>
      <c r="Q8" s="1062"/>
      <c r="R8" s="1064"/>
      <c r="S8" s="1064"/>
      <c r="T8" s="1064"/>
      <c r="U8" s="1064"/>
      <c r="V8" s="1064"/>
      <c r="W8" s="1064"/>
      <c r="X8" s="1064"/>
      <c r="Y8" s="1064"/>
      <c r="Z8" s="1064"/>
    </row>
    <row r="9" spans="1:26" ht="21.75" customHeight="1">
      <c r="A9" s="1157"/>
      <c r="B9" s="1065" t="s">
        <v>607</v>
      </c>
      <c r="C9" s="1066">
        <f t="shared" ref="C9:E9" si="0">$G$9*C6</f>
        <v>133.20000000000002</v>
      </c>
      <c r="D9" s="1066">
        <f t="shared" si="0"/>
        <v>666</v>
      </c>
      <c r="E9" s="1066">
        <f t="shared" si="0"/>
        <v>932.4</v>
      </c>
      <c r="F9" s="1066">
        <f>$G$9*F6</f>
        <v>932.4</v>
      </c>
      <c r="G9" s="1067">
        <f>G10+G12+G13</f>
        <v>2664</v>
      </c>
      <c r="H9" s="1068"/>
      <c r="I9" s="709"/>
      <c r="J9" s="1068"/>
      <c r="K9" s="1068"/>
      <c r="L9" s="1068"/>
      <c r="M9" s="1068"/>
      <c r="N9" s="1069"/>
      <c r="O9" s="1068"/>
      <c r="P9" s="1068"/>
      <c r="Q9" s="1068"/>
    </row>
    <row r="10" spans="1:26" ht="21.75" customHeight="1">
      <c r="A10" s="1191"/>
      <c r="B10" s="1195" t="s">
        <v>631</v>
      </c>
      <c r="C10" s="1066"/>
      <c r="D10" s="1066"/>
      <c r="E10" s="1066"/>
      <c r="F10" s="1066"/>
      <c r="G10" s="1082">
        <v>1764</v>
      </c>
      <c r="H10" s="1068"/>
      <c r="I10" s="709"/>
      <c r="J10" s="1068"/>
      <c r="K10" s="1068"/>
      <c r="L10" s="1068"/>
      <c r="M10" s="1068"/>
      <c r="N10" s="1069"/>
      <c r="O10" s="1068"/>
      <c r="P10" s="1068"/>
      <c r="Q10" s="1068"/>
    </row>
    <row r="11" spans="1:26" ht="21.75" customHeight="1">
      <c r="A11" s="1191"/>
      <c r="B11" s="1195" t="s">
        <v>632</v>
      </c>
      <c r="C11" s="1066"/>
      <c r="D11" s="1066"/>
      <c r="E11" s="1066"/>
      <c r="F11" s="1066"/>
      <c r="G11" s="1082"/>
      <c r="H11" s="1068"/>
      <c r="I11" s="709"/>
      <c r="J11" s="1068"/>
      <c r="K11" s="1068"/>
      <c r="L11" s="1068"/>
      <c r="M11" s="1068"/>
      <c r="N11" s="1069"/>
      <c r="O11" s="1068"/>
      <c r="P11" s="1068"/>
      <c r="Q11" s="1068"/>
    </row>
    <row r="12" spans="1:26" ht="21.75" customHeight="1">
      <c r="A12" s="1191"/>
      <c r="B12" s="1195" t="s">
        <v>633</v>
      </c>
      <c r="C12" s="1066"/>
      <c r="D12" s="1066"/>
      <c r="E12" s="1066"/>
      <c r="F12" s="1066"/>
      <c r="G12" s="1082">
        <v>800</v>
      </c>
      <c r="H12" s="1068"/>
      <c r="I12" s="709"/>
      <c r="J12" s="1068"/>
      <c r="K12" s="1068"/>
      <c r="L12" s="1068"/>
      <c r="M12" s="1068"/>
      <c r="N12" s="1069"/>
      <c r="O12" s="1068"/>
      <c r="P12" s="1068"/>
      <c r="Q12" s="1068"/>
    </row>
    <row r="13" spans="1:26" ht="21.75" customHeight="1">
      <c r="A13" s="1191"/>
      <c r="B13" s="1195" t="s">
        <v>634</v>
      </c>
      <c r="C13" s="1066"/>
      <c r="D13" s="1066"/>
      <c r="E13" s="1066"/>
      <c r="F13" s="1066"/>
      <c r="G13" s="1082">
        <v>100</v>
      </c>
      <c r="H13" s="1068"/>
      <c r="I13" s="709"/>
      <c r="J13" s="1068"/>
      <c r="K13" s="1068"/>
      <c r="L13" s="1068"/>
      <c r="M13" s="1068"/>
      <c r="N13" s="1069"/>
      <c r="O13" s="1068"/>
      <c r="P13" s="1068"/>
      <c r="Q13" s="1068"/>
    </row>
    <row r="14" spans="1:26" s="142" customFormat="1" ht="25.5" customHeight="1">
      <c r="A14" s="1071"/>
      <c r="B14" s="1072" t="s">
        <v>274</v>
      </c>
      <c r="C14" s="1073">
        <f>SUM(C8:C9)</f>
        <v>429.61</v>
      </c>
      <c r="D14" s="1073">
        <f t="shared" ref="D14:E14" si="1">SUM(D8:D9)</f>
        <v>2148.0299999999997</v>
      </c>
      <c r="E14" s="1073">
        <f t="shared" si="1"/>
        <v>3007.2400000000002</v>
      </c>
      <c r="F14" s="1073">
        <f>SUM(F8:F9)</f>
        <v>3007.2400000000002</v>
      </c>
      <c r="G14" s="640">
        <f>-G8-G9</f>
        <v>-8592.1247678079999</v>
      </c>
      <c r="H14" s="1074"/>
      <c r="I14" s="1074"/>
      <c r="J14" s="1074"/>
      <c r="K14" s="1074"/>
      <c r="L14" s="1074"/>
      <c r="M14" s="1074"/>
      <c r="N14" s="1075"/>
      <c r="O14" s="1075"/>
      <c r="P14" s="1075"/>
      <c r="Q14" s="1075"/>
      <c r="R14" s="1076"/>
      <c r="S14" s="1076"/>
      <c r="T14" s="1076"/>
      <c r="U14" s="1076"/>
      <c r="V14" s="1076"/>
      <c r="W14" s="1076"/>
      <c r="X14" s="1076"/>
      <c r="Y14" s="1076"/>
      <c r="Z14" s="1076"/>
    </row>
    <row r="15" spans="1:26">
      <c r="A15" s="1077">
        <v>2</v>
      </c>
      <c r="B15" s="1078" t="s">
        <v>31</v>
      </c>
      <c r="C15" s="1078"/>
      <c r="D15" s="1078"/>
      <c r="E15" s="1078"/>
      <c r="F15" s="1078"/>
      <c r="G15" s="1061"/>
      <c r="H15" s="1079">
        <f>H16+H17+H18+H19</f>
        <v>4077.2093123775639</v>
      </c>
      <c r="I15" s="1079">
        <f t="shared" ref="I15:Z15" si="2">I16+I17+I18+I19</f>
        <v>5166.1587522812979</v>
      </c>
      <c r="J15" s="1079">
        <f t="shared" si="2"/>
        <v>5787.0220324014244</v>
      </c>
      <c r="K15" s="1079">
        <f t="shared" si="2"/>
        <v>6117.6923445102393</v>
      </c>
      <c r="L15" s="1079">
        <f t="shared" si="2"/>
        <v>6467.3097654759385</v>
      </c>
      <c r="M15" s="1079">
        <f t="shared" si="2"/>
        <v>6836.9623631903214</v>
      </c>
      <c r="N15" s="1079">
        <f t="shared" si="2"/>
        <v>7227.8008004052454</v>
      </c>
      <c r="O15" s="1079">
        <f t="shared" si="2"/>
        <v>7641.041940803997</v>
      </c>
      <c r="P15" s="1079">
        <f t="shared" si="2"/>
        <v>8077.9726630510713</v>
      </c>
      <c r="Q15" s="1079">
        <f t="shared" si="2"/>
        <v>8539.9538948262343</v>
      </c>
      <c r="R15" s="1079">
        <f t="shared" si="2"/>
        <v>9028.4248795421699</v>
      </c>
      <c r="S15" s="1079">
        <f t="shared" si="2"/>
        <v>9544.9076891787954</v>
      </c>
      <c r="T15" s="1079">
        <f t="shared" si="2"/>
        <v>10091.011997443255</v>
      </c>
      <c r="U15" s="1079">
        <f t="shared" si="2"/>
        <v>10668.440128285565</v>
      </c>
      <c r="V15" s="1079">
        <f t="shared" si="2"/>
        <v>11278.992395668189</v>
      </c>
      <c r="W15" s="1079">
        <f t="shared" si="2"/>
        <v>11924.572751406498</v>
      </c>
      <c r="X15" s="1079">
        <f t="shared" si="2"/>
        <v>12607.194758868489</v>
      </c>
      <c r="Y15" s="1079">
        <f t="shared" si="2"/>
        <v>13328.987911350254</v>
      </c>
      <c r="Z15" s="1079">
        <f t="shared" si="2"/>
        <v>14092.204315030634</v>
      </c>
    </row>
    <row r="16" spans="1:26" s="142" customFormat="1">
      <c r="A16" s="1157"/>
      <c r="B16" s="1080" t="s">
        <v>91</v>
      </c>
      <c r="C16" s="1080"/>
      <c r="D16" s="1080"/>
      <c r="E16" s="1080"/>
      <c r="F16" s="1080"/>
      <c r="G16" s="1081">
        <v>1</v>
      </c>
      <c r="H16" s="1068">
        <f>IF(H$2&lt;=$C$52,0,'PVC Sales'!E5*H$3*(1+$C$51)^(H$2-$C$52-1))</f>
        <v>1831.362974583333</v>
      </c>
      <c r="I16" s="1068">
        <f>IF(I$2&lt;=$C$52,0,'PVC Sales'!F5*I$3*(1+$C$51)^(I$2-$C$52-1))</f>
        <v>2490.0937716096746</v>
      </c>
      <c r="J16" s="1068">
        <f>IF(J$2&lt;=$C$52,0,'PVC Sales'!G5*J$3*(1+$C$51)^(J$2-$C$52-1))</f>
        <v>2925.9708524756611</v>
      </c>
      <c r="K16" s="1068">
        <f>IF(K$2&lt;=$C$52,0,'PVC Sales'!H5*K$3*(1+$C$51)^(K$2-$C$52-1))</f>
        <v>3094.3312153271104</v>
      </c>
      <c r="L16" s="1068">
        <f>IF(L$2&lt;=$C$52,0,'PVC Sales'!I5*L$3*(1+$C$51)^(L$2-$C$52-1))</f>
        <v>3272.3790334570317</v>
      </c>
      <c r="M16" s="1068">
        <f>IF(M$2&lt;=$C$52,0,'PVC Sales'!J5*M$3*(1+$C$51)^(M$2-$C$52-1))</f>
        <v>3460.6717230421491</v>
      </c>
      <c r="N16" s="1068">
        <f>IF(N$2&lt;=$C$52,0,'PVC Sales'!K5*N$3*(1+$C$51)^(N$2-$C$52-1))</f>
        <v>3659.7987739859932</v>
      </c>
      <c r="O16" s="1068">
        <f>IF(O$2&lt;=$C$52,0,'PVC Sales'!L5*O$3*(1+$C$51)^(O$2-$C$52-1))</f>
        <v>3870.3835954411475</v>
      </c>
      <c r="P16" s="1068">
        <f>IF(P$2&lt;=$C$52,0,'PVC Sales'!M5*P$3*(1+$C$51)^(P$2-$C$52-1))</f>
        <v>4093.0854675228293</v>
      </c>
      <c r="Q16" s="1068">
        <f>IF(Q$2&lt;=$C$52,0,'PVC Sales'!N5*Q$3*(1+$C$51)^(Q$2-$C$52-1))</f>
        <v>4328.6016053240928</v>
      </c>
      <c r="R16" s="1068">
        <f>IF(R$2&lt;=$C$52,0,'PVC Sales'!O5*R$3*(1+$C$51)^(R$2-$C$52-1))</f>
        <v>4577.6693416944408</v>
      </c>
      <c r="S16" s="1068">
        <f>IF(S$2&lt;=$C$52,0,'PVC Sales'!P5*S$3*(1+$C$51)^(S$2-$C$52-1))</f>
        <v>4841.0684356155389</v>
      </c>
      <c r="T16" s="1068">
        <f>IF(T$2&lt;=$C$52,0,'PVC Sales'!Q5*T$3*(1+$C$51)^(T$2-$C$52-1))</f>
        <v>5119.6235134008557</v>
      </c>
      <c r="U16" s="1068">
        <f>IF(U$2&lt;=$C$52,0,'PVC Sales'!R5*U$3*(1+$C$51)^(U$2-$C$52-1))</f>
        <v>5414.2066503619417</v>
      </c>
      <c r="V16" s="1068">
        <f>IF(V$2&lt;=$C$52,0,'PVC Sales'!S5*V$3*(1+$C$51)^(V$2-$C$52-1))</f>
        <v>5725.7401010237663</v>
      </c>
      <c r="W16" s="1068">
        <f>IF(W$2&lt;=$C$52,0,'PVC Sales'!T5*W$3*(1+$C$51)^(W$2-$C$52-1))</f>
        <v>6055.1991864366746</v>
      </c>
      <c r="X16" s="1068">
        <f>IF(X$2&lt;=$C$52,0,'PVC Sales'!U5*X$3*(1+$C$51)^(X$2-$C$52-1))</f>
        <v>6403.615347624238</v>
      </c>
      <c r="Y16" s="1068">
        <f>IF(Y$2&lt;=$C$52,0,'PVC Sales'!V5*Y$3*(1+$C$51)^(Y$2-$C$52-1))</f>
        <v>6772.0793747265361</v>
      </c>
      <c r="Z16" s="1068">
        <f>IF(Z$2&lt;=$C$52,0,'PVC Sales'!W5*Z$3*(1+$C$51)^(Z$2-$C$52-1))</f>
        <v>7161.7448219482994</v>
      </c>
    </row>
    <row r="17" spans="1:27">
      <c r="A17" s="1157"/>
      <c r="B17" s="1080" t="s">
        <v>147</v>
      </c>
      <c r="C17" s="1080"/>
      <c r="D17" s="1080"/>
      <c r="E17" s="1080"/>
      <c r="F17" s="1080"/>
      <c r="G17" s="1082"/>
      <c r="H17" s="657">
        <f>'Cashflow Phenol Option 1-Ethane'!H11</f>
        <v>1386.6910392857144</v>
      </c>
      <c r="I17" s="657">
        <f>'Cashflow Phenol Option 1-Ethane'!I11</f>
        <v>1631.0337042469644</v>
      </c>
      <c r="J17" s="657">
        <f>'Cashflow Phenol Option 1-Ethane'!J11</f>
        <v>1726.5878138102726</v>
      </c>
      <c r="K17" s="657">
        <f>'Cashflow Phenol Option 1-Ethane'!K11</f>
        <v>1827.7399608823475</v>
      </c>
      <c r="L17" s="657">
        <f>'Cashflow Phenol Option 1-Ethane'!L11</f>
        <v>1934.8181064906394</v>
      </c>
      <c r="M17" s="657">
        <f>'Cashflow Phenol Option 1-Ethane'!M11</f>
        <v>2048.1694252593934</v>
      </c>
      <c r="N17" s="657">
        <f>'Cashflow Phenol Option 1-Ethane'!N11</f>
        <v>2168.1614310382142</v>
      </c>
      <c r="O17" s="657">
        <f>'Cashflow Phenol Option 1-Ethane'!O11</f>
        <v>2295.1831684755884</v>
      </c>
      <c r="P17" s="657">
        <f>'Cashflow Phenol Option 1-Ethane'!P11</f>
        <v>2429.6464744007299</v>
      </c>
      <c r="Q17" s="657">
        <f>'Cashflow Phenol Option 1-Ethane'!Q11</f>
        <v>2571.9873131034965</v>
      </c>
      <c r="R17" s="657">
        <f>'Cashflow Phenol Option 1-Ethane'!R11</f>
        <v>2722.6671898416648</v>
      </c>
      <c r="S17" s="657">
        <f>'Cashflow Phenol Option 1-Ethane'!S11</f>
        <v>2882.1746471585388</v>
      </c>
      <c r="T17" s="657">
        <f>'Cashflow Phenol Option 1-Ethane'!T11</f>
        <v>3051.026848862321</v>
      </c>
      <c r="U17" s="657">
        <f>'Cashflow Phenol Option 1-Ethane'!U11</f>
        <v>3229.7712568029201</v>
      </c>
      <c r="V17" s="657">
        <f>'Cashflow Phenol Option 1-Ethane'!V11</f>
        <v>3418.9874058827181</v>
      </c>
      <c r="W17" s="657">
        <f>'Cashflow Phenol Option 1-Ethane'!W11</f>
        <v>3619.2887830563573</v>
      </c>
      <c r="X17" s="657">
        <f>'Cashflow Phenol Option 1-Ethane'!X11</f>
        <v>3831.3248164117126</v>
      </c>
      <c r="Y17" s="657">
        <f>'Cashflow Phenol Option 1-Ethane'!Y11</f>
        <v>4055.7829807811931</v>
      </c>
      <c r="Z17" s="657">
        <f>'Cashflow Phenol Option 1-Ethane'!Z11</f>
        <v>4293.3910267102583</v>
      </c>
      <c r="AA17" s="657"/>
    </row>
    <row r="18" spans="1:27">
      <c r="A18" s="1157"/>
      <c r="B18" s="1080" t="s">
        <v>11</v>
      </c>
      <c r="C18" s="1080"/>
      <c r="D18" s="1080"/>
      <c r="E18" s="1080"/>
      <c r="F18" s="1080"/>
      <c r="G18" s="1082"/>
      <c r="H18" s="657">
        <f>'Cashflow Phenol Option 1-Ethane'!H12</f>
        <v>648.5918912236607</v>
      </c>
      <c r="I18" s="657">
        <f>'Cashflow Phenol Option 1-Ethane'!I12</f>
        <v>762.12429849407783</v>
      </c>
      <c r="J18" s="657">
        <f>'Cashflow Phenol Option 1-Ethane'!J12</f>
        <v>805.97693062942699</v>
      </c>
      <c r="K18" s="657">
        <f>'Cashflow Phenol Option 1-Ethane'!K12</f>
        <v>852.35284321784422</v>
      </c>
      <c r="L18" s="657">
        <f>'Cashflow Phenol Option 1-Ethane'!L12</f>
        <v>901.39722581659873</v>
      </c>
      <c r="M18" s="657">
        <f>'Cashflow Phenol Option 1-Ethane'!M12</f>
        <v>953.26362219008581</v>
      </c>
      <c r="N18" s="657">
        <f>'Cashflow Phenol Option 1-Ethane'!N12</f>
        <v>1008.1144110109032</v>
      </c>
      <c r="O18" s="657">
        <f>'Cashflow Phenol Option 1-Ethane'!O12</f>
        <v>1066.1213142204706</v>
      </c>
      <c r="P18" s="657">
        <f>'Cashflow Phenol Option 1-Ethane'!P12</f>
        <v>1127.4659346407161</v>
      </c>
      <c r="Q18" s="657">
        <f>'Cashflow Phenol Option 1-Ethane'!Q12</f>
        <v>1192.3403245199427</v>
      </c>
      <c r="R18" s="657">
        <f>'Cashflow Phenol Option 1-Ethane'!R12</f>
        <v>1260.9475867928199</v>
      </c>
      <c r="S18" s="657">
        <f>'Cashflow Phenol Option 1-Ethane'!S12</f>
        <v>1333.5025109368789</v>
      </c>
      <c r="T18" s="657">
        <f>'Cashflow Phenol Option 1-Ethane'!T12</f>
        <v>1410.2322454161865</v>
      </c>
      <c r="U18" s="657">
        <f>'Cashflow Phenol Option 1-Ethane'!U12</f>
        <v>1491.3770088174342</v>
      </c>
      <c r="V18" s="657">
        <f>'Cashflow Phenol Option 1-Ethane'!V12</f>
        <v>1577.1908419047888</v>
      </c>
      <c r="W18" s="657">
        <f>'Cashflow Phenol Option 1-Ethane'!W12</f>
        <v>1667.9424029479906</v>
      </c>
      <c r="X18" s="657">
        <f>'Cashflow Phenol Option 1-Ethane'!X12</f>
        <v>1763.9158088136171</v>
      </c>
      <c r="Y18" s="657">
        <f>'Cashflow Phenol Option 1-Ethane'!Y12</f>
        <v>1865.4115244527527</v>
      </c>
      <c r="Z18" s="657">
        <f>'Cashflow Phenol Option 1-Ethane'!Z12</f>
        <v>1972.7473035697635</v>
      </c>
      <c r="AA18" s="657"/>
    </row>
    <row r="19" spans="1:27">
      <c r="A19" s="1083"/>
      <c r="B19" s="1159" t="s">
        <v>581</v>
      </c>
      <c r="C19" s="1084"/>
      <c r="D19" s="1084"/>
      <c r="E19" s="1084"/>
      <c r="F19" s="1084"/>
      <c r="G19" s="1067"/>
      <c r="H19" s="1068">
        <f>IF(H$2&lt;=$C$52,0,'Net Change in Margin'!$D$46*H$3*(1+$C$51)^(H$2-$C$52-1))</f>
        <v>210.56340728485574</v>
      </c>
      <c r="I19" s="1068">
        <f>IF(I$2&lt;=$C$52,0,'Net Change in Margin'!$D$46*I$3*(1+$C$51)^(I$2-$C$52-1))</f>
        <v>282.90697793058115</v>
      </c>
      <c r="J19" s="1068">
        <f>IF(J$2&lt;=$C$52,0,'Net Change in Margin'!$D$46*J$3*(1+$C$51)^(J$2-$C$52-1))</f>
        <v>328.48643548606367</v>
      </c>
      <c r="K19" s="1068">
        <f>IF(K$2&lt;=$C$52,0,'Net Change in Margin'!$D$46*K$3*(1+$C$51)^(K$2-$C$52-1))</f>
        <v>343.26832508293654</v>
      </c>
      <c r="L19" s="1068">
        <f>IF(L$2&lt;=$C$52,0,'Net Change in Margin'!$D$46*L$3*(1+$C$51)^(L$2-$C$52-1))</f>
        <v>358.71539971166857</v>
      </c>
      <c r="M19" s="1068">
        <f>IF(M$2&lt;=$C$52,0,'Net Change in Margin'!$D$46*M$3*(1+$C$51)^(M$2-$C$52-1))</f>
        <v>374.85759269869368</v>
      </c>
      <c r="N19" s="1068">
        <f>IF(N$2&lt;=$C$52,0,'Net Change in Margin'!$D$46*N$3*(1+$C$51)^(N$2-$C$52-1))</f>
        <v>391.72618437013477</v>
      </c>
      <c r="O19" s="1068">
        <f>IF(O$2&lt;=$C$52,0,'Net Change in Margin'!$D$46*O$3*(1+$C$51)^(O$2-$C$52-1))</f>
        <v>409.35386266679086</v>
      </c>
      <c r="P19" s="1068">
        <f>IF(P$2&lt;=$C$52,0,'Net Change in Margin'!$D$46*P$3*(1+$C$51)^(P$2-$C$52-1))</f>
        <v>427.7747864867963</v>
      </c>
      <c r="Q19" s="1068">
        <f>IF(Q$2&lt;=$C$52,0,'Net Change in Margin'!$D$46*Q$3*(1+$C$51)^(Q$2-$C$52-1))</f>
        <v>447.02465187870212</v>
      </c>
      <c r="R19" s="1068">
        <f>IF(R$2&lt;=$C$52,0,'Net Change in Margin'!$D$46*R$3*(1+$C$51)^(R$2-$C$52-1))</f>
        <v>467.14076121324365</v>
      </c>
      <c r="S19" s="1068">
        <f>IF(S$2&lt;=$C$52,0,'Net Change in Margin'!$D$46*S$3*(1+$C$51)^(S$2-$C$52-1))</f>
        <v>488.16209546783961</v>
      </c>
      <c r="T19" s="1068">
        <f>IF(T$2&lt;=$C$52,0,'Net Change in Margin'!$D$46*T$3*(1+$C$51)^(T$2-$C$52-1))</f>
        <v>510.12938976389228</v>
      </c>
      <c r="U19" s="1068">
        <f>IF(U$2&lt;=$C$52,0,'Net Change in Margin'!$D$46*U$3*(1+$C$51)^(U$2-$C$52-1))</f>
        <v>533.08521230326744</v>
      </c>
      <c r="V19" s="1068">
        <f>IF(V$2&lt;=$C$52,0,'Net Change in Margin'!$D$46*V$3*(1+$C$51)^(V$2-$C$52-1))</f>
        <v>557.07404685691438</v>
      </c>
      <c r="W19" s="1068">
        <f>IF(W$2&lt;=$C$52,0,'Net Change in Margin'!$D$46*W$3*(1+$C$51)^(W$2-$C$52-1))</f>
        <v>582.14237896547559</v>
      </c>
      <c r="X19" s="1068">
        <f>IF(X$2&lt;=$C$52,0,'Net Change in Margin'!$D$46*X$3*(1+$C$51)^(X$2-$C$52-1))</f>
        <v>608.33878601892172</v>
      </c>
      <c r="Y19" s="1068">
        <f>IF(Y$2&lt;=$C$52,0,'Net Change in Margin'!$D$46*Y$3*(1+$C$51)^(Y$2-$C$52-1))</f>
        <v>635.71403138977325</v>
      </c>
      <c r="Z19" s="1068">
        <f>IF(Z$2&lt;=$C$52,0,'Net Change in Margin'!$D$46*Z$3*(1+$C$51)^(Z$2-$C$52-1))</f>
        <v>664.32116280231287</v>
      </c>
    </row>
    <row r="20" spans="1:27">
      <c r="A20" s="1157"/>
      <c r="B20" s="1159"/>
      <c r="C20" s="1159"/>
      <c r="D20" s="1159"/>
      <c r="E20" s="1159"/>
      <c r="F20" s="1159"/>
      <c r="G20" s="1082"/>
      <c r="H20" s="1068"/>
      <c r="I20" s="1068"/>
      <c r="J20" s="1068"/>
      <c r="K20" s="1068"/>
      <c r="L20" s="1068"/>
      <c r="M20" s="1068"/>
      <c r="N20" s="1068"/>
      <c r="O20" s="1068"/>
      <c r="P20" s="1068"/>
      <c r="Q20" s="1068"/>
    </row>
    <row r="21" spans="1:27">
      <c r="A21" s="1077">
        <v>3</v>
      </c>
      <c r="B21" s="1078" t="s">
        <v>113</v>
      </c>
      <c r="C21" s="1078"/>
      <c r="D21" s="1078"/>
      <c r="E21" s="1078"/>
      <c r="F21" s="1078"/>
      <c r="G21" s="1085"/>
      <c r="H21" s="1062"/>
      <c r="I21" s="1062"/>
      <c r="J21" s="1062"/>
      <c r="K21" s="1062"/>
      <c r="L21" s="1062"/>
      <c r="M21" s="1062"/>
      <c r="N21" s="1062"/>
      <c r="O21" s="1062"/>
      <c r="P21" s="1062"/>
      <c r="Q21" s="1062"/>
      <c r="R21" s="1064"/>
      <c r="S21" s="1064"/>
      <c r="T21" s="1064"/>
      <c r="U21" s="1064"/>
      <c r="V21" s="1064"/>
      <c r="W21" s="1064"/>
      <c r="X21" s="1064"/>
      <c r="Y21" s="1064"/>
      <c r="Z21" s="1064"/>
    </row>
    <row r="22" spans="1:27">
      <c r="A22" s="1157"/>
      <c r="B22" s="1159" t="s">
        <v>15</v>
      </c>
      <c r="C22" s="1159"/>
      <c r="D22" s="1159"/>
      <c r="E22" s="1159"/>
      <c r="F22" s="1086"/>
      <c r="G22" s="660">
        <f t="shared" ref="G22:G27" si="3">J22/$J$28</f>
        <v>0.73363418636809186</v>
      </c>
      <c r="H22" s="1068">
        <f>IF(H$2&lt;=$C$52,0,'Opex PVC'!E64*H$3*(1+$C$51)^(H$2-$C$52-1))+'Cashflow Phenol Option 1-Ethane'!H14</f>
        <v>1804.8650207510082</v>
      </c>
      <c r="I22" s="1068">
        <f>IF(I$2&lt;=$C$52,0,'Opex PVC'!F64*I$3*(1+$C$51)^(I$2-$C$52-1))+'Cashflow Phenol Option 1-Ethane'!I14</f>
        <v>2221.7963958040978</v>
      </c>
      <c r="J22" s="1068">
        <f>IF(J$2&lt;=$C$52,0,'Opex PVC'!G64*J$3*(1+$C$51)^(J$2-$C$52-1))+'Cashflow Phenol Option 1-Ethane'!J14</f>
        <v>2438.7908600858559</v>
      </c>
      <c r="K22" s="1068">
        <f>IF(K$2&lt;=$C$52,0,'Opex PVC'!H64*K$3*(1+$C$51)^(K$2-$C$52-1))+'Cashflow Phenol Option 1-Ethane'!K14</f>
        <v>2581.5607310987052</v>
      </c>
      <c r="L22" s="1068">
        <f>IF(L$2&lt;=$C$52,0,'Opex PVC'!I64*L$3*(1+$C$51)^(L$2-$C$52-1))+'Cashflow Phenol Option 1-Ethane'!L14</f>
        <v>2730.1996332826375</v>
      </c>
      <c r="M22" s="1068">
        <f>IF(M$2&lt;=$C$52,0,'Opex PVC'!J64*M$3*(1+$C$51)^(M$2-$C$52-1))+'Cashflow Phenol Option 1-Ethane'!M14</f>
        <v>2888.7152798757797</v>
      </c>
      <c r="N22" s="1068">
        <f>IF(N$2&lt;=$C$52,0,'Opex PVC'!K64*N$3*(1+$C$51)^(N$2-$C$52-1))+'Cashflow Phenol Option 1-Ethane'!N14</f>
        <v>3056.1134683180303</v>
      </c>
      <c r="O22" s="1068">
        <f>IF(O$2&lt;=$C$52,0,'Opex PVC'!L64*O$3*(1+$C$51)^(O$2-$C$52-1))+'Cashflow Phenol Option 1-Ethane'!O14</f>
        <v>3233.667946660521</v>
      </c>
      <c r="P22" s="1068">
        <f>IF(P$2&lt;=$C$52,0,'Opex PVC'!M64*P$3*(1+$C$51)^(P$2-$C$52-1))+'Cashflow Phenol Option 1-Ethane'!P14</f>
        <v>3423.3462594961311</v>
      </c>
      <c r="Q22" s="1068">
        <f>IF(Q$2&lt;=$C$52,0,'Opex PVC'!N64*Q$3*(1+$C$51)^(Q$2-$C$52-1))+'Cashflow Phenol Option 1-Ethane'!Q14</f>
        <v>3618.2817197737786</v>
      </c>
      <c r="R22" s="1068">
        <f>IF(R$2&lt;=$C$52,0,'Opex PVC'!O64*R$3*(1+$C$51)^(R$2-$C$52-1))+'Cashflow Phenol Option 1-Ethane'!R14</f>
        <v>3825.3986143411662</v>
      </c>
      <c r="S22" s="1068">
        <f>IF(S$2&lt;=$C$52,0,'Opex PVC'!P64*S$3*(1+$C$51)^(S$2-$C$52-1))+'Cashflow Phenol Option 1-Ethane'!S14</f>
        <v>4044.7994123463577</v>
      </c>
      <c r="T22" s="1068">
        <f>IF(T$2&lt;=$C$52,0,'Opex PVC'!Q64*T$3*(1+$C$51)^(T$2-$C$52-1))+'Cashflow Phenol Option 1-Ethane'!T14</f>
        <v>4275.2773571841144</v>
      </c>
      <c r="U22" s="1068">
        <f>IF(U$2&lt;=$C$52,0,'Opex PVC'!R64*U$3*(1+$C$51)^(U$2-$C$52-1))+'Cashflow Phenol Option 1-Ethane'!U14</f>
        <v>4518.5723421316725</v>
      </c>
      <c r="V22" s="1068">
        <f>IF(V$2&lt;=$C$52,0,'Opex PVC'!S64*V$3*(1+$C$51)^(V$2-$C$52-1))+'Cashflow Phenol Option 1-Ethane'!V14</f>
        <v>4775.5477516180235</v>
      </c>
      <c r="W22" s="1068">
        <f>IF(W$2&lt;=$C$52,0,'Opex PVC'!T64*W$3*(1+$C$51)^(W$2-$C$52-1))+'Cashflow Phenol Option 1-Ethane'!W14</f>
        <v>5049.4462376443225</v>
      </c>
      <c r="X22" s="1068">
        <f>IF(X$2&lt;=$C$52,0,'Opex PVC'!U64*X$3*(1+$C$51)^(X$2-$C$52-1))+'Cashflow Phenol Option 1-Ethane'!X14</f>
        <v>5339.6165423914108</v>
      </c>
      <c r="Y22" s="1068">
        <f>IF(Y$2&lt;=$C$52,0,'Opex PVC'!V64*Y$3*(1+$C$51)^(Y$2-$C$52-1))+'Cashflow Phenol Option 1-Ethane'!Y14</f>
        <v>5647.8488813581007</v>
      </c>
      <c r="Z22" s="1068">
        <f>IF(Z$2&lt;=$C$52,0,'Opex PVC'!W64*Z$3*(1+$C$51)^(Z$2-$C$52-1))+'Cashflow Phenol Option 1-Ethane'!Z14</f>
        <v>5971.7777743679471</v>
      </c>
    </row>
    <row r="23" spans="1:27">
      <c r="A23" s="1157"/>
      <c r="B23" s="1159" t="s">
        <v>17</v>
      </c>
      <c r="C23" s="1159"/>
      <c r="D23" s="1159"/>
      <c r="E23" s="1159"/>
      <c r="F23" s="1087"/>
      <c r="G23" s="660">
        <f t="shared" si="3"/>
        <v>4.4973020559111565E-2</v>
      </c>
      <c r="H23" s="1068">
        <f>IF(H$2&lt;=$C$52,0,'Opex PVC'!E68*H$3*(1+$C$51)^(H$2-$C$52-1))</f>
        <v>92.910999999999987</v>
      </c>
      <c r="I23" s="1068">
        <f>IF(I$2&lt;=$C$52,0,'Opex PVC'!F68*I$3*(1+$C$51)^(I$2-$C$52-1))</f>
        <v>126.76746975749997</v>
      </c>
      <c r="J23" s="1068">
        <f>IF(J$2&lt;=$C$52,0,'Opex PVC'!G68*J$3*(1+$C$51)^(J$2-$C$52-1))</f>
        <v>149.50201821018209</v>
      </c>
      <c r="K23" s="1068">
        <f>IF(K$2&lt;=$C$52,0,'Opex PVC'!H68*K$3*(1+$C$51)^(K$2-$C$52-1))</f>
        <v>158.46369243876413</v>
      </c>
      <c r="L23" s="1068">
        <f>IF(L$2&lt;=$C$52,0,'Opex PVC'!I68*L$3*(1+$C$51)^(L$2-$C$52-1))</f>
        <v>167.91288241888759</v>
      </c>
      <c r="M23" s="1068">
        <f>IF(M$2&lt;=$C$52,0,'Opex PVC'!J68*M$3*(1+$C$51)^(M$2-$C$52-1))</f>
        <v>177.8202462202492</v>
      </c>
      <c r="N23" s="1068">
        <f>IF(N$2&lt;=$C$52,0,'Opex PVC'!K68*N$3*(1+$C$51)^(N$2-$C$52-1))</f>
        <v>188.31217420798251</v>
      </c>
      <c r="O23" s="1068">
        <f>IF(O$2&lt;=$C$52,0,'Opex PVC'!L68*O$3*(1+$C$51)^(O$2-$C$52-1))</f>
        <v>199.42315742277611</v>
      </c>
      <c r="P23" s="1068">
        <f>IF(P$2&lt;=$C$52,0,'Opex PVC'!M68*P$3*(1+$C$51)^(P$2-$C$52-1))</f>
        <v>211.18972198019213</v>
      </c>
      <c r="Q23" s="1068">
        <f>IF(Q$2&lt;=$C$52,0,'Opex PVC'!N68*Q$3*(1+$C$51)^(Q$2-$C$52-1))</f>
        <v>223.65054914618941</v>
      </c>
      <c r="R23" s="1068">
        <f>IF(R$2&lt;=$C$52,0,'Opex PVC'!O68*R$3*(1+$C$51)^(R$2-$C$52-1))</f>
        <v>236.84660249746196</v>
      </c>
      <c r="S23" s="1068">
        <f>IF(S$2&lt;=$C$52,0,'Opex PVC'!P68*S$3*(1+$C$51)^(S$2-$C$52-1))</f>
        <v>250.82126258461975</v>
      </c>
      <c r="T23" s="1068">
        <f>IF(T$2&lt;=$C$52,0,'Opex PVC'!Q68*T$3*(1+$C$51)^(T$2-$C$52-1))</f>
        <v>265.62046954089999</v>
      </c>
      <c r="U23" s="1068">
        <f>IF(U$2&lt;=$C$52,0,'Opex PVC'!R68*U$3*(1+$C$51)^(U$2-$C$52-1))</f>
        <v>281.29287410522176</v>
      </c>
      <c r="V23" s="1068">
        <f>IF(V$2&lt;=$C$52,0,'Opex PVC'!S68*V$3*(1+$C$51)^(V$2-$C$52-1))</f>
        <v>297.88999755605204</v>
      </c>
      <c r="W23" s="1068">
        <f>IF(W$2&lt;=$C$52,0,'Opex PVC'!T68*W$3*(1+$C$51)^(W$2-$C$52-1))</f>
        <v>315.46640108185181</v>
      </c>
      <c r="X23" s="1068">
        <f>IF(X$2&lt;=$C$52,0,'Opex PVC'!U68*X$3*(1+$C$51)^(X$2-$C$52-1))</f>
        <v>334.07986514488414</v>
      </c>
      <c r="Y23" s="1068">
        <f>IF(Y$2&lt;=$C$52,0,'Opex PVC'!V68*Y$3*(1+$C$51)^(Y$2-$C$52-1))</f>
        <v>353.79157942802772</v>
      </c>
      <c r="Z23" s="1068">
        <f>IF(Z$2&lt;=$C$52,0,'Opex PVC'!W68*Z$3*(1+$C$51)^(Z$2-$C$52-1))</f>
        <v>374.66634398901959</v>
      </c>
    </row>
    <row r="24" spans="1:27">
      <c r="A24" s="1157"/>
      <c r="B24" s="1159" t="s">
        <v>18</v>
      </c>
      <c r="C24" s="1159"/>
      <c r="D24" s="1159"/>
      <c r="E24" s="1159"/>
      <c r="F24" s="1087"/>
      <c r="G24" s="660">
        <f t="shared" si="3"/>
        <v>1.7679959924632876E-2</v>
      </c>
      <c r="H24" s="1068">
        <f>IF(H$2&lt;=$C$52,0,'Opex PVC'!$E$69*(1+$C$51)^(H$2-$C$52-1))+'Cashflow Phenol Option 1-Ethane'!H15</f>
        <v>53.82</v>
      </c>
      <c r="I24" s="1068">
        <f>IF(I$2&lt;=$C$52,0,'Opex PVC'!$E$69*(1+$C$51)^(I$2-$C$52-1))+'Cashflow Phenol Option 1-Ethane'!I15</f>
        <v>56.241899999999994</v>
      </c>
      <c r="J24" s="1068">
        <f>IF(J$2&lt;=$C$52,0,'Opex PVC'!$E$69*(1+$C$51)^(J$2-$C$52-1))+'Cashflow Phenol Option 1-Ethane'!J15</f>
        <v>58.772785499999991</v>
      </c>
      <c r="K24" s="1068">
        <f>IF(K$2&lt;=$C$52,0,'Opex PVC'!$E$69*(1+$C$51)^(K$2-$C$52-1))+'Cashflow Phenol Option 1-Ethane'!K15</f>
        <v>61.417560847499992</v>
      </c>
      <c r="L24" s="1068">
        <f>IF(L$2&lt;=$C$52,0,'Opex PVC'!$E$69*(1+$C$51)^(L$2-$C$52-1))+'Cashflow Phenol Option 1-Ethane'!L15</f>
        <v>64.181351085637473</v>
      </c>
      <c r="M24" s="1068">
        <f>IF(M$2&lt;=$C$52,0,'Opex PVC'!$E$69*(1+$C$51)^(M$2-$C$52-1))+'Cashflow Phenol Option 1-Ethane'!M15</f>
        <v>67.069511884491163</v>
      </c>
      <c r="N24" s="1068">
        <f>IF(N$2&lt;=$C$52,0,'Opex PVC'!$E$69*(1+$C$51)^(N$2-$C$52-1))+'Cashflow Phenol Option 1-Ethane'!N15</f>
        <v>70.087639919293238</v>
      </c>
      <c r="O24" s="1068">
        <f>IF(O$2&lt;=$C$52,0,'Opex PVC'!$E$69*(1+$C$51)^(O$2-$C$52-1))+'Cashflow Phenol Option 1-Ethane'!O15</f>
        <v>73.241583715661449</v>
      </c>
      <c r="P24" s="1068">
        <f>IF(P$2&lt;=$C$52,0,'Opex PVC'!$E$69*(1+$C$51)^(P$2-$C$52-1))+'Cashflow Phenol Option 1-Ethane'!P15</f>
        <v>76.53745498286618</v>
      </c>
      <c r="Q24" s="1068">
        <f>IF(Q$2&lt;=$C$52,0,'Opex PVC'!$E$69*(1+$C$51)^(Q$2-$C$52-1))+'Cashflow Phenol Option 1-Ethane'!Q15</f>
        <v>79.981640457095153</v>
      </c>
      <c r="R24" s="1068">
        <f>IF(R$2&lt;=$C$52,0,'Opex PVC'!$E$69*(1+$C$51)^(R$2-$C$52-1))+'Cashflow Phenol Option 1-Ethane'!R15</f>
        <v>83.58081427766443</v>
      </c>
      <c r="S24" s="1068">
        <f>IF(S$2&lt;=$C$52,0,'Opex PVC'!$E$69*(1+$C$51)^(S$2-$C$52-1))+'Cashflow Phenol Option 1-Ethane'!S15</f>
        <v>87.34195092015932</v>
      </c>
      <c r="T24" s="1068">
        <f>IF(T$2&lt;=$C$52,0,'Opex PVC'!$E$69*(1+$C$51)^(T$2-$C$52-1))+'Cashflow Phenol Option 1-Ethane'!T15</f>
        <v>91.272338711566476</v>
      </c>
      <c r="U24" s="1068">
        <f>IF(U$2&lt;=$C$52,0,'Opex PVC'!$E$69*(1+$C$51)^(U$2-$C$52-1))+'Cashflow Phenol Option 1-Ethane'!U15</f>
        <v>95.379593953586976</v>
      </c>
      <c r="V24" s="1068">
        <f>IF(V$2&lt;=$C$52,0,'Opex PVC'!$E$69*(1+$C$51)^(V$2-$C$52-1))+'Cashflow Phenol Option 1-Ethane'!V15</f>
        <v>99.671675681498357</v>
      </c>
      <c r="W24" s="1068">
        <f>IF(W$2&lt;=$C$52,0,'Opex PVC'!$E$69*(1+$C$51)^(W$2-$C$52-1))+'Cashflow Phenol Option 1-Ethane'!W15</f>
        <v>104.15690108716579</v>
      </c>
      <c r="X24" s="1068">
        <f>IF(X$2&lt;=$C$52,0,'Opex PVC'!$E$69*(1+$C$51)^(X$2-$C$52-1))+'Cashflow Phenol Option 1-Ethane'!X15</f>
        <v>108.84396163608821</v>
      </c>
      <c r="Y24" s="1068">
        <f>IF(Y$2&lt;=$C$52,0,'Opex PVC'!$E$69*(1+$C$51)^(Y$2-$C$52-1))+'Cashflow Phenol Option 1-Ethane'!Y15</f>
        <v>113.74193990971219</v>
      </c>
      <c r="Z24" s="1068">
        <f>IF(Z$2&lt;=$C$52,0,'Opex PVC'!$E$69*(1+$C$51)^(Z$2-$C$52-1))+'Cashflow Phenol Option 1-Ethane'!Z15</f>
        <v>118.86032720564921</v>
      </c>
    </row>
    <row r="25" spans="1:27">
      <c r="A25" s="1157"/>
      <c r="B25" s="1159" t="s">
        <v>20</v>
      </c>
      <c r="C25" s="1159"/>
      <c r="D25" s="1159"/>
      <c r="E25" s="1159"/>
      <c r="F25" s="1159"/>
      <c r="G25" s="660">
        <f t="shared" si="3"/>
        <v>0.11703690991036507</v>
      </c>
      <c r="H25" s="1068">
        <f>IF(H$2&lt;=$C$52,0,'Opex PVC'!$E$71*(1+$C$51)^(H$2-$C$52-1))+'Cashflow Phenol Option 1-Ethane'!H16</f>
        <v>336.36743734740003</v>
      </c>
      <c r="I25" s="1068">
        <f>IF(I$2&lt;=$C$52,0,'Opex PVC'!$E$71*(1+$C$51)^(I$2-$C$52-1))+'Cashflow Phenol Option 1-Ethane'!I16</f>
        <v>372.30730225336998</v>
      </c>
      <c r="J25" s="1068">
        <f>IF(J$2&lt;=$C$52,0,'Opex PVC'!$E$71*(1+$C$51)^(J$2-$C$52-1))+'Cashflow Phenol Option 1-Ethane'!J16</f>
        <v>389.06113085477159</v>
      </c>
      <c r="K25" s="1068">
        <f>IF(K$2&lt;=$C$52,0,'Opex PVC'!$E$71*(1+$C$51)^(K$2-$C$52-1))+'Cashflow Phenol Option 1-Ethane'!K16</f>
        <v>406.56888174323637</v>
      </c>
      <c r="L25" s="1068">
        <f>IF(L$2&lt;=$C$52,0,'Opex PVC'!$E$71*(1+$C$51)^(L$2-$C$52-1))+'Cashflow Phenol Option 1-Ethane'!L16</f>
        <v>424.86448142168183</v>
      </c>
      <c r="M25" s="1068">
        <f>IF(M$2&lt;=$C$52,0,'Opex PVC'!$E$71*(1+$C$51)^(M$2-$C$52-1))+'Cashflow Phenol Option 1-Ethane'!M16</f>
        <v>443.98338308565752</v>
      </c>
      <c r="N25" s="1068">
        <f>IF(N$2&lt;=$C$52,0,'Opex PVC'!$E$71*(1+$C$51)^(N$2-$C$52-1))+'Cashflow Phenol Option 1-Ethane'!N16</f>
        <v>463.96263532451201</v>
      </c>
      <c r="O25" s="1068">
        <f>IF(O$2&lt;=$C$52,0,'Opex PVC'!$E$71*(1+$C$51)^(O$2-$C$52-1))+'Cashflow Phenol Option 1-Ethane'!O16</f>
        <v>484.84095391411512</v>
      </c>
      <c r="P25" s="1068">
        <f>IF(P$2&lt;=$C$52,0,'Opex PVC'!$E$71*(1+$C$51)^(P$2-$C$52-1))+'Cashflow Phenol Option 1-Ethane'!P16</f>
        <v>506.65879684025015</v>
      </c>
      <c r="Q25" s="1068">
        <f>IF(Q$2&lt;=$C$52,0,'Opex PVC'!$E$71*(1+$C$51)^(Q$2-$C$52-1))+'Cashflow Phenol Option 1-Ethane'!Q16</f>
        <v>529.45844269806139</v>
      </c>
      <c r="R25" s="1068">
        <f>IF(R$2&lt;=$C$52,0,'Opex PVC'!$E$71*(1+$C$51)^(R$2-$C$52-1))+'Cashflow Phenol Option 1-Ethane'!R16</f>
        <v>553.28407261947405</v>
      </c>
      <c r="S25" s="1068">
        <f>IF(S$2&lt;=$C$52,0,'Opex PVC'!$E$71*(1+$C$51)^(S$2-$C$52-1))+'Cashflow Phenol Option 1-Ethane'!S16</f>
        <v>578.18185588735037</v>
      </c>
      <c r="T25" s="1068">
        <f>IF(T$2&lt;=$C$52,0,'Opex PVC'!$E$71*(1+$C$51)^(T$2-$C$52-1))+'Cashflow Phenol Option 1-Ethane'!T16</f>
        <v>604.20003940228094</v>
      </c>
      <c r="U25" s="1068">
        <f>IF(U$2&lt;=$C$52,0,'Opex PVC'!$E$71*(1+$C$51)^(U$2-$C$52-1))+'Cashflow Phenol Option 1-Ethane'!U16</f>
        <v>631.38904117538368</v>
      </c>
      <c r="V25" s="1068">
        <f>IF(V$2&lt;=$C$52,0,'Opex PVC'!$E$71*(1+$C$51)^(V$2-$C$52-1))+'Cashflow Phenol Option 1-Ethane'!V16</f>
        <v>659.80154802827565</v>
      </c>
      <c r="W25" s="1068">
        <f>IF(W$2&lt;=$C$52,0,'Opex PVC'!$E$71*(1+$C$51)^(W$2-$C$52-1))+'Cashflow Phenol Option 1-Ethane'!W16</f>
        <v>689.4926176895483</v>
      </c>
      <c r="X25" s="1068">
        <f>IF(X$2&lt;=$C$52,0,'Opex PVC'!$E$71*(1+$C$51)^(X$2-$C$52-1))+'Cashflow Phenol Option 1-Ethane'!X16</f>
        <v>720.51978548557759</v>
      </c>
      <c r="Y25" s="1068">
        <f>IF(Y$2&lt;=$C$52,0,'Opex PVC'!$E$71*(1+$C$51)^(Y$2-$C$52-1))+'Cashflow Phenol Option 1-Ethane'!Y16</f>
        <v>752.94317583242855</v>
      </c>
      <c r="Z25" s="1068">
        <f>IF(Z$2&lt;=$C$52,0,'Opex PVC'!$E$71*(1+$C$51)^(Z$2-$C$52-1))+'Cashflow Phenol Option 1-Ethane'!Z16</f>
        <v>786.82561874488772</v>
      </c>
    </row>
    <row r="26" spans="1:27" s="142" customFormat="1">
      <c r="A26" s="1157"/>
      <c r="B26" s="1159" t="s">
        <v>23</v>
      </c>
      <c r="C26" s="1159"/>
      <c r="D26" s="1159"/>
      <c r="E26" s="1159"/>
      <c r="F26" s="1159"/>
      <c r="G26" s="660">
        <f t="shared" si="3"/>
        <v>3.2727804114553484E-2</v>
      </c>
      <c r="H26" s="1068">
        <f>IF(H$2&lt;=$C$52,0,'Opex PVC'!$E$74*(1+$C$51)^(H$2-$C$52-1))+'Cashflow Phenol Option 1-Ethane'!H17</f>
        <v>96.573698443403998</v>
      </c>
      <c r="I26" s="1068">
        <f>IF(I$2&lt;=$C$52,0,'Opex PVC'!$E$74*(1+$C$51)^(I$2-$C$52-1))+'Cashflow Phenol Option 1-Ethane'!I17</f>
        <v>104.11074991554466</v>
      </c>
      <c r="J26" s="1068">
        <f>IF(J$2&lt;=$C$52,0,'Opex PVC'!$E$74*(1+$C$51)^(J$2-$C$52-1))+'Cashflow Phenol Option 1-Ethane'!J17</f>
        <v>108.79573366174417</v>
      </c>
      <c r="K26" s="1068">
        <f>IF(K$2&lt;=$C$52,0,'Opex PVC'!$E$74*(1+$C$51)^(K$2-$C$52-1))+'Cashflow Phenol Option 1-Ethane'!K17</f>
        <v>113.69154167652266</v>
      </c>
      <c r="L26" s="1068">
        <f>IF(L$2&lt;=$C$52,0,'Opex PVC'!$E$74*(1+$C$51)^(L$2-$C$52-1))+'Cashflow Phenol Option 1-Ethane'!L17</f>
        <v>118.80766105196614</v>
      </c>
      <c r="M26" s="1068">
        <f>IF(M$2&lt;=$C$52,0,'Opex PVC'!$E$74*(1+$C$51)^(M$2-$C$52-1))+'Cashflow Phenol Option 1-Ethane'!M17</f>
        <v>124.15400579930463</v>
      </c>
      <c r="N26" s="1068">
        <f>IF(N$2&lt;=$C$52,0,'Opex PVC'!$E$74*(1+$C$51)^(N$2-$C$52-1))+'Cashflow Phenol Option 1-Ethane'!N17</f>
        <v>129.7409360602733</v>
      </c>
      <c r="O26" s="1068">
        <f>IF(O$2&lt;=$C$52,0,'Opex PVC'!$E$74*(1+$C$51)^(O$2-$C$52-1))+'Cashflow Phenol Option 1-Ethane'!O17</f>
        <v>135.5792781829856</v>
      </c>
      <c r="P26" s="1068">
        <f>IF(P$2&lt;=$C$52,0,'Opex PVC'!$E$74*(1+$C$51)^(P$2-$C$52-1))+'Cashflow Phenol Option 1-Ethane'!P17</f>
        <v>141.68034570121992</v>
      </c>
      <c r="Q26" s="1068">
        <f>IF(Q$2&lt;=$C$52,0,'Opex PVC'!$E$74*(1+$C$51)^(Q$2-$C$52-1))+'Cashflow Phenol Option 1-Ethane'!Q17</f>
        <v>148.05596125777478</v>
      </c>
      <c r="R26" s="1068">
        <f>IF(R$2&lt;=$C$52,0,'Opex PVC'!$E$74*(1+$C$51)^(R$2-$C$52-1))+'Cashflow Phenol Option 1-Ethane'!R17</f>
        <v>154.71847951437462</v>
      </c>
      <c r="S26" s="1068">
        <f>IF(S$2&lt;=$C$52,0,'Opex PVC'!$E$74*(1+$C$51)^(S$2-$C$52-1))+'Cashflow Phenol Option 1-Ethane'!S17</f>
        <v>161.68081109252148</v>
      </c>
      <c r="T26" s="1068">
        <f>IF(T$2&lt;=$C$52,0,'Opex PVC'!$E$74*(1+$C$51)^(T$2-$C$52-1))+'Cashflow Phenol Option 1-Ethane'!T17</f>
        <v>168.95644759168493</v>
      </c>
      <c r="U26" s="1068">
        <f>IF(U$2&lt;=$C$52,0,'Opex PVC'!$E$74*(1+$C$51)^(U$2-$C$52-1))+'Cashflow Phenol Option 1-Ethane'!U17</f>
        <v>176.55948773331076</v>
      </c>
      <c r="V26" s="1068">
        <f>IF(V$2&lt;=$C$52,0,'Opex PVC'!$E$74*(1+$C$51)^(V$2-$C$52-1))+'Cashflow Phenol Option 1-Ethane'!V17</f>
        <v>184.50466468130969</v>
      </c>
      <c r="W26" s="1068">
        <f>IF(W$2&lt;=$C$52,0,'Opex PVC'!$E$74*(1+$C$51)^(W$2-$C$52-1))+'Cashflow Phenol Option 1-Ethane'!W17</f>
        <v>192.80737459196865</v>
      </c>
      <c r="X26" s="1068">
        <f>IF(X$2&lt;=$C$52,0,'Opex PVC'!$E$74*(1+$C$51)^(X$2-$C$52-1))+'Cashflow Phenol Option 1-Ethane'!X17</f>
        <v>201.48370644860717</v>
      </c>
      <c r="Y26" s="1068">
        <f>IF(Y$2&lt;=$C$52,0,'Opex PVC'!$E$74*(1+$C$51)^(Y$2-$C$52-1))+'Cashflow Phenol Option 1-Ethane'!Y17</f>
        <v>210.5504732387945</v>
      </c>
      <c r="Z26" s="1068">
        <f>IF(Z$2&lt;=$C$52,0,'Opex PVC'!$E$74*(1+$C$51)^(Z$2-$C$52-1))+'Cashflow Phenol Option 1-Ethane'!Z17</f>
        <v>220.02524453454021</v>
      </c>
    </row>
    <row r="27" spans="1:27">
      <c r="A27" s="1157"/>
      <c r="B27" s="1159" t="s">
        <v>25</v>
      </c>
      <c r="C27" s="1159"/>
      <c r="D27" s="1159"/>
      <c r="E27" s="1159"/>
      <c r="F27" s="1159"/>
      <c r="G27" s="660">
        <f t="shared" si="3"/>
        <v>5.394811912324516E-2</v>
      </c>
      <c r="H27" s="1068">
        <f>IF(H$2&lt;=$C$52,0,'Opex PVC'!$E$77*(1+$C$51)^(H$2-$C$52-1))+'Cashflow Phenol Option 1-Ethane'!H18</f>
        <v>156.07625010406608</v>
      </c>
      <c r="I27" s="1068">
        <f>IF(I$2&lt;=$C$52,0,'Opex PVC'!$E$77*(1+$C$51)^(I$2-$C$52-1))+'Cashflow Phenol Option 1-Ethane'!I18</f>
        <v>171.61490941448756</v>
      </c>
      <c r="J27" s="1068">
        <f>IF(J$2&lt;=$C$52,0,'Opex PVC'!$E$77*(1+$C$51)^(J$2-$C$52-1))+'Cashflow Phenol Option 1-Ethane'!J18</f>
        <v>179.3375803381395</v>
      </c>
      <c r="K27" s="1068">
        <f>IF(K$2&lt;=$C$52,0,'Opex PVC'!$E$77*(1+$C$51)^(K$2-$C$52-1))+'Cashflow Phenol Option 1-Ethane'!K18</f>
        <v>187.40777145335579</v>
      </c>
      <c r="L27" s="1068">
        <f>IF(L$2&lt;=$C$52,0,'Opex PVC'!$E$77*(1+$C$51)^(L$2-$C$52-1))+'Cashflow Phenol Option 1-Ethane'!L18</f>
        <v>195.84112116875673</v>
      </c>
      <c r="M27" s="1068">
        <f>IF(M$2&lt;=$C$52,0,'Opex PVC'!$E$77*(1+$C$51)^(M$2-$C$52-1))+'Cashflow Phenol Option 1-Ethane'!M18</f>
        <v>204.65397162135079</v>
      </c>
      <c r="N27" s="1068">
        <f>IF(N$2&lt;=$C$52,0,'Opex PVC'!$E$77*(1+$C$51)^(N$2-$C$52-1))+'Cashflow Phenol Option 1-Ethane'!N18</f>
        <v>213.86340034431151</v>
      </c>
      <c r="O27" s="1068">
        <f>IF(O$2&lt;=$C$52,0,'Opex PVC'!$E$77*(1+$C$51)^(O$2-$C$52-1))+'Cashflow Phenol Option 1-Ethane'!O18</f>
        <v>223.48725335980555</v>
      </c>
      <c r="P27" s="1068">
        <f>IF(P$2&lt;=$C$52,0,'Opex PVC'!$E$77*(1+$C$51)^(P$2-$C$52-1))+'Cashflow Phenol Option 1-Ethane'!P18</f>
        <v>233.54417976099674</v>
      </c>
      <c r="Q27" s="1068">
        <f>IF(Q$2&lt;=$C$52,0,'Opex PVC'!$E$77*(1+$C$51)^(Q$2-$C$52-1))+'Cashflow Phenol Option 1-Ethane'!Q18</f>
        <v>244.0536678502416</v>
      </c>
      <c r="R27" s="1068">
        <f>IF(R$2&lt;=$C$52,0,'Opex PVC'!$E$77*(1+$C$51)^(R$2-$C$52-1))+'Cashflow Phenol Option 1-Ethane'!R18</f>
        <v>255.0360829035024</v>
      </c>
      <c r="S27" s="1068">
        <f>IF(S$2&lt;=$C$52,0,'Opex PVC'!$E$77*(1+$C$51)^(S$2-$C$52-1))+'Cashflow Phenol Option 1-Ethane'!S18</f>
        <v>266.51270663416005</v>
      </c>
      <c r="T27" s="1068">
        <f>IF(T$2&lt;=$C$52,0,'Opex PVC'!$E$77*(1+$C$51)^(T$2-$C$52-1))+'Cashflow Phenol Option 1-Ethane'!T18</f>
        <v>278.50577843269718</v>
      </c>
      <c r="U27" s="1068">
        <f>IF(U$2&lt;=$C$52,0,'Opex PVC'!$E$77*(1+$C$51)^(U$2-$C$52-1))+'Cashflow Phenol Option 1-Ethane'!U18</f>
        <v>291.03853846216856</v>
      </c>
      <c r="V27" s="1068">
        <f>IF(V$2&lt;=$C$52,0,'Opex PVC'!$E$77*(1+$C$51)^(V$2-$C$52-1))+'Cashflow Phenol Option 1-Ethane'!V18</f>
        <v>304.13527269296605</v>
      </c>
      <c r="W27" s="1068">
        <f>IF(W$2&lt;=$C$52,0,'Opex PVC'!$E$77*(1+$C$51)^(W$2-$C$52-1))+'Cashflow Phenol Option 1-Ethane'!W18</f>
        <v>317.82135996414956</v>
      </c>
      <c r="X27" s="1068">
        <f>IF(X$2&lt;=$C$52,0,'Opex PVC'!$E$77*(1+$C$51)^(X$2-$C$52-1))+'Cashflow Phenol Option 1-Ethane'!X18</f>
        <v>332.12332116253617</v>
      </c>
      <c r="Y27" s="1068">
        <f>IF(Y$2&lt;=$C$52,0,'Opex PVC'!$E$77*(1+$C$51)^(Y$2-$C$52-1))+'Cashflow Phenol Option 1-Ethane'!Y18</f>
        <v>347.06887061485031</v>
      </c>
      <c r="Z27" s="1068">
        <f>IF(Z$2&lt;=$C$52,0,'Opex PVC'!$E$77*(1+$C$51)^(Z$2-$C$52-1))+'Cashflow Phenol Option 1-Ethane'!Z18</f>
        <v>362.68696979251843</v>
      </c>
    </row>
    <row r="28" spans="1:27" s="142" customFormat="1">
      <c r="A28" s="1071"/>
      <c r="B28" s="1088" t="s">
        <v>34</v>
      </c>
      <c r="C28" s="1088"/>
      <c r="D28" s="1088"/>
      <c r="E28" s="1088"/>
      <c r="F28" s="1088"/>
      <c r="G28" s="1089"/>
      <c r="H28" s="1075">
        <f t="shared" ref="H28:Q28" si="4">SUM(H22:H27)</f>
        <v>2540.6134066458785</v>
      </c>
      <c r="I28" s="1075">
        <f t="shared" si="4"/>
        <v>3052.8387271449997</v>
      </c>
      <c r="J28" s="1090">
        <f t="shared" si="4"/>
        <v>3324.2601086506934</v>
      </c>
      <c r="K28" s="1075">
        <f t="shared" si="4"/>
        <v>3509.1101792580844</v>
      </c>
      <c r="L28" s="1075">
        <f t="shared" si="4"/>
        <v>3701.8071304295668</v>
      </c>
      <c r="M28" s="1075">
        <f t="shared" si="4"/>
        <v>3906.3963984868328</v>
      </c>
      <c r="N28" s="1075">
        <f t="shared" si="4"/>
        <v>4122.0802541744033</v>
      </c>
      <c r="O28" s="1075">
        <f t="shared" si="4"/>
        <v>4350.2401732558646</v>
      </c>
      <c r="P28" s="1075">
        <f t="shared" si="4"/>
        <v>4592.9567587616566</v>
      </c>
      <c r="Q28" s="1075">
        <f t="shared" si="4"/>
        <v>4843.4819811831403</v>
      </c>
      <c r="R28" s="1075">
        <f t="shared" ref="R28:Z28" si="5">SUM(R22:R27)</f>
        <v>5108.8646661536432</v>
      </c>
      <c r="S28" s="1075">
        <f t="shared" si="5"/>
        <v>5389.3379994651687</v>
      </c>
      <c r="T28" s="1075">
        <f t="shared" si="5"/>
        <v>5683.8324308632436</v>
      </c>
      <c r="U28" s="1075">
        <f t="shared" si="5"/>
        <v>5994.2318775613439</v>
      </c>
      <c r="V28" s="1075">
        <f t="shared" si="5"/>
        <v>6321.5509102581254</v>
      </c>
      <c r="W28" s="1075">
        <f t="shared" si="5"/>
        <v>6669.1908920590049</v>
      </c>
      <c r="X28" s="1075">
        <f t="shared" si="5"/>
        <v>7036.6671822691042</v>
      </c>
      <c r="Y28" s="1075">
        <f t="shared" si="5"/>
        <v>7425.9449203819149</v>
      </c>
      <c r="Z28" s="1075">
        <f t="shared" si="5"/>
        <v>7834.8422786345627</v>
      </c>
    </row>
    <row r="29" spans="1:27" s="1096" customFormat="1">
      <c r="A29" s="1091"/>
      <c r="B29" s="1092" t="s">
        <v>13</v>
      </c>
      <c r="C29" s="1092"/>
      <c r="D29" s="1092"/>
      <c r="E29" s="1092"/>
      <c r="F29" s="1092"/>
      <c r="G29" s="1093"/>
      <c r="H29" s="1094"/>
      <c r="I29" s="1094"/>
      <c r="J29" s="1094">
        <f>J28-J27</f>
        <v>3144.9225283125538</v>
      </c>
      <c r="K29" s="1173"/>
      <c r="L29" s="1094"/>
      <c r="M29" s="1094"/>
      <c r="N29" s="1094"/>
      <c r="O29" s="1094"/>
      <c r="P29" s="1094"/>
      <c r="Q29" s="1094"/>
      <c r="R29" s="1095"/>
      <c r="S29" s="1095"/>
      <c r="T29" s="1095"/>
      <c r="U29" s="1095"/>
      <c r="V29" s="1095"/>
      <c r="W29" s="1095"/>
      <c r="X29" s="1095"/>
      <c r="Y29" s="1095"/>
      <c r="Z29" s="1095"/>
    </row>
    <row r="30" spans="1:27">
      <c r="A30" s="1162">
        <v>4</v>
      </c>
      <c r="B30" s="1163" t="s">
        <v>520</v>
      </c>
      <c r="C30" s="1163"/>
      <c r="D30" s="1163"/>
      <c r="E30" s="1163"/>
      <c r="F30" s="1163"/>
      <c r="G30" s="1098"/>
      <c r="H30" s="1099">
        <f t="shared" ref="H30:Z30" si="6">H15-H28</f>
        <v>1536.5959057316854</v>
      </c>
      <c r="I30" s="1099">
        <f t="shared" si="6"/>
        <v>2113.3200251362982</v>
      </c>
      <c r="J30" s="1099">
        <f t="shared" si="6"/>
        <v>2462.7619237507311</v>
      </c>
      <c r="K30" s="1099">
        <f t="shared" si="6"/>
        <v>2608.5821652521549</v>
      </c>
      <c r="L30" s="1099">
        <f t="shared" si="6"/>
        <v>2765.5026350463718</v>
      </c>
      <c r="M30" s="1099">
        <f t="shared" si="6"/>
        <v>2930.5659647034886</v>
      </c>
      <c r="N30" s="1099">
        <f t="shared" si="6"/>
        <v>3105.720546230842</v>
      </c>
      <c r="O30" s="1099">
        <f t="shared" si="6"/>
        <v>3290.8017675481324</v>
      </c>
      <c r="P30" s="1099">
        <f t="shared" si="6"/>
        <v>3485.0159042894147</v>
      </c>
      <c r="Q30" s="1099">
        <f t="shared" si="6"/>
        <v>3696.471913643094</v>
      </c>
      <c r="R30" s="1099">
        <f t="shared" si="6"/>
        <v>3919.5602133885268</v>
      </c>
      <c r="S30" s="1099">
        <f t="shared" si="6"/>
        <v>4155.5696897136268</v>
      </c>
      <c r="T30" s="1099">
        <f t="shared" si="6"/>
        <v>4407.1795665800109</v>
      </c>
      <c r="U30" s="1099">
        <f t="shared" si="6"/>
        <v>4674.2082507242212</v>
      </c>
      <c r="V30" s="1099">
        <f t="shared" si="6"/>
        <v>4957.4414854100633</v>
      </c>
      <c r="W30" s="1099">
        <f t="shared" si="6"/>
        <v>5255.3818593474934</v>
      </c>
      <c r="X30" s="1099">
        <f t="shared" si="6"/>
        <v>5570.5275765993847</v>
      </c>
      <c r="Y30" s="1099">
        <f t="shared" si="6"/>
        <v>5903.0429909683389</v>
      </c>
      <c r="Z30" s="1099">
        <f t="shared" si="6"/>
        <v>6257.3620363960717</v>
      </c>
    </row>
    <row r="31" spans="1:27">
      <c r="A31" s="1077"/>
      <c r="B31" s="1078" t="s">
        <v>36</v>
      </c>
      <c r="C31" s="1060">
        <f t="shared" ref="C31:E31" si="7">-C14</f>
        <v>-429.61</v>
      </c>
      <c r="D31" s="1060">
        <f t="shared" si="7"/>
        <v>-2148.0299999999997</v>
      </c>
      <c r="E31" s="1060">
        <f t="shared" si="7"/>
        <v>-3007.2400000000002</v>
      </c>
      <c r="F31" s="1060">
        <f>-F14</f>
        <v>-3007.2400000000002</v>
      </c>
      <c r="G31" s="1061"/>
      <c r="H31" s="1079">
        <f>H30+SUM(C31:F31)</f>
        <v>-7055.5240942683158</v>
      </c>
      <c r="I31" s="1079">
        <f t="shared" ref="I31:Z31" si="8">I30</f>
        <v>2113.3200251362982</v>
      </c>
      <c r="J31" s="1079">
        <f t="shared" si="8"/>
        <v>2462.7619237507311</v>
      </c>
      <c r="K31" s="1079">
        <f t="shared" si="8"/>
        <v>2608.5821652521549</v>
      </c>
      <c r="L31" s="1079">
        <f t="shared" si="8"/>
        <v>2765.5026350463718</v>
      </c>
      <c r="M31" s="1079">
        <f t="shared" si="8"/>
        <v>2930.5659647034886</v>
      </c>
      <c r="N31" s="1079">
        <f t="shared" si="8"/>
        <v>3105.720546230842</v>
      </c>
      <c r="O31" s="1079">
        <f t="shared" si="8"/>
        <v>3290.8017675481324</v>
      </c>
      <c r="P31" s="1079">
        <f t="shared" si="8"/>
        <v>3485.0159042894147</v>
      </c>
      <c r="Q31" s="1079">
        <f t="shared" si="8"/>
        <v>3696.471913643094</v>
      </c>
      <c r="R31" s="1079">
        <f t="shared" si="8"/>
        <v>3919.5602133885268</v>
      </c>
      <c r="S31" s="1079">
        <f t="shared" si="8"/>
        <v>4155.5696897136268</v>
      </c>
      <c r="T31" s="1079">
        <f t="shared" si="8"/>
        <v>4407.1795665800109</v>
      </c>
      <c r="U31" s="1079">
        <f t="shared" si="8"/>
        <v>4674.2082507242212</v>
      </c>
      <c r="V31" s="1079">
        <f t="shared" si="8"/>
        <v>4957.4414854100633</v>
      </c>
      <c r="W31" s="1079">
        <f t="shared" si="8"/>
        <v>5255.3818593474934</v>
      </c>
      <c r="X31" s="1079">
        <f t="shared" si="8"/>
        <v>5570.5275765993847</v>
      </c>
      <c r="Y31" s="1079">
        <f t="shared" si="8"/>
        <v>5903.0429909683389</v>
      </c>
      <c r="Z31" s="1079">
        <f t="shared" si="8"/>
        <v>6257.3620363960717</v>
      </c>
    </row>
    <row r="32" spans="1:27">
      <c r="A32" s="1157"/>
      <c r="B32" s="1084" t="s">
        <v>523</v>
      </c>
      <c r="C32" s="1159"/>
      <c r="D32" s="1159"/>
      <c r="E32" s="1159"/>
      <c r="F32" s="1159"/>
      <c r="G32" s="1082"/>
      <c r="H32" s="709">
        <f>H30/H15</f>
        <v>0.37687442267604415</v>
      </c>
      <c r="I32" s="709">
        <f t="shared" ref="I32:Z32" si="9">I30/I15</f>
        <v>0.40906989631379176</v>
      </c>
      <c r="J32" s="709">
        <f t="shared" si="9"/>
        <v>0.42556636383303442</v>
      </c>
      <c r="K32" s="709">
        <f t="shared" si="9"/>
        <v>0.42639969752532381</v>
      </c>
      <c r="L32" s="709">
        <f t="shared" si="9"/>
        <v>0.42761252133140315</v>
      </c>
      <c r="M32" s="709">
        <f t="shared" si="9"/>
        <v>0.42863567312896589</v>
      </c>
      <c r="N32" s="709">
        <f t="shared" si="9"/>
        <v>0.4296909436210129</v>
      </c>
      <c r="O32" s="709">
        <f t="shared" si="9"/>
        <v>0.43067448039708983</v>
      </c>
      <c r="P32" s="709">
        <f t="shared" si="9"/>
        <v>0.43142209681273114</v>
      </c>
      <c r="Q32" s="709">
        <f t="shared" si="9"/>
        <v>0.43284448126617286</v>
      </c>
      <c r="R32" s="709">
        <f t="shared" si="9"/>
        <v>0.43413555140387755</v>
      </c>
      <c r="S32" s="709">
        <f t="shared" si="9"/>
        <v>0.43537033830351846</v>
      </c>
      <c r="T32" s="709">
        <f t="shared" si="9"/>
        <v>0.43674307073429819</v>
      </c>
      <c r="U32" s="709">
        <f t="shared" si="9"/>
        <v>0.43813417842889218</v>
      </c>
      <c r="V32" s="709">
        <f t="shared" si="9"/>
        <v>0.43952875500776284</v>
      </c>
      <c r="W32" s="709">
        <f t="shared" si="9"/>
        <v>0.44071867134423104</v>
      </c>
      <c r="X32" s="709">
        <f t="shared" si="9"/>
        <v>0.44185305955401505</v>
      </c>
      <c r="Y32" s="709">
        <f t="shared" si="9"/>
        <v>0.44287255943428555</v>
      </c>
      <c r="Z32" s="709">
        <f t="shared" si="9"/>
        <v>0.44403003934040458</v>
      </c>
    </row>
    <row r="33" spans="1:27">
      <c r="A33" s="1157"/>
      <c r="B33" s="1084" t="s">
        <v>37</v>
      </c>
      <c r="C33" s="1159"/>
      <c r="D33" s="1159"/>
      <c r="E33" s="1159"/>
      <c r="F33" s="1159"/>
      <c r="G33" s="1082">
        <v>1</v>
      </c>
      <c r="H33" s="1068">
        <f>G33/(1+0.1)</f>
        <v>0.90909090909090906</v>
      </c>
      <c r="I33" s="1068">
        <f>H33/(1+0.1)</f>
        <v>0.82644628099173545</v>
      </c>
      <c r="J33" s="1068">
        <f t="shared" ref="J33:Z33" si="10">I33/(1+0.1)</f>
        <v>0.75131480090157765</v>
      </c>
      <c r="K33" s="1068">
        <f t="shared" si="10"/>
        <v>0.68301345536507052</v>
      </c>
      <c r="L33" s="1068">
        <f t="shared" si="10"/>
        <v>0.62092132305915493</v>
      </c>
      <c r="M33" s="1068">
        <f t="shared" si="10"/>
        <v>0.56447393005377711</v>
      </c>
      <c r="N33" s="1068">
        <f t="shared" si="10"/>
        <v>0.51315811823070645</v>
      </c>
      <c r="O33" s="1068">
        <f t="shared" si="10"/>
        <v>0.46650738020973309</v>
      </c>
      <c r="P33" s="1068">
        <f t="shared" si="10"/>
        <v>0.42409761837248461</v>
      </c>
      <c r="Q33" s="1068">
        <f t="shared" si="10"/>
        <v>0.38554328942953142</v>
      </c>
      <c r="R33" s="1068">
        <f t="shared" si="10"/>
        <v>0.35049389948139215</v>
      </c>
      <c r="S33" s="1068">
        <f t="shared" si="10"/>
        <v>0.31863081771035645</v>
      </c>
      <c r="T33" s="1068">
        <f t="shared" si="10"/>
        <v>0.28966437973668768</v>
      </c>
      <c r="U33" s="1068">
        <f t="shared" si="10"/>
        <v>0.26333125430607968</v>
      </c>
      <c r="V33" s="1068">
        <f t="shared" si="10"/>
        <v>0.23939204936916333</v>
      </c>
      <c r="W33" s="1068">
        <f t="shared" si="10"/>
        <v>0.21762913579014848</v>
      </c>
      <c r="X33" s="1068">
        <f t="shared" si="10"/>
        <v>0.19784466890013497</v>
      </c>
      <c r="Y33" s="1068">
        <f t="shared" si="10"/>
        <v>0.17985878990921358</v>
      </c>
      <c r="Z33" s="1068">
        <f t="shared" si="10"/>
        <v>0.16350799082655779</v>
      </c>
    </row>
    <row r="34" spans="1:27" hidden="1">
      <c r="A34" s="1157"/>
      <c r="B34" s="1159" t="s">
        <v>38</v>
      </c>
      <c r="C34" s="1060"/>
      <c r="D34" s="1060"/>
      <c r="E34" s="1060"/>
      <c r="F34" s="1060"/>
      <c r="G34" s="672"/>
      <c r="H34" s="657">
        <f>H31*H33</f>
        <v>-6414.112812971196</v>
      </c>
      <c r="I34" s="657">
        <f t="shared" ref="I34:Z34" si="11">I31*I33</f>
        <v>1746.5454753192546</v>
      </c>
      <c r="J34" s="657">
        <f t="shared" si="11"/>
        <v>1850.3094844107668</v>
      </c>
      <c r="K34" s="657">
        <f t="shared" si="11"/>
        <v>1781.6967182925716</v>
      </c>
      <c r="L34" s="657">
        <f t="shared" si="11"/>
        <v>1717.1595550765724</v>
      </c>
      <c r="M34" s="657">
        <f t="shared" si="11"/>
        <v>1654.2280873780169</v>
      </c>
      <c r="N34" s="657">
        <f t="shared" si="11"/>
        <v>1593.7257112542607</v>
      </c>
      <c r="O34" s="657">
        <f t="shared" si="11"/>
        <v>1535.1833113684384</v>
      </c>
      <c r="P34" s="657">
        <f t="shared" si="11"/>
        <v>1477.9869449993716</v>
      </c>
      <c r="Q34" s="657">
        <f t="shared" si="11"/>
        <v>1425.1499408698332</v>
      </c>
      <c r="R34" s="657">
        <f t="shared" si="11"/>
        <v>1373.7819434426622</v>
      </c>
      <c r="S34" s="657">
        <f t="shared" si="11"/>
        <v>1324.0925682858251</v>
      </c>
      <c r="T34" s="657">
        <f t="shared" si="11"/>
        <v>1276.6029355416028</v>
      </c>
      <c r="U34" s="657">
        <f t="shared" si="11"/>
        <v>1230.8651215510358</v>
      </c>
      <c r="V34" s="657">
        <f t="shared" si="11"/>
        <v>1186.7720768200243</v>
      </c>
      <c r="W34" s="657">
        <f t="shared" si="11"/>
        <v>1143.7242122970185</v>
      </c>
      <c r="X34" s="657">
        <f t="shared" si="11"/>
        <v>1102.0991839913765</v>
      </c>
      <c r="Y34" s="657">
        <f t="shared" si="11"/>
        <v>1061.7141691376303</v>
      </c>
      <c r="Z34" s="657">
        <f t="shared" si="11"/>
        <v>1023.1286944454998</v>
      </c>
    </row>
    <row r="35" spans="1:27" hidden="1">
      <c r="A35" s="1157"/>
      <c r="B35" s="1159" t="s">
        <v>39</v>
      </c>
      <c r="C35" s="1159"/>
      <c r="D35" s="1159"/>
      <c r="E35" s="1159"/>
      <c r="F35" s="1159"/>
      <c r="G35" s="672"/>
      <c r="H35" s="657">
        <f>H31</f>
        <v>-7055.5240942683158</v>
      </c>
      <c r="I35" s="657">
        <f t="shared" ref="I35:Z35" si="12">I31</f>
        <v>2113.3200251362982</v>
      </c>
      <c r="J35" s="657">
        <f t="shared" si="12"/>
        <v>2462.7619237507311</v>
      </c>
      <c r="K35" s="657">
        <f t="shared" si="12"/>
        <v>2608.5821652521549</v>
      </c>
      <c r="L35" s="657">
        <f t="shared" si="12"/>
        <v>2765.5026350463718</v>
      </c>
      <c r="M35" s="657">
        <f t="shared" si="12"/>
        <v>2930.5659647034886</v>
      </c>
      <c r="N35" s="657">
        <f t="shared" si="12"/>
        <v>3105.720546230842</v>
      </c>
      <c r="O35" s="657">
        <f t="shared" si="12"/>
        <v>3290.8017675481324</v>
      </c>
      <c r="P35" s="657">
        <f t="shared" si="12"/>
        <v>3485.0159042894147</v>
      </c>
      <c r="Q35" s="657">
        <f t="shared" si="12"/>
        <v>3696.471913643094</v>
      </c>
      <c r="R35" s="657">
        <f t="shared" si="12"/>
        <v>3919.5602133885268</v>
      </c>
      <c r="S35" s="657">
        <f t="shared" si="12"/>
        <v>4155.5696897136268</v>
      </c>
      <c r="T35" s="657">
        <f t="shared" si="12"/>
        <v>4407.1795665800109</v>
      </c>
      <c r="U35" s="657">
        <f t="shared" si="12"/>
        <v>4674.2082507242212</v>
      </c>
      <c r="V35" s="657">
        <f t="shared" si="12"/>
        <v>4957.4414854100633</v>
      </c>
      <c r="W35" s="657">
        <f t="shared" si="12"/>
        <v>5255.3818593474934</v>
      </c>
      <c r="X35" s="657">
        <f t="shared" si="12"/>
        <v>5570.5275765993847</v>
      </c>
      <c r="Y35" s="657">
        <f t="shared" si="12"/>
        <v>5903.0429909683389</v>
      </c>
      <c r="Z35" s="657">
        <f t="shared" si="12"/>
        <v>6257.3620363960717</v>
      </c>
    </row>
    <row r="36" spans="1:27" hidden="1">
      <c r="A36" s="1158"/>
      <c r="B36" s="1160" t="s">
        <v>495</v>
      </c>
      <c r="C36" s="1160"/>
      <c r="D36" s="1160"/>
      <c r="E36" s="1160"/>
      <c r="F36" s="1160"/>
      <c r="G36" s="676"/>
      <c r="H36" s="677">
        <f>H31</f>
        <v>-7055.5240942683158</v>
      </c>
      <c r="I36" s="677">
        <f>H36+I31</f>
        <v>-4942.204069132018</v>
      </c>
      <c r="J36" s="677">
        <f t="shared" ref="J36:Z36" si="13">I36+J31</f>
        <v>-2479.442145381287</v>
      </c>
      <c r="K36" s="677">
        <f t="shared" si="13"/>
        <v>129.14001987086795</v>
      </c>
      <c r="L36" s="677">
        <f t="shared" si="13"/>
        <v>2894.6426549172397</v>
      </c>
      <c r="M36" s="677">
        <f t="shared" si="13"/>
        <v>5825.2086196207283</v>
      </c>
      <c r="N36" s="677">
        <f t="shared" si="13"/>
        <v>8930.9291658515704</v>
      </c>
      <c r="O36" s="677">
        <f t="shared" si="13"/>
        <v>12221.730933399704</v>
      </c>
      <c r="P36" s="677">
        <f t="shared" si="13"/>
        <v>15706.746837689119</v>
      </c>
      <c r="Q36" s="677">
        <f t="shared" si="13"/>
        <v>19403.218751332213</v>
      </c>
      <c r="R36" s="677">
        <f t="shared" si="13"/>
        <v>23322.778964720739</v>
      </c>
      <c r="S36" s="677">
        <f t="shared" si="13"/>
        <v>27478.348654434365</v>
      </c>
      <c r="T36" s="677">
        <f t="shared" si="13"/>
        <v>31885.528221014378</v>
      </c>
      <c r="U36" s="677">
        <f t="shared" si="13"/>
        <v>36559.736471738601</v>
      </c>
      <c r="V36" s="677">
        <f t="shared" si="13"/>
        <v>41517.177957148662</v>
      </c>
      <c r="W36" s="677">
        <f t="shared" si="13"/>
        <v>46772.559816496156</v>
      </c>
      <c r="X36" s="677">
        <f t="shared" si="13"/>
        <v>52343.087393095542</v>
      </c>
      <c r="Y36" s="677">
        <f t="shared" si="13"/>
        <v>58246.130384063879</v>
      </c>
      <c r="Z36" s="677">
        <f t="shared" si="13"/>
        <v>64503.492420459952</v>
      </c>
    </row>
    <row r="37" spans="1:27">
      <c r="A37" s="1157"/>
      <c r="B37" s="1159"/>
      <c r="C37" s="1159"/>
      <c r="D37" s="1159"/>
      <c r="E37" s="1159"/>
      <c r="F37" s="1159"/>
      <c r="G37" s="1082"/>
      <c r="H37" s="657"/>
      <c r="I37" s="657"/>
      <c r="J37" s="657"/>
      <c r="K37" s="657"/>
      <c r="L37" s="657"/>
      <c r="M37" s="657"/>
      <c r="N37" s="657"/>
      <c r="O37" s="657"/>
      <c r="P37" s="657"/>
      <c r="Q37" s="657"/>
      <c r="R37" s="657"/>
      <c r="S37" s="657"/>
      <c r="T37" s="657"/>
      <c r="U37" s="657"/>
      <c r="V37" s="657"/>
      <c r="W37" s="657"/>
      <c r="X37" s="657"/>
      <c r="Y37" s="657"/>
      <c r="Z37" s="657"/>
    </row>
    <row r="38" spans="1:27">
      <c r="A38" s="1157"/>
      <c r="B38" s="1159"/>
      <c r="C38" s="1159"/>
      <c r="D38" s="1159"/>
      <c r="E38" s="1159"/>
      <c r="F38" s="1159"/>
      <c r="G38" s="1082"/>
      <c r="H38" s="657"/>
      <c r="I38" s="657"/>
      <c r="J38" s="657"/>
      <c r="K38" s="657"/>
      <c r="L38" s="657"/>
      <c r="M38" s="657"/>
      <c r="N38" s="657"/>
      <c r="O38" s="657"/>
      <c r="P38" s="657"/>
      <c r="Q38" s="657"/>
      <c r="R38" s="657"/>
      <c r="S38" s="657"/>
      <c r="T38" s="657"/>
      <c r="U38" s="657"/>
      <c r="V38" s="657"/>
      <c r="W38" s="657"/>
      <c r="X38" s="657"/>
      <c r="Y38" s="657"/>
      <c r="Z38" s="657"/>
    </row>
    <row r="39" spans="1:27">
      <c r="A39" s="1157"/>
      <c r="B39" s="1100" t="s">
        <v>40</v>
      </c>
      <c r="C39" s="1101"/>
      <c r="D39" s="1101"/>
      <c r="E39" s="1101"/>
      <c r="F39" s="1101"/>
      <c r="G39" s="1102">
        <f>NPV(0%,(H34:Z34))</f>
        <v>19090.653321510563</v>
      </c>
      <c r="H39" s="1103"/>
      <c r="I39" s="1068"/>
      <c r="J39" s="1068"/>
      <c r="K39" s="1068"/>
      <c r="L39" s="1068"/>
      <c r="M39" s="1068"/>
      <c r="N39" s="1068"/>
      <c r="O39" s="1068"/>
      <c r="P39" s="1068"/>
      <c r="Q39" s="1068"/>
      <c r="R39" s="1068"/>
      <c r="S39" s="1068"/>
      <c r="T39" s="1068"/>
      <c r="U39" s="1068"/>
      <c r="V39" s="1068"/>
      <c r="W39" s="1068"/>
      <c r="X39" s="1068"/>
      <c r="Y39" s="1068"/>
      <c r="Z39" s="1068"/>
    </row>
    <row r="40" spans="1:27">
      <c r="A40" s="1157"/>
      <c r="B40" s="1104" t="s">
        <v>41</v>
      </c>
      <c r="C40" s="1105"/>
      <c r="D40" s="1105"/>
      <c r="E40" s="1105"/>
      <c r="F40" s="1105"/>
      <c r="G40" s="1106">
        <f>IRR(C31:Z31,0.1)</f>
        <v>0.15805805526115613</v>
      </c>
      <c r="H40" s="1107"/>
      <c r="I40" s="1068"/>
      <c r="J40" s="1068"/>
      <c r="K40" s="1068"/>
      <c r="L40" s="1068"/>
      <c r="M40" s="1068"/>
      <c r="N40" s="1068"/>
      <c r="O40" s="1068"/>
      <c r="P40" s="1068"/>
      <c r="Q40" s="1068"/>
      <c r="R40" s="1068"/>
      <c r="S40" s="1068"/>
      <c r="T40" s="1068"/>
      <c r="U40" s="1068"/>
      <c r="V40" s="1068"/>
      <c r="W40" s="1068"/>
      <c r="X40" s="1068"/>
      <c r="Y40" s="1068"/>
      <c r="Z40" s="1068"/>
    </row>
    <row r="41" spans="1:27">
      <c r="A41" s="1157"/>
      <c r="B41" s="1108" t="s">
        <v>582</v>
      </c>
      <c r="C41" s="1109"/>
      <c r="D41" s="1109"/>
      <c r="E41" s="1109"/>
      <c r="F41" s="1109"/>
      <c r="G41" s="1110">
        <f>IF(SUM(H46:Z46)&lt;=25,SUM(H46:Z46)," N/A ")</f>
        <v>3.9504941720482916</v>
      </c>
      <c r="H41" s="1111"/>
      <c r="I41" s="1068"/>
      <c r="J41" s="1068"/>
      <c r="K41" s="1068"/>
      <c r="L41" s="1068"/>
      <c r="M41" s="1068"/>
      <c r="N41" s="1068"/>
      <c r="O41" s="1068"/>
      <c r="P41" s="1068"/>
      <c r="Q41" s="1068"/>
      <c r="R41" s="1068"/>
      <c r="S41" s="1068"/>
      <c r="T41" s="1068"/>
      <c r="U41" s="1068"/>
      <c r="V41" s="1068"/>
      <c r="W41" s="1068"/>
      <c r="X41" s="1068"/>
      <c r="Y41" s="1068"/>
      <c r="Z41" s="1068"/>
    </row>
    <row r="42" spans="1:27" ht="16.5" customHeight="1">
      <c r="A42" s="1157"/>
      <c r="B42" s="1112" t="s">
        <v>583</v>
      </c>
      <c r="C42" s="1113"/>
      <c r="D42" s="1113"/>
      <c r="E42" s="1113"/>
      <c r="F42" s="1113"/>
      <c r="G42" s="1114">
        <f>IF(SUM(H47:Z47)&lt;=25,SUM(H47:Z47)," N/A ")</f>
        <v>4.3916185172959041</v>
      </c>
      <c r="H42" s="1115"/>
      <c r="I42" s="1068"/>
      <c r="J42" s="1068"/>
      <c r="K42" s="1068"/>
      <c r="L42" s="1068"/>
      <c r="M42" s="1068"/>
      <c r="N42" s="1068"/>
      <c r="O42" s="1068"/>
      <c r="P42" s="1068"/>
      <c r="Q42" s="1068"/>
      <c r="R42" s="1068"/>
      <c r="S42" s="1068"/>
      <c r="T42" s="1068"/>
      <c r="U42" s="1068"/>
      <c r="V42" s="1068"/>
      <c r="W42" s="1068"/>
      <c r="X42" s="1068"/>
      <c r="Y42" s="1068"/>
      <c r="Z42" s="1068"/>
    </row>
    <row r="43" spans="1:27" ht="19.5" customHeight="1">
      <c r="A43" s="313"/>
      <c r="H43" s="693">
        <v>1</v>
      </c>
      <c r="I43" s="1116">
        <v>2</v>
      </c>
      <c r="J43" s="1116">
        <v>3</v>
      </c>
      <c r="K43" s="1116">
        <v>4</v>
      </c>
      <c r="L43" s="1116">
        <v>5</v>
      </c>
      <c r="M43" s="1116">
        <v>6</v>
      </c>
      <c r="N43" s="1116">
        <v>7</v>
      </c>
      <c r="O43" s="1116">
        <v>8</v>
      </c>
      <c r="P43" s="1116">
        <v>9</v>
      </c>
      <c r="Q43" s="1116">
        <v>10</v>
      </c>
      <c r="R43" s="1116">
        <v>11</v>
      </c>
      <c r="S43" s="1116">
        <v>12</v>
      </c>
      <c r="T43" s="1116">
        <v>13</v>
      </c>
      <c r="U43" s="1116">
        <v>14</v>
      </c>
      <c r="V43" s="1116">
        <v>15</v>
      </c>
      <c r="W43" s="1116">
        <v>16</v>
      </c>
      <c r="X43" s="1116">
        <v>17</v>
      </c>
      <c r="Y43" s="1116">
        <v>18</v>
      </c>
      <c r="Z43" s="1117">
        <v>19</v>
      </c>
    </row>
    <row r="44" spans="1:27" ht="14.25" customHeight="1">
      <c r="A44" s="1165"/>
      <c r="B44" s="1118" t="s">
        <v>502</v>
      </c>
      <c r="H44" s="693">
        <f>IF(H36&lt;0,1,IF(H35=0,0,-G36/H35))</f>
        <v>1</v>
      </c>
      <c r="I44" s="693">
        <f t="shared" ref="I44:Z44" si="14">IF(I36&lt;0,1,IF(I35=0,0,-H36/I35))</f>
        <v>1</v>
      </c>
      <c r="J44" s="693">
        <f t="shared" si="14"/>
        <v>1</v>
      </c>
      <c r="K44" s="693">
        <f t="shared" si="14"/>
        <v>0.95049417204829167</v>
      </c>
      <c r="L44" s="693">
        <f t="shared" si="14"/>
        <v>-4.6696762546640111E-2</v>
      </c>
      <c r="M44" s="693">
        <f t="shared" si="14"/>
        <v>-0.98774185252305569</v>
      </c>
      <c r="N44" s="693">
        <f t="shared" si="14"/>
        <v>-1.8756383689093681</v>
      </c>
      <c r="O44" s="693">
        <f t="shared" si="14"/>
        <v>-2.7139067609367764</v>
      </c>
      <c r="P44" s="693">
        <f t="shared" si="14"/>
        <v>-3.5069369176642771</v>
      </c>
      <c r="Q44" s="693">
        <f t="shared" si="14"/>
        <v>-4.2491184038807379</v>
      </c>
      <c r="R44" s="693">
        <f t="shared" si="14"/>
        <v>-4.9503560846072059</v>
      </c>
      <c r="S44" s="693">
        <f t="shared" si="14"/>
        <v>-5.612414351382947</v>
      </c>
      <c r="T44" s="693">
        <f t="shared" si="14"/>
        <v>-6.2349056214556908</v>
      </c>
      <c r="U44" s="693">
        <f t="shared" si="14"/>
        <v>-6.8215891356731992</v>
      </c>
      <c r="V44" s="693">
        <f t="shared" si="14"/>
        <v>-7.3747187091033313</v>
      </c>
      <c r="W44" s="693">
        <f t="shared" si="14"/>
        <v>-7.8999355457499378</v>
      </c>
      <c r="X44" s="693">
        <f t="shared" si="14"/>
        <v>-8.3964326849359558</v>
      </c>
      <c r="Y44" s="693">
        <f t="shared" si="14"/>
        <v>-8.8671364028994049</v>
      </c>
      <c r="Z44" s="695">
        <f t="shared" si="14"/>
        <v>-9.3084162375892738</v>
      </c>
    </row>
    <row r="45" spans="1:27">
      <c r="A45" s="82"/>
      <c r="B45" s="1118" t="s">
        <v>503</v>
      </c>
      <c r="H45" s="693">
        <f>IF(H36&lt;0,1,IF(H34=0,0,-G36/H34))</f>
        <v>1</v>
      </c>
      <c r="I45" s="693">
        <f>IF(I36&lt;0,1,IF(I34=0,0,-H36/I34))</f>
        <v>1</v>
      </c>
      <c r="J45" s="693">
        <f t="shared" ref="J45:Z45" si="15">IF(J36&lt;0,1,IF(J34=0,0,-I36/J34))</f>
        <v>1</v>
      </c>
      <c r="K45" s="693">
        <f t="shared" si="15"/>
        <v>1.3916185172959044</v>
      </c>
      <c r="L45" s="693">
        <f t="shared" si="15"/>
        <v>-7.5205603048989392E-2</v>
      </c>
      <c r="M45" s="693">
        <f t="shared" si="15"/>
        <v>-1.749844943997598</v>
      </c>
      <c r="N45" s="693">
        <f t="shared" si="15"/>
        <v>-3.6550885629097962</v>
      </c>
      <c r="O45" s="693">
        <f t="shared" si="15"/>
        <v>-5.8175001641274227</v>
      </c>
      <c r="P45" s="693">
        <f t="shared" si="15"/>
        <v>-8.2691738074891443</v>
      </c>
      <c r="Q45" s="693">
        <f t="shared" si="15"/>
        <v>-11.021118822137819</v>
      </c>
      <c r="R45" s="693">
        <f t="shared" si="15"/>
        <v>-14.123943646186124</v>
      </c>
      <c r="S45" s="693">
        <f t="shared" si="15"/>
        <v>-17.614160462296446</v>
      </c>
      <c r="T45" s="693">
        <f t="shared" si="15"/>
        <v>-21.524585201409231</v>
      </c>
      <c r="U45" s="693">
        <f t="shared" si="15"/>
        <v>-25.904973390451453</v>
      </c>
      <c r="V45" s="693">
        <f t="shared" si="15"/>
        <v>-30.806030227557283</v>
      </c>
      <c r="W45" s="693">
        <f t="shared" si="15"/>
        <v>-36.299990426684168</v>
      </c>
      <c r="X45" s="693">
        <f t="shared" si="15"/>
        <v>-42.439519505952319</v>
      </c>
      <c r="Y45" s="693">
        <f t="shared" si="15"/>
        <v>-49.300545207577706</v>
      </c>
      <c r="Z45" s="695">
        <f t="shared" si="15"/>
        <v>-56.9294270606214</v>
      </c>
    </row>
    <row r="46" spans="1:27">
      <c r="A46" s="1165"/>
      <c r="B46" s="1118" t="s">
        <v>584</v>
      </c>
      <c r="H46" s="1119">
        <f>IF(H44&gt;0,H44,0)</f>
        <v>1</v>
      </c>
      <c r="I46" s="1119">
        <f t="shared" ref="I46:Z47" si="16">IF(I44&gt;0,I44,0)</f>
        <v>1</v>
      </c>
      <c r="J46" s="1119">
        <f t="shared" si="16"/>
        <v>1</v>
      </c>
      <c r="K46" s="1119">
        <f t="shared" si="16"/>
        <v>0.95049417204829167</v>
      </c>
      <c r="L46" s="1119">
        <f t="shared" si="16"/>
        <v>0</v>
      </c>
      <c r="M46" s="1119">
        <f t="shared" si="16"/>
        <v>0</v>
      </c>
      <c r="N46" s="1119">
        <f t="shared" si="16"/>
        <v>0</v>
      </c>
      <c r="O46" s="1119">
        <f t="shared" si="16"/>
        <v>0</v>
      </c>
      <c r="P46" s="1119">
        <f t="shared" si="16"/>
        <v>0</v>
      </c>
      <c r="Q46" s="1119">
        <f t="shared" si="16"/>
        <v>0</v>
      </c>
      <c r="R46" s="1119">
        <f t="shared" si="16"/>
        <v>0</v>
      </c>
      <c r="S46" s="1119">
        <f t="shared" si="16"/>
        <v>0</v>
      </c>
      <c r="T46" s="1119">
        <f t="shared" si="16"/>
        <v>0</v>
      </c>
      <c r="U46" s="1119">
        <f t="shared" si="16"/>
        <v>0</v>
      </c>
      <c r="V46" s="1119">
        <f t="shared" si="16"/>
        <v>0</v>
      </c>
      <c r="W46" s="1119">
        <f t="shared" si="16"/>
        <v>0</v>
      </c>
      <c r="X46" s="1119">
        <f t="shared" si="16"/>
        <v>0</v>
      </c>
      <c r="Y46" s="1119">
        <f t="shared" si="16"/>
        <v>0</v>
      </c>
      <c r="Z46" s="1120">
        <f t="shared" si="16"/>
        <v>0</v>
      </c>
      <c r="AA46" s="1120"/>
    </row>
    <row r="47" spans="1:27">
      <c r="A47" s="1165"/>
      <c r="B47" s="1121" t="s">
        <v>585</v>
      </c>
      <c r="C47" s="843"/>
      <c r="D47" s="843"/>
      <c r="E47" s="843"/>
      <c r="F47" s="843"/>
      <c r="G47" s="843"/>
      <c r="H47" s="1122">
        <f>IF(H45&gt;0,H45,0)</f>
        <v>1</v>
      </c>
      <c r="I47" s="1122">
        <f t="shared" si="16"/>
        <v>1</v>
      </c>
      <c r="J47" s="1122">
        <f t="shared" si="16"/>
        <v>1</v>
      </c>
      <c r="K47" s="1122">
        <f t="shared" si="16"/>
        <v>1.3916185172959044</v>
      </c>
      <c r="L47" s="1122">
        <f t="shared" si="16"/>
        <v>0</v>
      </c>
      <c r="M47" s="1122">
        <f t="shared" si="16"/>
        <v>0</v>
      </c>
      <c r="N47" s="1122">
        <f t="shared" si="16"/>
        <v>0</v>
      </c>
      <c r="O47" s="1122">
        <f t="shared" si="16"/>
        <v>0</v>
      </c>
      <c r="P47" s="1122">
        <f t="shared" si="16"/>
        <v>0</v>
      </c>
      <c r="Q47" s="1122">
        <f t="shared" si="16"/>
        <v>0</v>
      </c>
      <c r="R47" s="1122">
        <f t="shared" si="16"/>
        <v>0</v>
      </c>
      <c r="S47" s="1122">
        <f t="shared" si="16"/>
        <v>0</v>
      </c>
      <c r="T47" s="1122">
        <f t="shared" si="16"/>
        <v>0</v>
      </c>
      <c r="U47" s="1122">
        <f t="shared" si="16"/>
        <v>0</v>
      </c>
      <c r="V47" s="1122">
        <f t="shared" si="16"/>
        <v>0</v>
      </c>
      <c r="W47" s="1122">
        <f t="shared" si="16"/>
        <v>0</v>
      </c>
      <c r="X47" s="1122">
        <f t="shared" si="16"/>
        <v>0</v>
      </c>
      <c r="Y47" s="1122">
        <f t="shared" si="16"/>
        <v>0</v>
      </c>
      <c r="Z47" s="1123">
        <f t="shared" si="16"/>
        <v>0</v>
      </c>
    </row>
    <row r="48" spans="1:27">
      <c r="H48" s="1"/>
      <c r="I48" s="1"/>
      <c r="J48" s="1"/>
      <c r="K48" s="1"/>
      <c r="L48" s="1"/>
      <c r="M48" s="1"/>
      <c r="N48" s="1"/>
      <c r="O48" s="1"/>
      <c r="P48" s="1"/>
      <c r="Q48" s="1"/>
      <c r="R48" s="1"/>
      <c r="S48" s="1"/>
      <c r="T48" s="1"/>
      <c r="U48" s="1"/>
      <c r="V48" s="1"/>
      <c r="W48" s="1"/>
      <c r="X48" s="1"/>
      <c r="Y48" s="1"/>
      <c r="Z48" s="1"/>
    </row>
    <row r="49" spans="1:26">
      <c r="A49" s="1"/>
      <c r="H49" s="1"/>
      <c r="I49" s="1"/>
      <c r="J49" s="1"/>
      <c r="K49" s="1"/>
      <c r="L49" s="1"/>
      <c r="M49" s="1"/>
      <c r="N49" s="1"/>
      <c r="O49" s="1"/>
      <c r="P49" s="1"/>
      <c r="Q49" s="1"/>
      <c r="R49" s="1"/>
      <c r="S49" s="1"/>
      <c r="T49" s="1"/>
      <c r="U49" s="1"/>
      <c r="V49" s="1"/>
      <c r="W49" s="1"/>
      <c r="X49" s="1"/>
      <c r="Y49" s="1"/>
      <c r="Z49" s="1"/>
    </row>
    <row r="50" spans="1:26">
      <c r="A50" s="1"/>
      <c r="I50" s="1161"/>
      <c r="J50" s="1447"/>
      <c r="K50" s="1447"/>
      <c r="L50" s="1447"/>
      <c r="M50" s="1447"/>
      <c r="N50" s="1447"/>
    </row>
    <row r="51" spans="1:26">
      <c r="A51" s="1"/>
      <c r="B51" s="1125" t="s">
        <v>586</v>
      </c>
      <c r="C51" s="1126">
        <v>4.4999999999999998E-2</v>
      </c>
    </row>
    <row r="52" spans="1:26">
      <c r="A52" s="1"/>
      <c r="B52" s="1125" t="s">
        <v>456</v>
      </c>
      <c r="C52" s="1127">
        <v>4</v>
      </c>
      <c r="L52" s="1128"/>
      <c r="M52" s="1128"/>
      <c r="N52" s="1128"/>
      <c r="O52" s="1128"/>
      <c r="P52" s="1128"/>
      <c r="Q52" s="1128"/>
    </row>
    <row r="53" spans="1:26">
      <c r="A53" s="1"/>
    </row>
    <row r="54" spans="1:26">
      <c r="B54" s="1129" t="s">
        <v>587</v>
      </c>
      <c r="C54" s="1129"/>
      <c r="D54" s="1129"/>
      <c r="E54" s="1129"/>
      <c r="F54" s="1129"/>
      <c r="G54" s="1129"/>
      <c r="H54" s="922">
        <f t="shared" ref="H54:Z54" si="17">H16/((350000)*H3)*10^7</f>
        <v>74749.50916666667</v>
      </c>
      <c r="I54" s="922">
        <f t="shared" si="17"/>
        <v>79050.595924116657</v>
      </c>
      <c r="J54" s="922">
        <f t="shared" si="17"/>
        <v>83599.167213590321</v>
      </c>
      <c r="K54" s="922">
        <f t="shared" si="17"/>
        <v>88409.463295060283</v>
      </c>
      <c r="L54" s="922">
        <f t="shared" si="17"/>
        <v>93496.543813058059</v>
      </c>
      <c r="M54" s="922">
        <f t="shared" si="17"/>
        <v>98876.334944061411</v>
      </c>
      <c r="N54" s="922">
        <f t="shared" si="17"/>
        <v>104565.67925674266</v>
      </c>
      <c r="O54" s="922">
        <f t="shared" si="17"/>
        <v>110582.38844117564</v>
      </c>
      <c r="P54" s="922">
        <f t="shared" si="17"/>
        <v>116945.29907208083</v>
      </c>
      <c r="Q54" s="922">
        <f t="shared" si="17"/>
        <v>123674.33158068836</v>
      </c>
      <c r="R54" s="922">
        <f t="shared" si="17"/>
        <v>130790.55261984115</v>
      </c>
      <c r="S54" s="922">
        <f t="shared" si="17"/>
        <v>138316.24101758681</v>
      </c>
      <c r="T54" s="922">
        <f t="shared" si="17"/>
        <v>146274.95752573875</v>
      </c>
      <c r="U54" s="922">
        <f t="shared" si="17"/>
        <v>154691.61858176976</v>
      </c>
      <c r="V54" s="922">
        <f t="shared" si="17"/>
        <v>163592.57431496476</v>
      </c>
      <c r="W54" s="922">
        <f t="shared" si="17"/>
        <v>173005.69104104786</v>
      </c>
      <c r="X54" s="922">
        <f t="shared" si="17"/>
        <v>182960.43850354964</v>
      </c>
      <c r="Y54" s="922">
        <f t="shared" si="17"/>
        <v>193487.98213504389</v>
      </c>
      <c r="Z54" s="922">
        <f t="shared" si="17"/>
        <v>204621.28062709427</v>
      </c>
    </row>
    <row r="55" spans="1:26">
      <c r="B55" s="1129" t="s">
        <v>588</v>
      </c>
      <c r="H55" s="922">
        <f>H17/((200000)*90%)*10^7</f>
        <v>77038.391071428574</v>
      </c>
      <c r="I55" s="922">
        <f t="shared" ref="I55:Z55" si="18">I17/((200000)*100%)*10^7</f>
        <v>81551.685212348224</v>
      </c>
      <c r="J55" s="922">
        <f t="shared" si="18"/>
        <v>86329.390690513625</v>
      </c>
      <c r="K55" s="922">
        <f t="shared" si="18"/>
        <v>91386.998044117368</v>
      </c>
      <c r="L55" s="922">
        <f t="shared" si="18"/>
        <v>96740.905324531981</v>
      </c>
      <c r="M55" s="922">
        <f t="shared" si="18"/>
        <v>102408.47126296967</v>
      </c>
      <c r="N55" s="922">
        <f t="shared" si="18"/>
        <v>108408.0715519107</v>
      </c>
      <c r="O55" s="922">
        <f t="shared" si="18"/>
        <v>114759.15842377942</v>
      </c>
      <c r="P55" s="922">
        <f t="shared" si="18"/>
        <v>121482.32372003648</v>
      </c>
      <c r="Q55" s="922">
        <f t="shared" si="18"/>
        <v>128599.36565517483</v>
      </c>
      <c r="R55" s="922">
        <f t="shared" si="18"/>
        <v>136133.35949208323</v>
      </c>
      <c r="S55" s="922">
        <f t="shared" si="18"/>
        <v>144108.73235792693</v>
      </c>
      <c r="T55" s="922">
        <f t="shared" si="18"/>
        <v>152551.34244311607</v>
      </c>
      <c r="U55" s="922">
        <f t="shared" si="18"/>
        <v>161488.56284014598</v>
      </c>
      <c r="V55" s="922">
        <f t="shared" si="18"/>
        <v>170949.37029413591</v>
      </c>
      <c r="W55" s="922">
        <f t="shared" si="18"/>
        <v>180964.43915281785</v>
      </c>
      <c r="X55" s="922">
        <f t="shared" si="18"/>
        <v>191566.2408205856</v>
      </c>
      <c r="Y55" s="922">
        <f t="shared" si="18"/>
        <v>202789.14903905967</v>
      </c>
      <c r="Z55" s="922">
        <f t="shared" si="18"/>
        <v>214669.55133551292</v>
      </c>
    </row>
    <row r="56" spans="1:26">
      <c r="B56" s="1129" t="s">
        <v>589</v>
      </c>
      <c r="H56" s="922">
        <f>H18/((200000)*90%)*10^7</f>
        <v>36032.882845758926</v>
      </c>
      <c r="I56" s="922">
        <f t="shared" ref="I56:Z56" si="19">I18/((200000)*90%)*10^7</f>
        <v>42340.238805226545</v>
      </c>
      <c r="J56" s="922">
        <f t="shared" si="19"/>
        <v>44776.496146079284</v>
      </c>
      <c r="K56" s="922">
        <f t="shared" si="19"/>
        <v>47352.935734324681</v>
      </c>
      <c r="L56" s="922">
        <f t="shared" si="19"/>
        <v>50077.623656477706</v>
      </c>
      <c r="M56" s="922">
        <f t="shared" si="19"/>
        <v>52959.090121671434</v>
      </c>
      <c r="N56" s="922">
        <f t="shared" si="19"/>
        <v>56006.356167272403</v>
      </c>
      <c r="O56" s="922">
        <f t="shared" si="19"/>
        <v>59228.961901137256</v>
      </c>
      <c r="P56" s="922">
        <f t="shared" si="19"/>
        <v>62636.996368928674</v>
      </c>
      <c r="Q56" s="922">
        <f t="shared" si="19"/>
        <v>66241.129139996818</v>
      </c>
      <c r="R56" s="922">
        <f t="shared" si="19"/>
        <v>70052.643710712218</v>
      </c>
      <c r="S56" s="922">
        <f t="shared" si="19"/>
        <v>74083.472829826613</v>
      </c>
      <c r="T56" s="922">
        <f t="shared" si="19"/>
        <v>78346.235856454805</v>
      </c>
      <c r="U56" s="922">
        <f t="shared" si="19"/>
        <v>82854.278267635236</v>
      </c>
      <c r="V56" s="922">
        <f t="shared" si="19"/>
        <v>87621.713439154948</v>
      </c>
      <c r="W56" s="922">
        <f t="shared" si="19"/>
        <v>92663.466830443926</v>
      </c>
      <c r="X56" s="922">
        <f t="shared" si="19"/>
        <v>97995.322711867615</v>
      </c>
      <c r="Y56" s="922">
        <f t="shared" si="19"/>
        <v>103633.97358070849</v>
      </c>
      <c r="Z56" s="922">
        <f t="shared" si="19"/>
        <v>109597.07242054242</v>
      </c>
    </row>
    <row r="57" spans="1:26">
      <c r="B57" s="1" t="s">
        <v>590</v>
      </c>
      <c r="H57" s="856">
        <f>H28/((673000))*10^7</f>
        <v>37750.570678244854</v>
      </c>
      <c r="I57" s="856">
        <f t="shared" ref="I57:Z57" si="20">I28/((673000))*10^7</f>
        <v>45361.645277043084</v>
      </c>
      <c r="J57" s="856">
        <f t="shared" si="20"/>
        <v>49394.652431659633</v>
      </c>
      <c r="K57" s="856">
        <f t="shared" si="20"/>
        <v>52141.310241576291</v>
      </c>
      <c r="L57" s="856">
        <f t="shared" si="20"/>
        <v>55004.563602222392</v>
      </c>
      <c r="M57" s="856">
        <f t="shared" si="20"/>
        <v>58044.523008719654</v>
      </c>
      <c r="N57" s="856">
        <f t="shared" si="20"/>
        <v>61249.33512889158</v>
      </c>
      <c r="O57" s="856">
        <f t="shared" si="20"/>
        <v>64639.527091469012</v>
      </c>
      <c r="P57" s="856">
        <f t="shared" si="20"/>
        <v>68246.014246087027</v>
      </c>
      <c r="Q57" s="856">
        <f t="shared" si="20"/>
        <v>71968.52869514325</v>
      </c>
      <c r="R57" s="856">
        <f t="shared" si="20"/>
        <v>75911.80781803334</v>
      </c>
      <c r="S57" s="856">
        <f t="shared" si="20"/>
        <v>80079.316485366537</v>
      </c>
      <c r="T57" s="856">
        <f t="shared" si="20"/>
        <v>84455.162419959044</v>
      </c>
      <c r="U57" s="856">
        <f t="shared" si="20"/>
        <v>89067.338448162627</v>
      </c>
      <c r="V57" s="856">
        <f t="shared" si="20"/>
        <v>93930.919914682396</v>
      </c>
      <c r="W57" s="856">
        <f t="shared" si="20"/>
        <v>99096.44713312044</v>
      </c>
      <c r="X57" s="856">
        <f t="shared" si="20"/>
        <v>104556.71890444435</v>
      </c>
      <c r="Y57" s="856">
        <f t="shared" si="20"/>
        <v>110340.93492395119</v>
      </c>
      <c r="Z57" s="856">
        <f t="shared" si="20"/>
        <v>116416.67575980035</v>
      </c>
    </row>
    <row r="58" spans="1:26">
      <c r="B58" s="1" t="s">
        <v>591</v>
      </c>
      <c r="H58" s="856">
        <f>'[15]Cashflow Phenol'!H19/((223000))*10^7</f>
        <v>66942.302690582947</v>
      </c>
      <c r="I58" s="856">
        <f>'[15]Cashflow Phenol'!I19/((223000))*10^7</f>
        <v>78365.375690582965</v>
      </c>
      <c r="J58" s="856">
        <f>'[15]Cashflow Phenol'!J19/((223000))*10^7</f>
        <v>82690.341409502944</v>
      </c>
      <c r="K58" s="856">
        <f>'[15]Cashflow Phenol'!K19/((223000))*10^7</f>
        <v>87255.877645965389</v>
      </c>
      <c r="L58" s="856">
        <f>'[15]Cashflow Phenol'!L19/((223000))*10^7</f>
        <v>92075.453867103002</v>
      </c>
      <c r="M58" s="856">
        <f>'[15]Cashflow Phenol'!M19/((223000))*10^7</f>
        <v>97163.297789967444</v>
      </c>
      <c r="N58" s="856">
        <f>'[15]Cashflow Phenol'!N19/((223000)*N3)*10^7</f>
        <v>102534.43825598423</v>
      </c>
      <c r="O58" s="856">
        <f>'[15]Cashflow Phenol'!O19/((223000)*O3)*10^7</f>
        <v>108204.7505384189</v>
      </c>
      <c r="P58" s="856">
        <f>'[15]Cashflow Phenol'!P19/((223000)*P3)*10^7</f>
        <v>114191.00422131816</v>
      </c>
      <c r="Q58" s="856">
        <f>'[15]Cashflow Phenol'!Q19/((223000)*Q3)*10^7</f>
        <v>120510.91379629279</v>
      </c>
      <c r="R58" s="856">
        <f>'[15]Cashflow Phenol'!R19/((223000)*R3)*10^7</f>
        <v>127183.19213185504</v>
      </c>
      <c r="S58" s="856">
        <f>'[15]Cashflow Phenol'!S19/((223000)*S3)*10^7</f>
        <v>134227.60697885312</v>
      </c>
      <c r="T58" s="856">
        <f>'[15]Cashflow Phenol'!T19/((223000)*T3)*10^7</f>
        <v>141665.04068487536</v>
      </c>
      <c r="U58" s="856">
        <f>'[15]Cashflow Phenol'!U19/((223000)*U3)*10^7</f>
        <v>149517.55330036281</v>
      </c>
      <c r="V58" s="856">
        <f>'[15]Cashflow Phenol'!V19/((223000)*V3)*10^7</f>
        <v>157808.44926959698</v>
      </c>
      <c r="W58" s="856">
        <f>'[15]Cashflow Phenol'!W19/((223000)*W3)*10^7</f>
        <v>166562.34791075584</v>
      </c>
      <c r="X58" s="856">
        <f>'[15]Cashflow Phenol'!X19/((223000)*X3)*10^7</f>
        <v>175805.25790088519</v>
      </c>
      <c r="Y58" s="856">
        <f>'[15]Cashflow Phenol'!Y19/((223000)*Y3)*10^7</f>
        <v>185564.65599395722</v>
      </c>
      <c r="Z58" s="856">
        <f>'[15]Cashflow Phenol'!Z19/((223000)*Z3)*10^7</f>
        <v>195869.57021321007</v>
      </c>
    </row>
    <row r="59" spans="1:26">
      <c r="B59" s="843" t="s">
        <v>592</v>
      </c>
      <c r="H59" s="856">
        <f>H54-H57</f>
        <v>36998.938488421816</v>
      </c>
      <c r="I59" s="856">
        <f t="shared" ref="I59:Z59" si="21">I54-I57</f>
        <v>33688.950647073572</v>
      </c>
      <c r="J59" s="856">
        <f t="shared" si="21"/>
        <v>34204.514781930688</v>
      </c>
      <c r="K59" s="856">
        <f t="shared" si="21"/>
        <v>36268.153053483991</v>
      </c>
      <c r="L59" s="856">
        <f t="shared" si="21"/>
        <v>38491.980210835667</v>
      </c>
      <c r="M59" s="856">
        <f t="shared" si="21"/>
        <v>40831.811935341757</v>
      </c>
      <c r="N59" s="856">
        <f t="shared" si="21"/>
        <v>43316.34412785108</v>
      </c>
      <c r="O59" s="856">
        <f t="shared" si="21"/>
        <v>45942.861349706633</v>
      </c>
      <c r="P59" s="856">
        <f t="shared" si="21"/>
        <v>48699.284825993804</v>
      </c>
      <c r="Q59" s="856">
        <f t="shared" si="21"/>
        <v>51705.802885545112</v>
      </c>
      <c r="R59" s="856">
        <f t="shared" si="21"/>
        <v>54878.744801807814</v>
      </c>
      <c r="S59" s="856">
        <f t="shared" si="21"/>
        <v>58236.924532220277</v>
      </c>
      <c r="T59" s="856">
        <f t="shared" si="21"/>
        <v>61819.795105779704</v>
      </c>
      <c r="U59" s="856">
        <f t="shared" si="21"/>
        <v>65624.280133607128</v>
      </c>
      <c r="V59" s="856">
        <f t="shared" si="21"/>
        <v>69661.654400282365</v>
      </c>
      <c r="W59" s="856">
        <f t="shared" si="21"/>
        <v>73909.243907927419</v>
      </c>
      <c r="X59" s="856">
        <f t="shared" si="21"/>
        <v>78403.719599105287</v>
      </c>
      <c r="Y59" s="856">
        <f t="shared" si="21"/>
        <v>83147.047211092693</v>
      </c>
      <c r="Z59" s="856">
        <f t="shared" si="21"/>
        <v>88204.604867293921</v>
      </c>
    </row>
    <row r="60" spans="1:26">
      <c r="B60" s="843" t="s">
        <v>593</v>
      </c>
      <c r="H60" s="856">
        <f>(H55*0.62)+(H56*0.38)/323000</f>
        <v>47763.84485591259</v>
      </c>
      <c r="I60" s="856">
        <f t="shared" ref="I60:Z60" si="22">(I55*0.62)+(I56*0.38)/323000</f>
        <v>50562.094643701552</v>
      </c>
      <c r="J60" s="856">
        <f t="shared" si="22"/>
        <v>53524.274906349201</v>
      </c>
      <c r="K60" s="856">
        <f t="shared" si="22"/>
        <v>56659.994496688923</v>
      </c>
      <c r="L60" s="856">
        <f t="shared" si="22"/>
        <v>59979.420216061189</v>
      </c>
      <c r="M60" s="856">
        <f t="shared" si="22"/>
        <v>63493.314487853102</v>
      </c>
      <c r="N60" s="856">
        <f t="shared" si="22"/>
        <v>67213.07025201543</v>
      </c>
      <c r="O60" s="856">
        <f t="shared" si="22"/>
        <v>71150.747903874886</v>
      </c>
      <c r="P60" s="856">
        <f t="shared" si="22"/>
        <v>75319.114397006575</v>
      </c>
      <c r="Q60" s="856">
        <f t="shared" si="22"/>
        <v>79731.684636948557</v>
      </c>
      <c r="R60" s="856">
        <f t="shared" si="22"/>
        <v>84402.765299966559</v>
      </c>
      <c r="S60" s="856">
        <f t="shared" si="22"/>
        <v>89347.501218941557</v>
      </c>
      <c r="T60" s="856">
        <f t="shared" si="22"/>
        <v>94581.924486774151</v>
      </c>
      <c r="U60" s="856">
        <f t="shared" si="22"/>
        <v>100123.00643651199</v>
      </c>
      <c r="V60" s="856">
        <f t="shared" si="22"/>
        <v>105988.71266673302</v>
      </c>
      <c r="W60" s="856">
        <f t="shared" si="22"/>
        <v>112198.0612905904</v>
      </c>
      <c r="X60" s="856">
        <f t="shared" si="22"/>
        <v>118771.18459737803</v>
      </c>
      <c r="Y60" s="856">
        <f t="shared" si="22"/>
        <v>125729.39432653887</v>
      </c>
      <c r="Z60" s="856">
        <f t="shared" si="22"/>
        <v>133095.25076575027</v>
      </c>
    </row>
    <row r="61" spans="1:26">
      <c r="H61" s="1130">
        <f>H59/H54</f>
        <v>0.49497232692092236</v>
      </c>
      <c r="I61" s="1128"/>
      <c r="J61" s="1128"/>
      <c r="K61" s="1128"/>
      <c r="L61" s="1128"/>
      <c r="M61" s="1128"/>
      <c r="N61" s="1128"/>
      <c r="P61" s="1128"/>
    </row>
    <row r="62" spans="1:26">
      <c r="B62" s="1" t="s">
        <v>80</v>
      </c>
      <c r="I62" s="1128"/>
      <c r="J62" s="1128"/>
      <c r="K62" s="1128"/>
      <c r="L62" s="1128"/>
      <c r="M62" s="1128"/>
      <c r="N62" s="1128"/>
      <c r="P62" s="1128"/>
    </row>
    <row r="63" spans="1:26">
      <c r="B63" s="1" t="s">
        <v>594</v>
      </c>
    </row>
    <row r="67" spans="2:13">
      <c r="B67" s="1" t="s">
        <v>45</v>
      </c>
    </row>
    <row r="68" spans="2:13">
      <c r="B68" s="1" t="s">
        <v>46</v>
      </c>
    </row>
    <row r="69" spans="2:13">
      <c r="B69" s="1" t="s">
        <v>595</v>
      </c>
    </row>
    <row r="73" spans="2:13">
      <c r="H73" s="1068"/>
      <c r="I73" s="1068"/>
      <c r="J73" s="1068"/>
      <c r="K73" s="1068"/>
      <c r="L73" s="1068"/>
      <c r="M73" s="1068"/>
    </row>
    <row r="74" spans="2:13">
      <c r="H74" s="1131"/>
      <c r="I74" s="1131"/>
      <c r="J74" s="1131"/>
      <c r="K74" s="1131"/>
      <c r="L74" s="1131">
        <v>0.05</v>
      </c>
      <c r="M74" s="1131"/>
    </row>
    <row r="75" spans="2:13">
      <c r="H75" s="1131"/>
      <c r="I75" s="1131"/>
      <c r="J75" s="1131"/>
      <c r="K75" s="1131"/>
      <c r="L75" s="1131"/>
      <c r="M75" s="1131"/>
    </row>
  </sheetData>
  <mergeCells count="9">
    <mergeCell ref="R4:Z4"/>
    <mergeCell ref="B5:B6"/>
    <mergeCell ref="A7:G7"/>
    <mergeCell ref="J50:N50"/>
    <mergeCell ref="A1:H1"/>
    <mergeCell ref="A2:B2"/>
    <mergeCell ref="A3:B3"/>
    <mergeCell ref="A4:B4"/>
    <mergeCell ref="H4:Q4"/>
  </mergeCells>
  <hyperlinks>
    <hyperlink ref="B39" r:id="rId1" display="NPV@12%" xr:uid="{E7484905-0F26-4E47-A4C5-9FAD11AA4A2B}"/>
  </hyperlinks>
  <pageMargins left="0.7" right="0.7" top="0.75" bottom="0.75" header="0.3" footer="0.3"/>
  <pageSetup orientation="portrait"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1D9E5-5FE2-42E4-B27C-AD408A01695D}">
  <sheetPr codeName="Sheet19"/>
  <dimension ref="A1:F84"/>
  <sheetViews>
    <sheetView showGridLines="0" topLeftCell="A42" zoomScale="96" zoomScaleNormal="96" workbookViewId="0">
      <selection activeCell="B36" sqref="B36:C36"/>
    </sheetView>
  </sheetViews>
  <sheetFormatPr defaultRowHeight="12.75"/>
  <cols>
    <col min="1" max="1" width="75.140625" style="1" bestFit="1" customWidth="1"/>
    <col min="2" max="2" width="29.42578125" style="1" customWidth="1"/>
    <col min="3" max="3" width="34.140625" style="1" customWidth="1"/>
    <col min="4" max="4" width="24.85546875" style="1" bestFit="1" customWidth="1"/>
    <col min="5" max="16384" width="9.140625" style="1"/>
  </cols>
  <sheetData>
    <row r="1" spans="1:4" ht="18" customHeight="1">
      <c r="A1" s="1007" t="s">
        <v>561</v>
      </c>
      <c r="B1" s="1008" t="s">
        <v>580</v>
      </c>
      <c r="C1" s="1008" t="s">
        <v>562</v>
      </c>
      <c r="D1" s="1008" t="s">
        <v>610</v>
      </c>
    </row>
    <row r="2" spans="1:4">
      <c r="A2" s="1009" t="s">
        <v>563</v>
      </c>
      <c r="B2" s="1010">
        <f>'Financial Model Prop. Furn. Add'!CM69</f>
        <v>38499.365486230745</v>
      </c>
      <c r="C2" s="1010">
        <f>'Financial Model Base Case'!CM70</f>
        <v>36151.242203656686</v>
      </c>
      <c r="D2" s="1010">
        <f>'Financial Model Eth. Furn. Add.'!CM69</f>
        <v>36901.205856862325</v>
      </c>
    </row>
    <row r="3" spans="1:4">
      <c r="A3" s="1009" t="s">
        <v>564</v>
      </c>
      <c r="B3" s="1010">
        <f>'Financial Model Prop. Furn. Add'!CM70</f>
        <v>47244.380438566972</v>
      </c>
      <c r="C3" s="1010">
        <f>'Financial Model Base Case'!CM71</f>
        <v>46133.268121625209</v>
      </c>
      <c r="D3" s="1010">
        <f>'Financial Model Eth. Furn. Add.'!CM70</f>
        <v>54057.237633850877</v>
      </c>
    </row>
    <row r="4" spans="1:4">
      <c r="A4" s="1009"/>
      <c r="B4" s="1010"/>
      <c r="C4" s="1010"/>
      <c r="D4" s="1010"/>
    </row>
    <row r="5" spans="1:4" s="142" customFormat="1">
      <c r="A5" s="142" t="s">
        <v>565</v>
      </c>
      <c r="B5" s="858">
        <f>SUM(B6:B11)</f>
        <v>49584.336298597358</v>
      </c>
      <c r="C5" s="858">
        <f t="shared" ref="C5" si="0">SUM(C6:C11)</f>
        <v>47128.199345024892</v>
      </c>
      <c r="D5" s="858">
        <f>SUM(D6:D11)</f>
        <v>47912.661326277994</v>
      </c>
    </row>
    <row r="6" spans="1:4" ht="15" customHeight="1">
      <c r="A6" s="1" t="s">
        <v>566</v>
      </c>
      <c r="B6" s="856">
        <f>1.046*B2</f>
        <v>40270.336298597358</v>
      </c>
      <c r="C6" s="856">
        <f>1.046*C2</f>
        <v>37814.199345024892</v>
      </c>
      <c r="D6" s="856">
        <f>D2*1.046</f>
        <v>38598.661326277994</v>
      </c>
    </row>
    <row r="7" spans="1:4" ht="15" customHeight="1">
      <c r="A7" s="1" t="s">
        <v>567</v>
      </c>
      <c r="B7" s="856">
        <v>2500</v>
      </c>
      <c r="C7" s="856">
        <v>2500</v>
      </c>
      <c r="D7" s="347">
        <v>2500</v>
      </c>
    </row>
    <row r="8" spans="1:4" ht="15" customHeight="1">
      <c r="A8" s="1" t="s">
        <v>111</v>
      </c>
      <c r="B8" s="856">
        <v>3000</v>
      </c>
      <c r="C8" s="856">
        <v>3000</v>
      </c>
      <c r="D8" s="347">
        <v>3000</v>
      </c>
    </row>
    <row r="9" spans="1:4" ht="15" customHeight="1">
      <c r="A9" s="1" t="s">
        <v>269</v>
      </c>
      <c r="B9" s="856">
        <v>2100</v>
      </c>
      <c r="C9" s="856">
        <v>2100</v>
      </c>
      <c r="D9" s="347">
        <v>2100</v>
      </c>
    </row>
    <row r="10" spans="1:4" ht="15" customHeight="1">
      <c r="A10" s="1" t="s">
        <v>35</v>
      </c>
      <c r="B10" s="856">
        <v>1814</v>
      </c>
      <c r="C10" s="856">
        <v>1814</v>
      </c>
      <c r="D10" s="347">
        <v>1814</v>
      </c>
    </row>
    <row r="11" spans="1:4" ht="15" customHeight="1">
      <c r="A11" s="1" t="s">
        <v>568</v>
      </c>
      <c r="B11" s="856">
        <v>-100</v>
      </c>
      <c r="C11" s="856">
        <v>-100</v>
      </c>
      <c r="D11" s="347">
        <v>-100</v>
      </c>
    </row>
    <row r="12" spans="1:4">
      <c r="A12" s="1" t="s">
        <v>270</v>
      </c>
      <c r="B12" s="856">
        <f>'Financial Model Prop. Furn. Add'!CM72</f>
        <v>77898.572865773807</v>
      </c>
      <c r="C12" s="856">
        <f>B12</f>
        <v>77898.572865773807</v>
      </c>
      <c r="D12" s="856">
        <f>'Financial Model Eth. Furn. Add.'!CM72</f>
        <v>77898.572865773807</v>
      </c>
    </row>
    <row r="13" spans="1:4">
      <c r="A13" s="1" t="s">
        <v>569</v>
      </c>
      <c r="B13" s="856">
        <f t="shared" ref="B13:C13" si="1">B12-B5</f>
        <v>28314.236567176449</v>
      </c>
      <c r="C13" s="856">
        <f t="shared" si="1"/>
        <v>30770.373520748915</v>
      </c>
      <c r="D13" s="856">
        <f>D12-D5</f>
        <v>29985.911539495813</v>
      </c>
    </row>
    <row r="14" spans="1:4">
      <c r="B14" s="856"/>
      <c r="C14" s="856"/>
      <c r="D14" s="347"/>
    </row>
    <row r="15" spans="1:4" s="142" customFormat="1">
      <c r="A15" s="142" t="s">
        <v>570</v>
      </c>
      <c r="B15" s="858">
        <f t="shared" ref="B15" si="2">SUM(B16:B21)</f>
        <v>50594.321070266902</v>
      </c>
      <c r="C15" s="858">
        <f t="shared" ref="C15" si="3">SUM(C16:C21)</f>
        <v>48081.829157912653</v>
      </c>
      <c r="D15" s="858">
        <f>SUM(D16:D21)</f>
        <v>48884.29026684269</v>
      </c>
    </row>
    <row r="16" spans="1:4" ht="15" customHeight="1">
      <c r="A16" s="1" t="s">
        <v>566</v>
      </c>
      <c r="B16" s="856">
        <f>1.07*B2</f>
        <v>41194.321070266902</v>
      </c>
      <c r="C16" s="856">
        <f>1.07*C2</f>
        <v>38681.829157912653</v>
      </c>
      <c r="D16" s="856">
        <f>1.07*D2</f>
        <v>39484.29026684269</v>
      </c>
    </row>
    <row r="17" spans="1:4" ht="15" customHeight="1">
      <c r="A17" s="1" t="s">
        <v>567</v>
      </c>
      <c r="B17" s="856">
        <v>4000</v>
      </c>
      <c r="C17" s="856">
        <v>4000</v>
      </c>
      <c r="D17" s="347">
        <v>4000</v>
      </c>
    </row>
    <row r="18" spans="1:4" ht="15" customHeight="1">
      <c r="A18" s="1" t="s">
        <v>111</v>
      </c>
      <c r="B18" s="856">
        <v>3500</v>
      </c>
      <c r="C18" s="856">
        <v>3500</v>
      </c>
      <c r="D18" s="347">
        <v>3500</v>
      </c>
    </row>
    <row r="19" spans="1:4" ht="15" customHeight="1">
      <c r="A19" s="1" t="s">
        <v>269</v>
      </c>
      <c r="B19" s="856">
        <v>1200</v>
      </c>
      <c r="C19" s="856">
        <v>1200</v>
      </c>
      <c r="D19" s="347">
        <v>1200</v>
      </c>
    </row>
    <row r="20" spans="1:4" ht="15" customHeight="1">
      <c r="A20" s="1" t="s">
        <v>35</v>
      </c>
      <c r="B20" s="856">
        <v>2700</v>
      </c>
      <c r="C20" s="856">
        <v>2700</v>
      </c>
      <c r="D20" s="347">
        <v>2700</v>
      </c>
    </row>
    <row r="21" spans="1:4" ht="15" customHeight="1">
      <c r="A21" s="1" t="s">
        <v>568</v>
      </c>
      <c r="B21" s="856">
        <v>-2000</v>
      </c>
      <c r="C21" s="856">
        <v>-2000</v>
      </c>
      <c r="D21" s="347">
        <v>-2000</v>
      </c>
    </row>
    <row r="22" spans="1:4">
      <c r="A22" s="1" t="s">
        <v>271</v>
      </c>
      <c r="B22" s="856">
        <f>'Financial Model Prop. Furn. Add'!CM73</f>
        <v>80549.463627852514</v>
      </c>
      <c r="C22" s="856">
        <f>B22</f>
        <v>80549.463627852514</v>
      </c>
      <c r="D22" s="856">
        <f>'Financial Model Eth. Furn. Add.'!CM73</f>
        <v>80549.463627852514</v>
      </c>
    </row>
    <row r="23" spans="1:4">
      <c r="A23" s="1" t="s">
        <v>569</v>
      </c>
      <c r="B23" s="856">
        <f t="shared" ref="B23:C23" si="4">B22-B15</f>
        <v>29955.142557585612</v>
      </c>
      <c r="C23" s="856">
        <f t="shared" si="4"/>
        <v>32467.634469939861</v>
      </c>
      <c r="D23" s="856">
        <f>D22-D15</f>
        <v>31665.173361009824</v>
      </c>
    </row>
    <row r="24" spans="1:4">
      <c r="B24" s="856"/>
      <c r="C24" s="856"/>
      <c r="D24" s="347"/>
    </row>
    <row r="25" spans="1:4" s="142" customFormat="1">
      <c r="A25" s="142" t="s">
        <v>571</v>
      </c>
      <c r="B25" s="858">
        <f t="shared" ref="B25" si="5">SUM(B26:B31)</f>
        <v>56359.355080056754</v>
      </c>
      <c r="C25" s="858">
        <f t="shared" ref="C25:D25" si="6">SUM(C26:C31)</f>
        <v>55193.798259584844</v>
      </c>
      <c r="D25" s="858">
        <f t="shared" si="6"/>
        <v>63506.042277909568</v>
      </c>
    </row>
    <row r="26" spans="1:4" ht="15" customHeight="1">
      <c r="A26" s="1" t="s">
        <v>566</v>
      </c>
      <c r="B26" s="856">
        <f>1.049*B3</f>
        <v>49559.355080056754</v>
      </c>
      <c r="C26" s="856">
        <f>1.049*C3</f>
        <v>48393.798259584844</v>
      </c>
      <c r="D26" s="856">
        <f>1.049*D3</f>
        <v>56706.042277909568</v>
      </c>
    </row>
    <row r="27" spans="1:4" ht="15" customHeight="1">
      <c r="A27" s="1" t="s">
        <v>567</v>
      </c>
      <c r="B27" s="856">
        <v>2500</v>
      </c>
      <c r="C27" s="856">
        <v>2500</v>
      </c>
      <c r="D27" s="856">
        <v>2500</v>
      </c>
    </row>
    <row r="28" spans="1:4" ht="15" customHeight="1">
      <c r="A28" s="1" t="s">
        <v>111</v>
      </c>
      <c r="B28" s="856">
        <v>2500</v>
      </c>
      <c r="C28" s="856">
        <v>2500</v>
      </c>
      <c r="D28" s="856">
        <v>2500</v>
      </c>
    </row>
    <row r="29" spans="1:4" ht="15" customHeight="1">
      <c r="A29" s="1" t="s">
        <v>269</v>
      </c>
      <c r="B29" s="856">
        <v>1600</v>
      </c>
      <c r="C29" s="856">
        <v>1600</v>
      </c>
      <c r="D29" s="856">
        <v>1600</v>
      </c>
    </row>
    <row r="30" spans="1:4" ht="15" customHeight="1">
      <c r="A30" s="1" t="s">
        <v>35</v>
      </c>
      <c r="B30" s="856">
        <v>1900</v>
      </c>
      <c r="C30" s="856">
        <v>1900</v>
      </c>
      <c r="D30" s="856">
        <v>1900</v>
      </c>
    </row>
    <row r="31" spans="1:4" ht="15" customHeight="1">
      <c r="A31" s="1" t="s">
        <v>568</v>
      </c>
      <c r="B31" s="856">
        <v>-1700</v>
      </c>
      <c r="C31" s="856">
        <v>-1700</v>
      </c>
      <c r="D31" s="856">
        <v>-1700</v>
      </c>
    </row>
    <row r="32" spans="1:4">
      <c r="A32" s="1" t="s">
        <v>272</v>
      </c>
      <c r="B32" s="856">
        <f>'Financial Model Prop. Furn. Add'!CM74</f>
        <v>80729.185183779831</v>
      </c>
      <c r="C32" s="856">
        <f>B32</f>
        <v>80729.185183779831</v>
      </c>
      <c r="D32" s="856">
        <f>'Financial Model Eth. Furn. Add.'!CM74</f>
        <v>80729.185183779831</v>
      </c>
    </row>
    <row r="33" spans="1:4">
      <c r="A33" s="1" t="s">
        <v>569</v>
      </c>
      <c r="B33" s="856">
        <f t="shared" ref="B33:D33" si="7">B32-B25</f>
        <v>24369.830103723078</v>
      </c>
      <c r="C33" s="856">
        <f t="shared" si="7"/>
        <v>25535.386924194987</v>
      </c>
      <c r="D33" s="856">
        <f t="shared" si="7"/>
        <v>17223.142905870263</v>
      </c>
    </row>
    <row r="34" spans="1:4">
      <c r="B34" s="856"/>
      <c r="C34" s="856"/>
      <c r="D34" s="856"/>
    </row>
    <row r="35" spans="1:4">
      <c r="A35" s="142" t="s">
        <v>611</v>
      </c>
      <c r="B35" s="347"/>
      <c r="C35" s="347"/>
    </row>
    <row r="36" spans="1:4">
      <c r="A36" s="142" t="s">
        <v>600</v>
      </c>
      <c r="B36" s="1471"/>
      <c r="C36" s="1471"/>
    </row>
    <row r="37" spans="1:4">
      <c r="A37" s="1472" t="s">
        <v>601</v>
      </c>
      <c r="B37" s="1472"/>
      <c r="C37" s="1472"/>
      <c r="D37" s="1472"/>
    </row>
    <row r="38" spans="1:4">
      <c r="A38" s="1169" t="s">
        <v>602</v>
      </c>
      <c r="B38" s="1171">
        <f>'Opex PVC'!B65</f>
        <v>161200</v>
      </c>
      <c r="C38" s="1171">
        <v>0</v>
      </c>
      <c r="D38" s="1171">
        <f>'Opex PVC'!B65</f>
        <v>161200</v>
      </c>
    </row>
    <row r="39" spans="1:4">
      <c r="A39" s="1170" t="s">
        <v>603</v>
      </c>
      <c r="B39" s="1171">
        <f>Scenario!C3</f>
        <v>91750</v>
      </c>
      <c r="C39" s="1171">
        <v>0</v>
      </c>
      <c r="D39" s="1171">
        <f>Scenario!C3</f>
        <v>91750</v>
      </c>
    </row>
    <row r="40" spans="1:4">
      <c r="A40" s="1170" t="s">
        <v>604</v>
      </c>
      <c r="B40" s="1171">
        <f>0.35*(('Financial Model Prop. Furn. Add'!CM16*12)-B38)/1.046</f>
        <v>396989.61408913328</v>
      </c>
      <c r="C40" s="1171">
        <f>'Financial Model Base Case'!CM17*12*0.35/1.046</f>
        <v>367556.88336520077</v>
      </c>
      <c r="D40" s="1171">
        <f>0.35*(('Financial Model Eth. Furn. Add.'!CM16*12)-D38)/1.046</f>
        <v>405494.07265774382</v>
      </c>
    </row>
    <row r="41" spans="1:4">
      <c r="A41" s="1170" t="s">
        <v>605</v>
      </c>
      <c r="B41" s="1171">
        <f>0.65*('Financial Model Prop. Furn. Add'!CM16*12-B38)/1.07</f>
        <v>720729.6091300447</v>
      </c>
      <c r="C41" s="1171">
        <f>'Financial Model Base Case'!CM17*12*0.65/1.07</f>
        <v>667294.85981308413</v>
      </c>
      <c r="D41" s="1171">
        <f>0.65*('Financial Model Eth. Furn. Add.'!CM16*12-D38)/1.07</f>
        <v>736169.34579439263</v>
      </c>
    </row>
    <row r="42" spans="1:4">
      <c r="A42" s="1170" t="s">
        <v>606</v>
      </c>
      <c r="B42" s="1171">
        <f>('Financial Model Prop. Furn. Add'!CM17*12-B39)/1.049</f>
        <v>404935.75619473605</v>
      </c>
      <c r="C42" s="1171">
        <f>'Financial Model Base Case'!CM18*12/1.049</f>
        <v>381286.93994280271</v>
      </c>
      <c r="D42" s="1171">
        <f>('Financial Model Eth. Furn. Add.'!CM17*12-D39)/1.049</f>
        <v>238697.80743565303</v>
      </c>
    </row>
    <row r="43" spans="1:4">
      <c r="A43" s="1170" t="s">
        <v>655</v>
      </c>
      <c r="B43" s="1171">
        <f>(2616.23+1540.77+720.66)</f>
        <v>4877.66</v>
      </c>
      <c r="C43" s="1171"/>
      <c r="D43" s="1171">
        <f>(2616.23+1540.77+720.66)</f>
        <v>4877.66</v>
      </c>
    </row>
    <row r="44" spans="1:4">
      <c r="A44" s="1170" t="s">
        <v>656</v>
      </c>
      <c r="B44" s="1172">
        <f>B43+(B40*$B$12+B41*$B$22+B42*$B$32)/10^7</f>
        <v>17044.604146559344</v>
      </c>
      <c r="C44" s="1172">
        <f>(C40*$C$12+C41*$C$22+C42*$C$32)/10^7</f>
        <v>11316.338368350704</v>
      </c>
      <c r="D44" s="1172">
        <f>D43+(D40*$D$12+D41*$D$22+D42*$D$32)/10^7</f>
        <v>15893.19350080091</v>
      </c>
    </row>
    <row r="45" spans="1:4">
      <c r="A45" s="1170" t="s">
        <v>657</v>
      </c>
      <c r="B45" s="1172">
        <f>(B40*$B$12+B41*$B$22+B42*$B$32)/10^7</f>
        <v>12166.944146559343</v>
      </c>
      <c r="C45" s="1172"/>
      <c r="D45" s="1172">
        <f>(D40*$B$12+D41*$B$22+D42*$B$32)/10^7</f>
        <v>11015.53350080091</v>
      </c>
    </row>
    <row r="46" spans="1:4" ht="15">
      <c r="A46" s="1012" t="s">
        <v>658</v>
      </c>
      <c r="B46" s="1145">
        <f>B45-C44</f>
        <v>850.60577820863909</v>
      </c>
      <c r="C46" s="1172"/>
      <c r="D46" s="1145">
        <f>C44-D45</f>
        <v>300.80486754979393</v>
      </c>
    </row>
    <row r="47" spans="1:4" ht="15">
      <c r="A47" s="1012" t="s">
        <v>659</v>
      </c>
      <c r="B47" s="1145">
        <f>B44-C44</f>
        <v>5728.2657782086408</v>
      </c>
      <c r="C47" s="1066"/>
      <c r="D47" s="1145">
        <f>D44-C44</f>
        <v>4576.8551324502059</v>
      </c>
    </row>
    <row r="48" spans="1:4" ht="17.25" customHeight="1">
      <c r="B48" s="347"/>
      <c r="C48" s="347"/>
    </row>
    <row r="49" spans="1:4">
      <c r="B49" s="347"/>
      <c r="C49" s="347"/>
    </row>
    <row r="50" spans="1:4">
      <c r="A50" s="1175" t="s">
        <v>612</v>
      </c>
      <c r="B50" s="1175"/>
      <c r="C50" s="1175"/>
      <c r="D50" s="1175"/>
    </row>
    <row r="51" spans="1:4">
      <c r="A51" s="142" t="s">
        <v>613</v>
      </c>
      <c r="B51" s="1471"/>
      <c r="C51" s="1471"/>
    </row>
    <row r="52" spans="1:4">
      <c r="A52" s="1472" t="s">
        <v>601</v>
      </c>
      <c r="B52" s="1472"/>
      <c r="C52" s="1472"/>
      <c r="D52" s="1472"/>
    </row>
    <row r="53" spans="1:4">
      <c r="A53" s="1169" t="s">
        <v>614</v>
      </c>
      <c r="B53" s="1171">
        <v>0</v>
      </c>
      <c r="C53" s="1171">
        <v>0</v>
      </c>
      <c r="D53" s="1171">
        <v>0</v>
      </c>
    </row>
    <row r="54" spans="1:4">
      <c r="A54" s="1170" t="s">
        <v>615</v>
      </c>
      <c r="B54" s="1171">
        <f>Scenario!C3</f>
        <v>91750</v>
      </c>
      <c r="C54" s="1171">
        <v>0</v>
      </c>
      <c r="D54" s="1171">
        <f>Scenario!C3</f>
        <v>91750</v>
      </c>
    </row>
    <row r="55" spans="1:4">
      <c r="A55" s="1170" t="s">
        <v>616</v>
      </c>
      <c r="B55" s="1171">
        <f>0.35*(('Financial Model Prop. Furn. Add'!CM16*12)-B53)/1.046</f>
        <v>450928.42862068204</v>
      </c>
      <c r="C55" s="1171">
        <f>'Financial Model Base Case'!CM17*12*0.35/1.046</f>
        <v>367556.88336520077</v>
      </c>
      <c r="D55" s="1171">
        <f>0.35*(('Financial Model Eth. Furn. Add.'!CM16*12)-D53)/1.046</f>
        <v>459432.88718929258</v>
      </c>
    </row>
    <row r="56" spans="1:4">
      <c r="A56" s="1170" t="s">
        <v>617</v>
      </c>
      <c r="B56" s="1171">
        <f>0.65*('Financial Model Prop. Furn. Add'!CM16*12-B53)/1.07</f>
        <v>818654.84277490445</v>
      </c>
      <c r="C56" s="1171">
        <f>('Financial Model Base Case'!CM17*12*0.65)/1.07</f>
        <v>667294.85981308413</v>
      </c>
      <c r="D56" s="1171">
        <f>0.65*('Financial Model Eth. Furn. Add.'!CM16*12-D53)/1.07</f>
        <v>834094.5794392525</v>
      </c>
    </row>
    <row r="57" spans="1:4">
      <c r="A57" s="1170" t="s">
        <v>618</v>
      </c>
      <c r="B57" s="1171">
        <f>('Financial Model Prop. Furn. Add'!CM17*12-B54)/1.049</f>
        <v>404935.75619473605</v>
      </c>
      <c r="C57" s="1171">
        <f>'Financial Model Base Case'!CM18*12/1.049</f>
        <v>381286.93994280271</v>
      </c>
      <c r="D57" s="1171">
        <f>('Financial Model Eth. Furn. Add.'!CM17*12-D54)/1.049</f>
        <v>238697.80743565303</v>
      </c>
    </row>
    <row r="58" spans="1:4">
      <c r="A58" s="1170" t="s">
        <v>655</v>
      </c>
      <c r="B58" s="1171">
        <f>(1540.77+720.66)</f>
        <v>2261.4299999999998</v>
      </c>
      <c r="C58" s="1171"/>
      <c r="D58" s="1171">
        <f>(1540.77+720.66)</f>
        <v>2261.4299999999998</v>
      </c>
    </row>
    <row r="59" spans="1:4">
      <c r="A59" s="1170" t="s">
        <v>619</v>
      </c>
      <c r="B59" s="1172">
        <f>B58+(B55*$B$12+B56*$B$22+B57*$B$32)/10^7</f>
        <v>15637.332318539833</v>
      </c>
      <c r="C59" s="1172">
        <f>(C55*$C$12+C56*$C$22+C57*$C$32)/10^7</f>
        <v>11316.338368350704</v>
      </c>
      <c r="D59" s="1172">
        <f>D58+(D55*$D$12+D56*$D$22+D57*$D$32)/10^7</f>
        <v>14485.921672781404</v>
      </c>
    </row>
    <row r="60" spans="1:4" ht="15">
      <c r="A60" s="1012" t="s">
        <v>620</v>
      </c>
      <c r="B60" s="1145">
        <f>B59-C59</f>
        <v>4320.9939501891295</v>
      </c>
      <c r="C60" s="1066"/>
      <c r="D60" s="1145">
        <f>D59-C59</f>
        <v>3169.5833044307001</v>
      </c>
    </row>
    <row r="61" spans="1:4">
      <c r="B61" s="347"/>
      <c r="C61" s="347"/>
    </row>
    <row r="62" spans="1:4">
      <c r="A62" s="142" t="s">
        <v>612</v>
      </c>
      <c r="B62" s="347"/>
      <c r="C62" s="347"/>
    </row>
    <row r="63" spans="1:4">
      <c r="A63" s="142" t="s">
        <v>621</v>
      </c>
      <c r="B63" s="1471"/>
      <c r="C63" s="1471"/>
    </row>
    <row r="64" spans="1:4">
      <c r="A64" s="1472" t="s">
        <v>601</v>
      </c>
      <c r="B64" s="1472"/>
      <c r="C64" s="1472"/>
      <c r="D64" s="1472"/>
    </row>
    <row r="65" spans="1:6">
      <c r="A65" s="1169" t="s">
        <v>614</v>
      </c>
      <c r="B65" s="1171">
        <f>'Opex PVC'!B65</f>
        <v>161200</v>
      </c>
      <c r="C65" s="1171">
        <v>0</v>
      </c>
      <c r="D65" s="1171">
        <f>'Opex PVC'!B65</f>
        <v>161200</v>
      </c>
    </row>
    <row r="66" spans="1:6">
      <c r="A66" s="1170" t="s">
        <v>615</v>
      </c>
      <c r="B66" s="1171">
        <v>0</v>
      </c>
      <c r="C66" s="1171">
        <v>0</v>
      </c>
      <c r="D66" s="1171">
        <v>0</v>
      </c>
    </row>
    <row r="67" spans="1:6">
      <c r="A67" s="1170" t="s">
        <v>616</v>
      </c>
      <c r="B67" s="1171">
        <f>0.35*(('Financial Model Prop. Furn. Add'!CM16*12)-B65)/1.046</f>
        <v>396989.61408913328</v>
      </c>
      <c r="C67" s="1171">
        <f>'Financial Model Base Case'!CM17*12*0.35/1.046</f>
        <v>367556.88336520077</v>
      </c>
      <c r="D67" s="1171">
        <f>0.35*(('Financial Model Eth. Furn. Add.'!CM16*12)-D65)/1.046</f>
        <v>405494.07265774382</v>
      </c>
    </row>
    <row r="68" spans="1:6">
      <c r="A68" s="1170" t="s">
        <v>617</v>
      </c>
      <c r="B68" s="1171">
        <f>0.65*('Financial Model Prop. Furn. Add'!CM16*12-B65)/1.07</f>
        <v>720729.6091300447</v>
      </c>
      <c r="C68" s="1171">
        <f>('Financial Model Base Case'!CM17*12*0.65)/1.07</f>
        <v>667294.85981308413</v>
      </c>
      <c r="D68" s="1171">
        <f>0.65*('Financial Model Eth. Furn. Add.'!CM16*12-D65)/1.07</f>
        <v>736169.34579439263</v>
      </c>
    </row>
    <row r="69" spans="1:6">
      <c r="A69" s="1170" t="s">
        <v>618</v>
      </c>
      <c r="B69" s="1171">
        <f>('Financial Model Prop. Furn. Add'!CM17*12-B66)/1.049</f>
        <v>492400.00786299154</v>
      </c>
      <c r="C69" s="1171">
        <f>'Financial Model Base Case'!CM18*12/1.049</f>
        <v>381286.93994280271</v>
      </c>
      <c r="D69" s="1171">
        <f>('Financial Model Eth. Furn. Add.'!CM17*12-D66)/1.049</f>
        <v>326162.05910390848</v>
      </c>
    </row>
    <row r="70" spans="1:6">
      <c r="A70" s="1170" t="s">
        <v>655</v>
      </c>
      <c r="B70" s="1171">
        <f>(2616.23)</f>
        <v>2616.23</v>
      </c>
      <c r="C70" s="1171"/>
      <c r="D70" s="1171">
        <f>(2616.23)</f>
        <v>2616.23</v>
      </c>
    </row>
    <row r="71" spans="1:6">
      <c r="A71" s="1170" t="s">
        <v>619</v>
      </c>
      <c r="B71" s="1172">
        <f>B70+(B67*$B$12+B68*$B$22+B69*$B$32)/10^7</f>
        <v>15489.265923548073</v>
      </c>
      <c r="C71" s="1172">
        <f>(C67*$C$12+C68*$C$22+C69*$C$32)/10^7</f>
        <v>11316.338368350704</v>
      </c>
      <c r="D71" s="1172">
        <f>D70+(D67*$D$12+D68*$D$22+D69*$D$32)/10^7</f>
        <v>14337.85527778964</v>
      </c>
    </row>
    <row r="72" spans="1:6" ht="15">
      <c r="A72" s="1012" t="s">
        <v>620</v>
      </c>
      <c r="B72" s="1145">
        <f>B71-C71</f>
        <v>4172.9275551973697</v>
      </c>
      <c r="C72" s="1066"/>
      <c r="D72" s="1145">
        <f>D71-C71</f>
        <v>3021.5169094389366</v>
      </c>
    </row>
    <row r="73" spans="1:6" ht="15">
      <c r="A73" s="1305"/>
      <c r="B73" s="1306"/>
      <c r="C73" s="1306"/>
      <c r="D73" s="1306"/>
    </row>
    <row r="74" spans="1:6">
      <c r="A74" s="1299" t="s">
        <v>612</v>
      </c>
      <c r="B74" s="1307"/>
      <c r="C74" s="1307"/>
      <c r="D74" s="103"/>
    </row>
    <row r="75" spans="1:6">
      <c r="A75" s="1299" t="s">
        <v>622</v>
      </c>
      <c r="B75" s="1478"/>
      <c r="C75" s="1478"/>
      <c r="D75" s="103"/>
    </row>
    <row r="76" spans="1:6">
      <c r="A76" s="1475" t="s">
        <v>601</v>
      </c>
      <c r="B76" s="1475"/>
      <c r="C76" s="1475"/>
      <c r="D76" s="1475"/>
    </row>
    <row r="77" spans="1:6">
      <c r="A77" s="1169" t="s">
        <v>614</v>
      </c>
      <c r="B77" s="1308">
        <v>0</v>
      </c>
      <c r="C77" s="1308">
        <v>0</v>
      </c>
      <c r="D77" s="1308">
        <v>0</v>
      </c>
    </row>
    <row r="78" spans="1:6">
      <c r="A78" s="1170" t="s">
        <v>615</v>
      </c>
      <c r="B78" s="1308">
        <v>0</v>
      </c>
      <c r="C78" s="1308">
        <v>0</v>
      </c>
      <c r="D78" s="1308">
        <v>0</v>
      </c>
    </row>
    <row r="79" spans="1:6">
      <c r="A79" s="1170" t="s">
        <v>616</v>
      </c>
      <c r="B79" s="1308">
        <f>0.35*(('Financial Model Prop. Furn. Add'!CM16*12)-B77)/1.046</f>
        <v>450928.42862068204</v>
      </c>
      <c r="C79" s="1308">
        <f>'Financial Model Base Case'!CM17*12*0.35/1.046</f>
        <v>367556.88336520077</v>
      </c>
      <c r="D79" s="1308">
        <f>0.35*(('Financial Model Eth. Furn. Add.'!CM16*12)-D77)/1.046</f>
        <v>459432.88718929258</v>
      </c>
      <c r="E79" s="1473">
        <f>B79+B80-C79-C80</f>
        <v>234731.52821730147</v>
      </c>
      <c r="F79" s="1473">
        <f>D79+D80-C79-C80</f>
        <v>258675.72345026</v>
      </c>
    </row>
    <row r="80" spans="1:6">
      <c r="A80" s="1170" t="s">
        <v>617</v>
      </c>
      <c r="B80" s="1308">
        <f>0.65*('Financial Model Prop. Furn. Add'!CM16*12-B77)/1.07</f>
        <v>818654.84277490445</v>
      </c>
      <c r="C80" s="1308">
        <f>('Financial Model Base Case'!CM17*12*0.65)/1.07</f>
        <v>667294.85981308413</v>
      </c>
      <c r="D80" s="1308">
        <f>0.65*('Financial Model Eth. Furn. Add.'!CM16*12-D77)/1.07</f>
        <v>834094.5794392525</v>
      </c>
      <c r="E80" s="1474"/>
      <c r="F80" s="1474"/>
    </row>
    <row r="81" spans="1:6">
      <c r="A81" s="1170" t="s">
        <v>618</v>
      </c>
      <c r="B81" s="1308">
        <f>('Financial Model Prop. Furn. Add'!CM17*12-B78)/1.049</f>
        <v>492400.00786299154</v>
      </c>
      <c r="C81" s="1308">
        <f>'Financial Model Base Case'!CM18*12/1.049</f>
        <v>381286.93994280271</v>
      </c>
      <c r="D81" s="1308">
        <f>('Financial Model Eth. Furn. Add.'!CM17*12-D78)/1.049</f>
        <v>326162.05910390848</v>
      </c>
      <c r="E81" s="1176">
        <f>B81-C81</f>
        <v>111113.06792018883</v>
      </c>
      <c r="F81" s="1176">
        <f>D81-C81</f>
        <v>-55124.880838894227</v>
      </c>
    </row>
    <row r="82" spans="1:6">
      <c r="A82" s="1170" t="s">
        <v>619</v>
      </c>
      <c r="B82" s="1309">
        <f>(B79*$B$12+B80*$B$22+B81*$B$32)/10^7</f>
        <v>14081.994095528564</v>
      </c>
      <c r="C82" s="1309">
        <f>(C79*$C$12+C80*$C$22+C81*$C$32)/10^7</f>
        <v>11316.338368350704</v>
      </c>
      <c r="D82" s="1309">
        <f>(D79*$D$12+D80*$D$22+D81*$D$32)/10^7</f>
        <v>12930.583449770134</v>
      </c>
      <c r="E82" s="1175"/>
    </row>
    <row r="83" spans="1:6" ht="15">
      <c r="A83" s="1012" t="s">
        <v>620</v>
      </c>
      <c r="B83" s="1310">
        <f>B82-C82</f>
        <v>2765.6557271778602</v>
      </c>
      <c r="C83" s="1306"/>
      <c r="D83" s="1310">
        <f>D82-C82</f>
        <v>1614.2450814194308</v>
      </c>
      <c r="E83" s="1175"/>
      <c r="F83" s="1177">
        <f>B83-D83</f>
        <v>1151.4106457584294</v>
      </c>
    </row>
    <row r="84" spans="1:6" ht="45" customHeight="1">
      <c r="A84" s="1476" t="s">
        <v>708</v>
      </c>
      <c r="B84" s="1477"/>
      <c r="C84" s="1477"/>
      <c r="D84" s="1477"/>
    </row>
  </sheetData>
  <mergeCells count="11">
    <mergeCell ref="B36:C36"/>
    <mergeCell ref="A37:D37"/>
    <mergeCell ref="F79:F80"/>
    <mergeCell ref="A76:D76"/>
    <mergeCell ref="A84:D84"/>
    <mergeCell ref="E79:E80"/>
    <mergeCell ref="B51:C51"/>
    <mergeCell ref="A52:D52"/>
    <mergeCell ref="B63:C63"/>
    <mergeCell ref="A64:D64"/>
    <mergeCell ref="B75:C75"/>
  </mergeCell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4"/>
  <dimension ref="A1:L34"/>
  <sheetViews>
    <sheetView showGridLines="0" zoomScaleNormal="100" zoomScaleSheetLayoutView="100" workbookViewId="0">
      <selection activeCell="B16" sqref="B16"/>
    </sheetView>
  </sheetViews>
  <sheetFormatPr defaultRowHeight="12.75"/>
  <cols>
    <col min="1" max="1" width="35.7109375" style="172" customWidth="1"/>
    <col min="2" max="11" width="10.7109375" style="172" customWidth="1"/>
    <col min="12" max="256" width="9.140625" style="172"/>
    <col min="257" max="257" width="35.7109375" style="172" customWidth="1"/>
    <col min="258" max="267" width="10.7109375" style="172" customWidth="1"/>
    <col min="268" max="512" width="9.140625" style="172"/>
    <col min="513" max="513" width="35.7109375" style="172" customWidth="1"/>
    <col min="514" max="523" width="10.7109375" style="172" customWidth="1"/>
    <col min="524" max="768" width="9.140625" style="172"/>
    <col min="769" max="769" width="35.7109375" style="172" customWidth="1"/>
    <col min="770" max="779" width="10.7109375" style="172" customWidth="1"/>
    <col min="780" max="1024" width="9.140625" style="172"/>
    <col min="1025" max="1025" width="35.7109375" style="172" customWidth="1"/>
    <col min="1026" max="1035" width="10.7109375" style="172" customWidth="1"/>
    <col min="1036" max="1280" width="9.140625" style="172"/>
    <col min="1281" max="1281" width="35.7109375" style="172" customWidth="1"/>
    <col min="1282" max="1291" width="10.7109375" style="172" customWidth="1"/>
    <col min="1292" max="1536" width="9.140625" style="172"/>
    <col min="1537" max="1537" width="35.7109375" style="172" customWidth="1"/>
    <col min="1538" max="1547" width="10.7109375" style="172" customWidth="1"/>
    <col min="1548" max="1792" width="9.140625" style="172"/>
    <col min="1793" max="1793" width="35.7109375" style="172" customWidth="1"/>
    <col min="1794" max="1803" width="10.7109375" style="172" customWidth="1"/>
    <col min="1804" max="2048" width="9.140625" style="172"/>
    <col min="2049" max="2049" width="35.7109375" style="172" customWidth="1"/>
    <col min="2050" max="2059" width="10.7109375" style="172" customWidth="1"/>
    <col min="2060" max="2304" width="9.140625" style="172"/>
    <col min="2305" max="2305" width="35.7109375" style="172" customWidth="1"/>
    <col min="2306" max="2315" width="10.7109375" style="172" customWidth="1"/>
    <col min="2316" max="2560" width="9.140625" style="172"/>
    <col min="2561" max="2561" width="35.7109375" style="172" customWidth="1"/>
    <col min="2562" max="2571" width="10.7109375" style="172" customWidth="1"/>
    <col min="2572" max="2816" width="9.140625" style="172"/>
    <col min="2817" max="2817" width="35.7109375" style="172" customWidth="1"/>
    <col min="2818" max="2827" width="10.7109375" style="172" customWidth="1"/>
    <col min="2828" max="3072" width="9.140625" style="172"/>
    <col min="3073" max="3073" width="35.7109375" style="172" customWidth="1"/>
    <col min="3074" max="3083" width="10.7109375" style="172" customWidth="1"/>
    <col min="3084" max="3328" width="9.140625" style="172"/>
    <col min="3329" max="3329" width="35.7109375" style="172" customWidth="1"/>
    <col min="3330" max="3339" width="10.7109375" style="172" customWidth="1"/>
    <col min="3340" max="3584" width="9.140625" style="172"/>
    <col min="3585" max="3585" width="35.7109375" style="172" customWidth="1"/>
    <col min="3586" max="3595" width="10.7109375" style="172" customWidth="1"/>
    <col min="3596" max="3840" width="9.140625" style="172"/>
    <col min="3841" max="3841" width="35.7109375" style="172" customWidth="1"/>
    <col min="3842" max="3851" width="10.7109375" style="172" customWidth="1"/>
    <col min="3852" max="4096" width="9.140625" style="172"/>
    <col min="4097" max="4097" width="35.7109375" style="172" customWidth="1"/>
    <col min="4098" max="4107" width="10.7109375" style="172" customWidth="1"/>
    <col min="4108" max="4352" width="9.140625" style="172"/>
    <col min="4353" max="4353" width="35.7109375" style="172" customWidth="1"/>
    <col min="4354" max="4363" width="10.7109375" style="172" customWidth="1"/>
    <col min="4364" max="4608" width="9.140625" style="172"/>
    <col min="4609" max="4609" width="35.7109375" style="172" customWidth="1"/>
    <col min="4610" max="4619" width="10.7109375" style="172" customWidth="1"/>
    <col min="4620" max="4864" width="9.140625" style="172"/>
    <col min="4865" max="4865" width="35.7109375" style="172" customWidth="1"/>
    <col min="4866" max="4875" width="10.7109375" style="172" customWidth="1"/>
    <col min="4876" max="5120" width="9.140625" style="172"/>
    <col min="5121" max="5121" width="35.7109375" style="172" customWidth="1"/>
    <col min="5122" max="5131" width="10.7109375" style="172" customWidth="1"/>
    <col min="5132" max="5376" width="9.140625" style="172"/>
    <col min="5377" max="5377" width="35.7109375" style="172" customWidth="1"/>
    <col min="5378" max="5387" width="10.7109375" style="172" customWidth="1"/>
    <col min="5388" max="5632" width="9.140625" style="172"/>
    <col min="5633" max="5633" width="35.7109375" style="172" customWidth="1"/>
    <col min="5634" max="5643" width="10.7109375" style="172" customWidth="1"/>
    <col min="5644" max="5888" width="9.140625" style="172"/>
    <col min="5889" max="5889" width="35.7109375" style="172" customWidth="1"/>
    <col min="5890" max="5899" width="10.7109375" style="172" customWidth="1"/>
    <col min="5900" max="6144" width="9.140625" style="172"/>
    <col min="6145" max="6145" width="35.7109375" style="172" customWidth="1"/>
    <col min="6146" max="6155" width="10.7109375" style="172" customWidth="1"/>
    <col min="6156" max="6400" width="9.140625" style="172"/>
    <col min="6401" max="6401" width="35.7109375" style="172" customWidth="1"/>
    <col min="6402" max="6411" width="10.7109375" style="172" customWidth="1"/>
    <col min="6412" max="6656" width="9.140625" style="172"/>
    <col min="6657" max="6657" width="35.7109375" style="172" customWidth="1"/>
    <col min="6658" max="6667" width="10.7109375" style="172" customWidth="1"/>
    <col min="6668" max="6912" width="9.140625" style="172"/>
    <col min="6913" max="6913" width="35.7109375" style="172" customWidth="1"/>
    <col min="6914" max="6923" width="10.7109375" style="172" customWidth="1"/>
    <col min="6924" max="7168" width="9.140625" style="172"/>
    <col min="7169" max="7169" width="35.7109375" style="172" customWidth="1"/>
    <col min="7170" max="7179" width="10.7109375" style="172" customWidth="1"/>
    <col min="7180" max="7424" width="9.140625" style="172"/>
    <col min="7425" max="7425" width="35.7109375" style="172" customWidth="1"/>
    <col min="7426" max="7435" width="10.7109375" style="172" customWidth="1"/>
    <col min="7436" max="7680" width="9.140625" style="172"/>
    <col min="7681" max="7681" width="35.7109375" style="172" customWidth="1"/>
    <col min="7682" max="7691" width="10.7109375" style="172" customWidth="1"/>
    <col min="7692" max="7936" width="9.140625" style="172"/>
    <col min="7937" max="7937" width="35.7109375" style="172" customWidth="1"/>
    <col min="7938" max="7947" width="10.7109375" style="172" customWidth="1"/>
    <col min="7948" max="8192" width="9.140625" style="172"/>
    <col min="8193" max="8193" width="35.7109375" style="172" customWidth="1"/>
    <col min="8194" max="8203" width="10.7109375" style="172" customWidth="1"/>
    <col min="8204" max="8448" width="9.140625" style="172"/>
    <col min="8449" max="8449" width="35.7109375" style="172" customWidth="1"/>
    <col min="8450" max="8459" width="10.7109375" style="172" customWidth="1"/>
    <col min="8460" max="8704" width="9.140625" style="172"/>
    <col min="8705" max="8705" width="35.7109375" style="172" customWidth="1"/>
    <col min="8706" max="8715" width="10.7109375" style="172" customWidth="1"/>
    <col min="8716" max="8960" width="9.140625" style="172"/>
    <col min="8961" max="8961" width="35.7109375" style="172" customWidth="1"/>
    <col min="8962" max="8971" width="10.7109375" style="172" customWidth="1"/>
    <col min="8972" max="9216" width="9.140625" style="172"/>
    <col min="9217" max="9217" width="35.7109375" style="172" customWidth="1"/>
    <col min="9218" max="9227" width="10.7109375" style="172" customWidth="1"/>
    <col min="9228" max="9472" width="9.140625" style="172"/>
    <col min="9473" max="9473" width="35.7109375" style="172" customWidth="1"/>
    <col min="9474" max="9483" width="10.7109375" style="172" customWidth="1"/>
    <col min="9484" max="9728" width="9.140625" style="172"/>
    <col min="9729" max="9729" width="35.7109375" style="172" customWidth="1"/>
    <col min="9730" max="9739" width="10.7109375" style="172" customWidth="1"/>
    <col min="9740" max="9984" width="9.140625" style="172"/>
    <col min="9985" max="9985" width="35.7109375" style="172" customWidth="1"/>
    <col min="9986" max="9995" width="10.7109375" style="172" customWidth="1"/>
    <col min="9996" max="10240" width="9.140625" style="172"/>
    <col min="10241" max="10241" width="35.7109375" style="172" customWidth="1"/>
    <col min="10242" max="10251" width="10.7109375" style="172" customWidth="1"/>
    <col min="10252" max="10496" width="9.140625" style="172"/>
    <col min="10497" max="10497" width="35.7109375" style="172" customWidth="1"/>
    <col min="10498" max="10507" width="10.7109375" style="172" customWidth="1"/>
    <col min="10508" max="10752" width="9.140625" style="172"/>
    <col min="10753" max="10753" width="35.7109375" style="172" customWidth="1"/>
    <col min="10754" max="10763" width="10.7109375" style="172" customWidth="1"/>
    <col min="10764" max="11008" width="9.140625" style="172"/>
    <col min="11009" max="11009" width="35.7109375" style="172" customWidth="1"/>
    <col min="11010" max="11019" width="10.7109375" style="172" customWidth="1"/>
    <col min="11020" max="11264" width="9.140625" style="172"/>
    <col min="11265" max="11265" width="35.7109375" style="172" customWidth="1"/>
    <col min="11266" max="11275" width="10.7109375" style="172" customWidth="1"/>
    <col min="11276" max="11520" width="9.140625" style="172"/>
    <col min="11521" max="11521" width="35.7109375" style="172" customWidth="1"/>
    <col min="11522" max="11531" width="10.7109375" style="172" customWidth="1"/>
    <col min="11532" max="11776" width="9.140625" style="172"/>
    <col min="11777" max="11777" width="35.7109375" style="172" customWidth="1"/>
    <col min="11778" max="11787" width="10.7109375" style="172" customWidth="1"/>
    <col min="11788" max="12032" width="9.140625" style="172"/>
    <col min="12033" max="12033" width="35.7109375" style="172" customWidth="1"/>
    <col min="12034" max="12043" width="10.7109375" style="172" customWidth="1"/>
    <col min="12044" max="12288" width="9.140625" style="172"/>
    <col min="12289" max="12289" width="35.7109375" style="172" customWidth="1"/>
    <col min="12290" max="12299" width="10.7109375" style="172" customWidth="1"/>
    <col min="12300" max="12544" width="9.140625" style="172"/>
    <col min="12545" max="12545" width="35.7109375" style="172" customWidth="1"/>
    <col min="12546" max="12555" width="10.7109375" style="172" customWidth="1"/>
    <col min="12556" max="12800" width="9.140625" style="172"/>
    <col min="12801" max="12801" width="35.7109375" style="172" customWidth="1"/>
    <col min="12802" max="12811" width="10.7109375" style="172" customWidth="1"/>
    <col min="12812" max="13056" width="9.140625" style="172"/>
    <col min="13057" max="13057" width="35.7109375" style="172" customWidth="1"/>
    <col min="13058" max="13067" width="10.7109375" style="172" customWidth="1"/>
    <col min="13068" max="13312" width="9.140625" style="172"/>
    <col min="13313" max="13313" width="35.7109375" style="172" customWidth="1"/>
    <col min="13314" max="13323" width="10.7109375" style="172" customWidth="1"/>
    <col min="13324" max="13568" width="9.140625" style="172"/>
    <col min="13569" max="13569" width="35.7109375" style="172" customWidth="1"/>
    <col min="13570" max="13579" width="10.7109375" style="172" customWidth="1"/>
    <col min="13580" max="13824" width="9.140625" style="172"/>
    <col min="13825" max="13825" width="35.7109375" style="172" customWidth="1"/>
    <col min="13826" max="13835" width="10.7109375" style="172" customWidth="1"/>
    <col min="13836" max="14080" width="9.140625" style="172"/>
    <col min="14081" max="14081" width="35.7109375" style="172" customWidth="1"/>
    <col min="14082" max="14091" width="10.7109375" style="172" customWidth="1"/>
    <col min="14092" max="14336" width="9.140625" style="172"/>
    <col min="14337" max="14337" width="35.7109375" style="172" customWidth="1"/>
    <col min="14338" max="14347" width="10.7109375" style="172" customWidth="1"/>
    <col min="14348" max="14592" width="9.140625" style="172"/>
    <col min="14593" max="14593" width="35.7109375" style="172" customWidth="1"/>
    <col min="14594" max="14603" width="10.7109375" style="172" customWidth="1"/>
    <col min="14604" max="14848" width="9.140625" style="172"/>
    <col min="14849" max="14849" width="35.7109375" style="172" customWidth="1"/>
    <col min="14850" max="14859" width="10.7109375" style="172" customWidth="1"/>
    <col min="14860" max="15104" width="9.140625" style="172"/>
    <col min="15105" max="15105" width="35.7109375" style="172" customWidth="1"/>
    <col min="15106" max="15115" width="10.7109375" style="172" customWidth="1"/>
    <col min="15116" max="15360" width="9.140625" style="172"/>
    <col min="15361" max="15361" width="35.7109375" style="172" customWidth="1"/>
    <col min="15362" max="15371" width="10.7109375" style="172" customWidth="1"/>
    <col min="15372" max="15616" width="9.140625" style="172"/>
    <col min="15617" max="15617" width="35.7109375" style="172" customWidth="1"/>
    <col min="15618" max="15627" width="10.7109375" style="172" customWidth="1"/>
    <col min="15628" max="15872" width="9.140625" style="172"/>
    <col min="15873" max="15873" width="35.7109375" style="172" customWidth="1"/>
    <col min="15874" max="15883" width="10.7109375" style="172" customWidth="1"/>
    <col min="15884" max="16128" width="9.140625" style="172"/>
    <col min="16129" max="16129" width="35.7109375" style="172" customWidth="1"/>
    <col min="16130" max="16139" width="10.7109375" style="172" customWidth="1"/>
    <col min="16140" max="16384" width="9.140625" style="172"/>
  </cols>
  <sheetData>
    <row r="1" spans="1:12" ht="22.5" customHeight="1">
      <c r="A1" s="1479" t="s">
        <v>661</v>
      </c>
      <c r="B1" s="1480"/>
      <c r="C1" s="1480"/>
      <c r="D1" s="1480"/>
      <c r="E1" s="1480"/>
      <c r="F1" s="1480"/>
      <c r="G1" s="1480"/>
      <c r="H1" s="1480"/>
      <c r="I1" s="1480"/>
      <c r="J1" s="1480"/>
      <c r="K1" s="1481"/>
    </row>
    <row r="2" spans="1:12" ht="24" customHeight="1">
      <c r="A2" s="760" t="s">
        <v>286</v>
      </c>
      <c r="B2" s="206">
        <v>0.9</v>
      </c>
      <c r="C2" s="206">
        <v>1</v>
      </c>
      <c r="D2" s="206">
        <v>1</v>
      </c>
      <c r="E2" s="206">
        <v>1</v>
      </c>
      <c r="F2" s="206">
        <v>1</v>
      </c>
      <c r="G2" s="206">
        <v>1</v>
      </c>
      <c r="H2" s="206">
        <v>1</v>
      </c>
      <c r="I2" s="206">
        <v>1</v>
      </c>
      <c r="J2" s="206">
        <v>1</v>
      </c>
      <c r="K2" s="764">
        <v>1</v>
      </c>
    </row>
    <row r="3" spans="1:12" ht="18" customHeight="1">
      <c r="A3" s="1482" t="s">
        <v>298</v>
      </c>
      <c r="B3" s="1483"/>
      <c r="C3" s="1483"/>
      <c r="D3" s="1483"/>
      <c r="E3" s="1483"/>
      <c r="F3" s="1483"/>
      <c r="G3" s="1483"/>
      <c r="H3" s="1483"/>
      <c r="I3" s="1483"/>
      <c r="J3" s="1483"/>
      <c r="K3" s="1484"/>
      <c r="L3" s="179"/>
    </row>
    <row r="4" spans="1:12" ht="27" customHeight="1">
      <c r="A4" s="760"/>
      <c r="B4" s="170" t="s">
        <v>287</v>
      </c>
      <c r="C4" s="170" t="s">
        <v>288</v>
      </c>
      <c r="D4" s="170" t="s">
        <v>289</v>
      </c>
      <c r="E4" s="170" t="s">
        <v>290</v>
      </c>
      <c r="F4" s="170" t="s">
        <v>291</v>
      </c>
      <c r="G4" s="170" t="s">
        <v>292</v>
      </c>
      <c r="H4" s="170" t="s">
        <v>293</v>
      </c>
      <c r="I4" s="170" t="s">
        <v>294</v>
      </c>
      <c r="J4" s="170" t="s">
        <v>295</v>
      </c>
      <c r="K4" s="765" t="s">
        <v>296</v>
      </c>
      <c r="L4" s="179"/>
    </row>
    <row r="5" spans="1:12" s="162" customFormat="1" ht="20.25" customHeight="1">
      <c r="A5" s="760" t="s">
        <v>527</v>
      </c>
      <c r="B5" s="184">
        <f>'Cashflow Option 1'!H11</f>
        <v>2035.2829305093751</v>
      </c>
      <c r="C5" s="184">
        <f>'Cashflow Option 1'!I11</f>
        <v>2393.1580027410423</v>
      </c>
      <c r="D5" s="184">
        <f>'Cashflow Option 1'!J11</f>
        <v>2532.5647444396996</v>
      </c>
      <c r="E5" s="184">
        <f>'Cashflow Option 1'!K11</f>
        <v>2680.0928041001916</v>
      </c>
      <c r="F5" s="184">
        <f>'Cashflow Option 1'!L11</f>
        <v>2836.215332307238</v>
      </c>
      <c r="G5" s="184">
        <f>'Cashflow Option 1'!M11</f>
        <v>3001.4330474494791</v>
      </c>
      <c r="H5" s="184">
        <f>'Cashflow Option 1'!N11</f>
        <v>3176.2758420491173</v>
      </c>
      <c r="I5" s="184">
        <f>'Cashflow Option 1'!O11</f>
        <v>3361.304482696059</v>
      </c>
      <c r="J5" s="184">
        <f>'Cashflow Option 1'!P11</f>
        <v>3557.112409041446</v>
      </c>
      <c r="K5" s="766">
        <f>'Cashflow Option 1'!Q11</f>
        <v>3764.3276376234389</v>
      </c>
      <c r="L5" s="179"/>
    </row>
    <row r="6" spans="1:12" s="162" customFormat="1" ht="24.75" customHeight="1">
      <c r="A6" s="760" t="s">
        <v>530</v>
      </c>
      <c r="B6" s="184">
        <f>'Cashflow Option 1'!H20</f>
        <v>1515.9148054209468</v>
      </c>
      <c r="C6" s="184">
        <f>'Cashflow Option 1'!I20</f>
        <v>1773.8783569103452</v>
      </c>
      <c r="D6" s="184">
        <f>'Cashflow Option 1'!J20</f>
        <v>1871.5302396180693</v>
      </c>
      <c r="E6" s="184">
        <f>'Cashflow Option 1'!K20</f>
        <v>1974.6022431490962</v>
      </c>
      <c r="F6" s="184">
        <f>'Cashflow Option 1'!L20</f>
        <v>2083.3972966727506</v>
      </c>
      <c r="G6" s="184">
        <f>'Cashflow Option 1'!M20</f>
        <v>2198.2353573965352</v>
      </c>
      <c r="H6" s="184">
        <f>'Cashflow Option 1'!N20</f>
        <v>2319.4543722466615</v>
      </c>
      <c r="I6" s="184">
        <f>'Cashflow Option 1'!O20</f>
        <v>2447.4112940686136</v>
      </c>
      <c r="J6" s="184">
        <f>'Cashflow Option 1'!P20</f>
        <v>2582.4831554481293</v>
      </c>
      <c r="K6" s="766">
        <f>'Cashflow Option 1'!Q20</f>
        <v>2725.0682034297688</v>
      </c>
      <c r="L6" s="179"/>
    </row>
    <row r="7" spans="1:12" s="162" customFormat="1" ht="24.75" customHeight="1">
      <c r="A7" s="66" t="s">
        <v>524</v>
      </c>
      <c r="B7" s="183">
        <f>'Cashflow Option 1'!H15</f>
        <v>1209.860012314324</v>
      </c>
      <c r="C7" s="183">
        <f>'Cashflow Option 1'!I15</f>
        <v>1421.6392860254332</v>
      </c>
      <c r="D7" s="183">
        <f>'Cashflow Option 1'!J15</f>
        <v>1503.4404105433366</v>
      </c>
      <c r="E7" s="183">
        <f>'Cashflow Option 1'!K15</f>
        <v>1589.9483717660003</v>
      </c>
      <c r="F7" s="183">
        <f>'Cashflow Option 1'!L15</f>
        <v>1681.4340010774154</v>
      </c>
      <c r="G7" s="183">
        <f>'Cashflow Option 1'!M15</f>
        <v>1778.18371349941</v>
      </c>
      <c r="H7" s="183">
        <f>'Cashflow Option 1'!N15</f>
        <v>1880.5004043741656</v>
      </c>
      <c r="I7" s="183">
        <f>'Cashflow Option 1'!O15</f>
        <v>1988.7043976418554</v>
      </c>
      <c r="J7" s="183">
        <f>'Cashflow Option 1'!P15</f>
        <v>2103.1344486821672</v>
      </c>
      <c r="K7" s="772">
        <f>'Cashflow Option 1'!Q15</f>
        <v>2224.1488048593387</v>
      </c>
      <c r="L7" s="179"/>
    </row>
    <row r="8" spans="1:12" s="162" customFormat="1" ht="24.75" customHeight="1">
      <c r="A8" s="66" t="s">
        <v>33</v>
      </c>
      <c r="B8" s="183">
        <f>'Cashflow Option 1'!H16</f>
        <v>26.91</v>
      </c>
      <c r="C8" s="183">
        <f>'Cashflow Option 1'!I16</f>
        <v>28.120949999999997</v>
      </c>
      <c r="D8" s="183">
        <f>'Cashflow Option 1'!J16</f>
        <v>29.386392749999995</v>
      </c>
      <c r="E8" s="183">
        <f>'Cashflow Option 1'!K16</f>
        <v>30.708780423749996</v>
      </c>
      <c r="F8" s="183">
        <f>'Cashflow Option 1'!L16</f>
        <v>32.090675542818737</v>
      </c>
      <c r="G8" s="183">
        <f>'Cashflow Option 1'!M16</f>
        <v>33.534755942245582</v>
      </c>
      <c r="H8" s="183">
        <f>'Cashflow Option 1'!N16</f>
        <v>35.043819959646619</v>
      </c>
      <c r="I8" s="183">
        <f>'Cashflow Option 1'!O16</f>
        <v>36.620791857830724</v>
      </c>
      <c r="J8" s="183">
        <f>'Cashflow Option 1'!P16</f>
        <v>38.26872749143309</v>
      </c>
      <c r="K8" s="772">
        <f>'Cashflow Option 1'!Q16</f>
        <v>39.990820228547577</v>
      </c>
      <c r="L8" s="179"/>
    </row>
    <row r="9" spans="1:12" s="162" customFormat="1" ht="24.75" customHeight="1">
      <c r="A9" s="66" t="s">
        <v>20</v>
      </c>
      <c r="B9" s="183">
        <f>'Cashflow Option 1'!H17</f>
        <v>179.16743734740004</v>
      </c>
      <c r="C9" s="183">
        <f>'Cashflow Option 1'!I17</f>
        <v>208.03330225337001</v>
      </c>
      <c r="D9" s="183">
        <f>'Cashflow Option 1'!J17</f>
        <v>217.39480085477166</v>
      </c>
      <c r="E9" s="183">
        <f>'Cashflow Option 1'!K17</f>
        <v>227.17756689323639</v>
      </c>
      <c r="F9" s="183">
        <f>'Cashflow Option 1'!L17</f>
        <v>237.40055740343195</v>
      </c>
      <c r="G9" s="183">
        <f>'Cashflow Option 1'!M17</f>
        <v>248.08358248658638</v>
      </c>
      <c r="H9" s="183">
        <f>'Cashflow Option 1'!N17</f>
        <v>259.24734369848272</v>
      </c>
      <c r="I9" s="183">
        <f>'Cashflow Option 1'!O17</f>
        <v>270.91347416491448</v>
      </c>
      <c r="J9" s="183">
        <f>'Cashflow Option 1'!P17</f>
        <v>283.10458050233552</v>
      </c>
      <c r="K9" s="772">
        <f>'Cashflow Option 1'!Q17</f>
        <v>295.84428662494059</v>
      </c>
      <c r="L9" s="179"/>
    </row>
    <row r="10" spans="1:12" s="162" customFormat="1" ht="24.75" customHeight="1">
      <c r="A10" s="66" t="s">
        <v>23</v>
      </c>
      <c r="B10" s="183">
        <f>'Cashflow Option 1'!H18</f>
        <v>27.484320937499998</v>
      </c>
      <c r="C10" s="183">
        <f>'Cashflow Option 1'!I18</f>
        <v>31.912350421874997</v>
      </c>
      <c r="D10" s="183">
        <f>'Cashflow Option 1'!J18</f>
        <v>33.348406190859365</v>
      </c>
      <c r="E10" s="183">
        <f>'Cashflow Option 1'!K18</f>
        <v>34.849084469448037</v>
      </c>
      <c r="F10" s="183">
        <f>'Cashflow Option 1'!L18</f>
        <v>36.41729327057319</v>
      </c>
      <c r="G10" s="183">
        <f>'Cashflow Option 1'!M18</f>
        <v>38.056071467748986</v>
      </c>
      <c r="H10" s="183">
        <f>'Cashflow Option 1'!N18</f>
        <v>39.76859468379768</v>
      </c>
      <c r="I10" s="183">
        <f>'Cashflow Option 1'!O18</f>
        <v>41.558181444568575</v>
      </c>
      <c r="J10" s="183">
        <f>'Cashflow Option 1'!P18</f>
        <v>43.428299609574154</v>
      </c>
      <c r="K10" s="772">
        <f>'Cashflow Option 1'!Q18</f>
        <v>45.382573092004982</v>
      </c>
      <c r="L10" s="179"/>
    </row>
    <row r="11" spans="1:12" s="162" customFormat="1" ht="24.75" customHeight="1">
      <c r="A11" s="66" t="s">
        <v>25</v>
      </c>
      <c r="B11" s="183">
        <f>'Cashflow Option 1'!H19</f>
        <v>72.493034821722745</v>
      </c>
      <c r="C11" s="183">
        <f>'Cashflow Option 1'!I19</f>
        <v>84.172468209666945</v>
      </c>
      <c r="D11" s="183">
        <f>'Cashflow Option 1'!J19</f>
        <v>87.960229279101952</v>
      </c>
      <c r="E11" s="183">
        <f>'Cashflow Option 1'!K19</f>
        <v>91.918439596661543</v>
      </c>
      <c r="F11" s="183">
        <f>'Cashflow Option 1'!L19</f>
        <v>96.054769378511281</v>
      </c>
      <c r="G11" s="183">
        <f>'Cashflow Option 1'!M19</f>
        <v>100.37723400054429</v>
      </c>
      <c r="H11" s="183">
        <f>'Cashflow Option 1'!N19</f>
        <v>104.89420953056876</v>
      </c>
      <c r="I11" s="183">
        <f>'Cashflow Option 1'!O19</f>
        <v>109.61444895944436</v>
      </c>
      <c r="J11" s="183">
        <f>'Cashflow Option 1'!P19</f>
        <v>114.54709916261932</v>
      </c>
      <c r="K11" s="772">
        <f>'Cashflow Option 1'!Q19</f>
        <v>119.70171862493719</v>
      </c>
      <c r="L11" s="179"/>
    </row>
    <row r="12" spans="1:12" ht="12.95" customHeight="1">
      <c r="A12" s="760" t="s">
        <v>32</v>
      </c>
      <c r="B12" s="184">
        <f t="shared" ref="B12:K12" si="0">B5-B6</f>
        <v>519.36812508842831</v>
      </c>
      <c r="C12" s="184">
        <f t="shared" si="0"/>
        <v>619.27964583069706</v>
      </c>
      <c r="D12" s="184">
        <f t="shared" si="0"/>
        <v>661.03450482163021</v>
      </c>
      <c r="E12" s="184">
        <f t="shared" si="0"/>
        <v>705.4905609510954</v>
      </c>
      <c r="F12" s="184">
        <f t="shared" si="0"/>
        <v>752.81803563448739</v>
      </c>
      <c r="G12" s="184">
        <f t="shared" si="0"/>
        <v>803.19769005294393</v>
      </c>
      <c r="H12" s="184">
        <f t="shared" si="0"/>
        <v>856.82146980245579</v>
      </c>
      <c r="I12" s="184">
        <f t="shared" si="0"/>
        <v>913.8931886274454</v>
      </c>
      <c r="J12" s="184">
        <f t="shared" si="0"/>
        <v>974.62925359331666</v>
      </c>
      <c r="K12" s="766">
        <f t="shared" si="0"/>
        <v>1039.2594341936701</v>
      </c>
      <c r="L12" s="180"/>
    </row>
    <row r="13" spans="1:12" s="162" customFormat="1" ht="26.25" customHeight="1">
      <c r="A13" s="760" t="s">
        <v>531</v>
      </c>
      <c r="B13" s="184">
        <f>' Break EvenPoint'!$B$14</f>
        <v>176.86750000000001</v>
      </c>
      <c r="C13" s="184">
        <f>' Break EvenPoint'!$B$14</f>
        <v>176.86750000000001</v>
      </c>
      <c r="D13" s="184">
        <f>' Break EvenPoint'!$B$14</f>
        <v>176.86750000000001</v>
      </c>
      <c r="E13" s="184">
        <f>' Break EvenPoint'!$B$14</f>
        <v>176.86750000000001</v>
      </c>
      <c r="F13" s="184">
        <f>' Break EvenPoint'!$B$14</f>
        <v>176.86750000000001</v>
      </c>
      <c r="G13" s="184">
        <f>' Break EvenPoint'!$B$14</f>
        <v>176.86750000000001</v>
      </c>
      <c r="H13" s="184">
        <f>' Break EvenPoint'!$B$14</f>
        <v>176.86750000000001</v>
      </c>
      <c r="I13" s="184">
        <f>' Break EvenPoint'!$B$14</f>
        <v>176.86750000000001</v>
      </c>
      <c r="J13" s="184">
        <f>' Break EvenPoint'!$B$14</f>
        <v>176.86750000000001</v>
      </c>
      <c r="K13" s="766">
        <f>' Break EvenPoint'!$B$14</f>
        <v>176.86750000000001</v>
      </c>
      <c r="L13" s="179"/>
    </row>
    <row r="14" spans="1:12" s="162" customFormat="1" ht="19.5" customHeight="1">
      <c r="A14" s="760" t="s">
        <v>532</v>
      </c>
      <c r="B14" s="184">
        <f>B12-B13</f>
        <v>342.50062508842831</v>
      </c>
      <c r="C14" s="184">
        <f t="shared" ref="C14:K14" si="1">C12-C13</f>
        <v>442.41214583069706</v>
      </c>
      <c r="D14" s="184">
        <f t="shared" si="1"/>
        <v>484.1670048216302</v>
      </c>
      <c r="E14" s="184">
        <f t="shared" si="1"/>
        <v>528.62306095109534</v>
      </c>
      <c r="F14" s="184">
        <f t="shared" si="1"/>
        <v>575.95053563448732</v>
      </c>
      <c r="G14" s="184">
        <f t="shared" si="1"/>
        <v>626.33019005294386</v>
      </c>
      <c r="H14" s="184">
        <f t="shared" si="1"/>
        <v>679.95396980245573</v>
      </c>
      <c r="I14" s="184">
        <f t="shared" si="1"/>
        <v>737.02568862744533</v>
      </c>
      <c r="J14" s="184">
        <f t="shared" si="1"/>
        <v>797.7617535933166</v>
      </c>
      <c r="K14" s="766">
        <f t="shared" si="1"/>
        <v>862.39193419367007</v>
      </c>
      <c r="L14" s="179"/>
    </row>
    <row r="15" spans="1:12" s="162" customFormat="1" ht="20.25" customHeight="1">
      <c r="A15" s="760" t="s">
        <v>326</v>
      </c>
      <c r="B15" s="767">
        <f>B14*0.2517</f>
        <v>86.207407334757391</v>
      </c>
      <c r="C15" s="767">
        <f t="shared" ref="C15:K15" si="2">C14*0.2517</f>
        <v>111.35513710558644</v>
      </c>
      <c r="D15" s="767">
        <f t="shared" si="2"/>
        <v>121.86483511360431</v>
      </c>
      <c r="E15" s="767">
        <f t="shared" si="2"/>
        <v>133.05442444139069</v>
      </c>
      <c r="F15" s="767">
        <f t="shared" si="2"/>
        <v>144.96674981920046</v>
      </c>
      <c r="G15" s="767">
        <f t="shared" si="2"/>
        <v>157.64730883632595</v>
      </c>
      <c r="H15" s="767">
        <f t="shared" si="2"/>
        <v>171.14441419927809</v>
      </c>
      <c r="I15" s="767">
        <f t="shared" si="2"/>
        <v>185.50936582752797</v>
      </c>
      <c r="J15" s="767">
        <f t="shared" si="2"/>
        <v>200.79663337943776</v>
      </c>
      <c r="K15" s="762">
        <f t="shared" si="2"/>
        <v>217.06404983654673</v>
      </c>
      <c r="L15" s="179"/>
    </row>
    <row r="16" spans="1:12">
      <c r="A16" s="761" t="s">
        <v>327</v>
      </c>
      <c r="B16" s="763">
        <f>B14-B15</f>
        <v>256.29321775367089</v>
      </c>
      <c r="C16" s="763">
        <f t="shared" ref="C16:K16" si="3">C14-C15</f>
        <v>331.05700872511062</v>
      </c>
      <c r="D16" s="763">
        <f t="shared" si="3"/>
        <v>362.30216970802587</v>
      </c>
      <c r="E16" s="763">
        <f t="shared" si="3"/>
        <v>395.56863650970467</v>
      </c>
      <c r="F16" s="763">
        <f t="shared" si="3"/>
        <v>430.98378581528686</v>
      </c>
      <c r="G16" s="763">
        <f t="shared" si="3"/>
        <v>468.68288121661794</v>
      </c>
      <c r="H16" s="763">
        <f t="shared" si="3"/>
        <v>508.80955560317761</v>
      </c>
      <c r="I16" s="763">
        <f t="shared" si="3"/>
        <v>551.51632279991736</v>
      </c>
      <c r="J16" s="763">
        <f t="shared" si="3"/>
        <v>596.96512021387889</v>
      </c>
      <c r="K16" s="768">
        <f t="shared" si="3"/>
        <v>645.32788435712337</v>
      </c>
    </row>
    <row r="17" spans="1:11">
      <c r="A17" s="180"/>
      <c r="B17" s="180"/>
      <c r="C17" s="180"/>
      <c r="D17" s="181"/>
      <c r="E17" s="181"/>
      <c r="F17" s="181"/>
      <c r="G17" s="181"/>
      <c r="H17" s="181"/>
      <c r="I17" s="181"/>
      <c r="J17" s="181"/>
      <c r="K17" s="181"/>
    </row>
    <row r="18" spans="1:11">
      <c r="A18" s="180"/>
      <c r="B18" s="180"/>
      <c r="C18" s="180"/>
      <c r="D18" s="181"/>
      <c r="E18" s="181"/>
      <c r="F18" s="181"/>
      <c r="G18" s="181"/>
      <c r="H18" s="181"/>
      <c r="I18" s="181"/>
      <c r="J18" s="181"/>
      <c r="K18" s="181"/>
    </row>
    <row r="19" spans="1:11">
      <c r="A19" s="180"/>
      <c r="B19" s="180"/>
      <c r="C19" s="180"/>
      <c r="D19" s="181"/>
      <c r="E19" s="181"/>
      <c r="F19" s="181"/>
      <c r="G19" s="181"/>
      <c r="H19" s="181"/>
      <c r="I19" s="181"/>
      <c r="J19" s="181"/>
      <c r="K19" s="181"/>
    </row>
    <row r="20" spans="1:11">
      <c r="A20" s="180"/>
      <c r="B20" s="180"/>
      <c r="C20" s="180"/>
      <c r="D20" s="181"/>
      <c r="E20" s="181"/>
      <c r="F20" s="181"/>
      <c r="G20" s="181"/>
      <c r="H20" s="181"/>
      <c r="I20" s="181"/>
      <c r="J20" s="181"/>
      <c r="K20" s="181"/>
    </row>
    <row r="21" spans="1:11">
      <c r="A21" s="180"/>
      <c r="B21" s="180"/>
      <c r="C21" s="180"/>
      <c r="D21" s="181"/>
      <c r="E21" s="181"/>
      <c r="F21" s="181"/>
      <c r="G21" s="181"/>
      <c r="H21" s="181"/>
      <c r="I21" s="181"/>
      <c r="J21" s="181"/>
      <c r="K21" s="181"/>
    </row>
    <row r="22" spans="1:11">
      <c r="A22" s="180"/>
      <c r="B22" s="180"/>
      <c r="C22" s="180"/>
      <c r="D22" s="181"/>
      <c r="E22" s="181"/>
      <c r="F22" s="181"/>
      <c r="G22" s="181"/>
      <c r="H22" s="181"/>
      <c r="I22" s="181"/>
      <c r="J22" s="181"/>
      <c r="K22" s="181"/>
    </row>
    <row r="23" spans="1:11">
      <c r="A23" s="180"/>
      <c r="B23" s="180"/>
      <c r="C23" s="180"/>
      <c r="D23" s="181"/>
      <c r="E23" s="181"/>
      <c r="F23" s="181"/>
      <c r="G23" s="181"/>
      <c r="H23" s="181"/>
      <c r="I23" s="181"/>
      <c r="J23" s="181"/>
      <c r="K23" s="181"/>
    </row>
    <row r="24" spans="1:11">
      <c r="A24" s="180"/>
      <c r="B24" s="180"/>
      <c r="C24" s="180"/>
      <c r="D24" s="181"/>
      <c r="E24" s="181"/>
      <c r="F24" s="181"/>
      <c r="G24" s="181"/>
      <c r="H24" s="181"/>
      <c r="I24" s="181"/>
      <c r="J24" s="181"/>
      <c r="K24" s="181"/>
    </row>
    <row r="25" spans="1:11">
      <c r="A25" s="180"/>
      <c r="B25" s="180"/>
      <c r="C25" s="180"/>
      <c r="D25" s="181"/>
      <c r="E25" s="181"/>
      <c r="F25" s="181"/>
      <c r="G25" s="181"/>
      <c r="H25" s="181"/>
      <c r="I25" s="181"/>
      <c r="J25" s="181"/>
      <c r="K25" s="181"/>
    </row>
    <row r="26" spans="1:11">
      <c r="A26" s="180" t="s">
        <v>297</v>
      </c>
      <c r="B26" s="180"/>
      <c r="C26" s="180"/>
      <c r="D26" s="181"/>
      <c r="E26" s="181"/>
      <c r="F26" s="181"/>
      <c r="G26" s="181"/>
      <c r="H26" s="181"/>
      <c r="I26" s="181"/>
      <c r="J26" s="181"/>
      <c r="K26" s="181"/>
    </row>
    <row r="27" spans="1:11">
      <c r="A27" s="180"/>
      <c r="B27" s="180"/>
      <c r="C27" s="180"/>
      <c r="D27" s="181"/>
      <c r="E27" s="181"/>
      <c r="F27" s="181"/>
      <c r="G27" s="181"/>
      <c r="H27" s="181"/>
      <c r="I27" s="181"/>
      <c r="J27" s="181"/>
      <c r="K27" s="181"/>
    </row>
    <row r="28" spans="1:11">
      <c r="A28" s="180"/>
      <c r="B28" s="180"/>
      <c r="C28" s="180"/>
      <c r="D28" s="181"/>
      <c r="E28" s="181"/>
      <c r="F28" s="181"/>
      <c r="G28" s="181"/>
      <c r="H28" s="181"/>
      <c r="I28" s="181"/>
      <c r="J28" s="181"/>
      <c r="K28" s="181"/>
    </row>
    <row r="29" spans="1:11">
      <c r="A29" s="180"/>
      <c r="B29" s="180"/>
      <c r="C29" s="180"/>
      <c r="D29" s="181"/>
      <c r="E29" s="181"/>
      <c r="F29" s="181"/>
      <c r="G29" s="181"/>
      <c r="H29" s="181"/>
      <c r="I29" s="181"/>
      <c r="J29" s="181"/>
      <c r="K29" s="181"/>
    </row>
    <row r="30" spans="1:11">
      <c r="A30" s="180"/>
      <c r="B30" s="180"/>
      <c r="C30" s="180"/>
      <c r="D30" s="181"/>
      <c r="E30" s="181"/>
      <c r="F30" s="181"/>
      <c r="G30" s="181"/>
      <c r="H30" s="181"/>
      <c r="I30" s="181"/>
      <c r="J30" s="181"/>
      <c r="K30" s="181"/>
    </row>
    <row r="31" spans="1:11">
      <c r="A31" s="180"/>
      <c r="B31" s="180"/>
      <c r="C31" s="180"/>
      <c r="D31" s="181"/>
      <c r="E31" s="181"/>
      <c r="F31" s="181"/>
      <c r="G31" s="181"/>
      <c r="H31" s="181"/>
      <c r="I31" s="181"/>
      <c r="J31" s="181"/>
      <c r="K31" s="181"/>
    </row>
    <row r="32" spans="1:11">
      <c r="A32" s="180"/>
      <c r="B32" s="180"/>
      <c r="C32" s="180"/>
      <c r="D32" s="181"/>
      <c r="E32" s="181"/>
      <c r="F32" s="181"/>
      <c r="G32" s="181"/>
      <c r="H32" s="181"/>
      <c r="I32" s="181"/>
      <c r="J32" s="181"/>
      <c r="K32" s="181"/>
    </row>
    <row r="33" spans="1:11">
      <c r="A33" s="180"/>
      <c r="B33" s="180"/>
      <c r="C33" s="180"/>
      <c r="D33" s="181"/>
      <c r="E33" s="181"/>
      <c r="F33" s="181"/>
      <c r="G33" s="181"/>
      <c r="H33" s="181"/>
      <c r="I33" s="181"/>
      <c r="J33" s="181"/>
      <c r="K33" s="181"/>
    </row>
    <row r="34" spans="1:11">
      <c r="D34" s="182"/>
      <c r="E34" s="182"/>
      <c r="F34" s="182"/>
      <c r="G34" s="182"/>
      <c r="H34" s="182"/>
      <c r="I34" s="182"/>
      <c r="J34" s="182"/>
      <c r="K34" s="182"/>
    </row>
  </sheetData>
  <mergeCells count="2">
    <mergeCell ref="A1:K1"/>
    <mergeCell ref="A3:K3"/>
  </mergeCells>
  <printOptions horizontalCentered="1" gridLines="1"/>
  <pageMargins left="0.75" right="0.75" top="0.66" bottom="0.28999999999999998" header="0.23" footer="0.44"/>
  <pageSetup paperSize="9" scale="78" orientation="landscape" r:id="rId1"/>
  <headerFooter alignWithMargins="0"/>
  <ignoredErrors>
    <ignoredError sqref="B13 C13:K13 B15:K15" formula="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5"/>
  <dimension ref="A1:G24"/>
  <sheetViews>
    <sheetView showGridLines="0" topLeftCell="A4" workbookViewId="0">
      <selection activeCell="D20" sqref="D20"/>
    </sheetView>
  </sheetViews>
  <sheetFormatPr defaultRowHeight="15"/>
  <cols>
    <col min="2" max="2" width="63.7109375" bestFit="1" customWidth="1"/>
    <col min="3" max="3" width="14.85546875" bestFit="1" customWidth="1"/>
    <col min="4" max="4" width="19.28515625" bestFit="1" customWidth="1"/>
  </cols>
  <sheetData>
    <row r="1" spans="2:7">
      <c r="B1" s="1479" t="s">
        <v>662</v>
      </c>
      <c r="C1" s="1480"/>
      <c r="D1" s="1480"/>
      <c r="E1" s="1480"/>
      <c r="F1" s="1480"/>
      <c r="G1" s="1481"/>
    </row>
    <row r="2" spans="2:7">
      <c r="B2" s="760" t="s">
        <v>286</v>
      </c>
      <c r="C2" s="3"/>
      <c r="D2" s="206">
        <v>1</v>
      </c>
      <c r="E2" s="206">
        <v>1</v>
      </c>
      <c r="F2" s="206">
        <v>1</v>
      </c>
      <c r="G2" s="764">
        <v>1</v>
      </c>
    </row>
    <row r="3" spans="2:7">
      <c r="B3" s="1482" t="s">
        <v>298</v>
      </c>
      <c r="C3" s="1483"/>
      <c r="D3" s="1483"/>
      <c r="E3" s="1483"/>
      <c r="F3" s="1483"/>
      <c r="G3" s="1484"/>
    </row>
    <row r="4" spans="2:7">
      <c r="B4" s="760"/>
      <c r="C4" s="170" t="s">
        <v>290</v>
      </c>
      <c r="D4" s="785">
        <v>1</v>
      </c>
      <c r="E4" s="785">
        <v>2</v>
      </c>
      <c r="F4" s="785">
        <v>3</v>
      </c>
      <c r="G4" s="588">
        <v>4</v>
      </c>
    </row>
    <row r="5" spans="2:7">
      <c r="B5" s="760" t="s">
        <v>527</v>
      </c>
      <c r="C5" s="184">
        <f>'Cashflow Option 1'!K11</f>
        <v>2680.0928041001916</v>
      </c>
      <c r="D5" s="184">
        <f>C5-C5*0.11</f>
        <v>2385.2825956491706</v>
      </c>
      <c r="E5" s="184">
        <f>'Cashflow Option 1'!K11</f>
        <v>2680.0928041001916</v>
      </c>
      <c r="F5" s="184">
        <f>C5-C5*0.05</f>
        <v>2546.0881638951819</v>
      </c>
      <c r="G5" s="766">
        <f>'Cashflow Option 1'!K11</f>
        <v>2680.0928041001916</v>
      </c>
    </row>
    <row r="6" spans="2:7">
      <c r="B6" s="760" t="s">
        <v>530</v>
      </c>
      <c r="C6" s="184">
        <f>SUM(C7:C11)</f>
        <v>1974.6022431490962</v>
      </c>
      <c r="D6" s="184">
        <f>SUM(D7:D11)</f>
        <v>1974.6022431490962</v>
      </c>
      <c r="E6" s="184">
        <f>SUM(E7:E11)</f>
        <v>2236.9437244904861</v>
      </c>
      <c r="F6" s="184">
        <f>SUM(F7:F11)</f>
        <v>2117.6975966080363</v>
      </c>
      <c r="G6" s="766">
        <f>C6+C6*0.145</f>
        <v>2260.9195684057149</v>
      </c>
    </row>
    <row r="7" spans="2:7">
      <c r="B7" s="66" t="s">
        <v>524</v>
      </c>
      <c r="C7" s="183">
        <f>'Cashflow Option 1'!K15</f>
        <v>1589.9483717660003</v>
      </c>
      <c r="D7" s="183">
        <f>'Cashflow Option 1'!K15</f>
        <v>1589.9483717660003</v>
      </c>
      <c r="E7" s="183">
        <f>C7+C7*0.165</f>
        <v>1852.2898531073904</v>
      </c>
      <c r="F7" s="183">
        <f>C7+C7*0.09</f>
        <v>1733.0437252249403</v>
      </c>
      <c r="G7" s="772">
        <f>'Cashflow Option 1'!K15</f>
        <v>1589.9483717660003</v>
      </c>
    </row>
    <row r="8" spans="2:7">
      <c r="B8" s="66" t="s">
        <v>33</v>
      </c>
      <c r="C8" s="183">
        <f>'Cashflow Option 1'!K16</f>
        <v>30.708780423749996</v>
      </c>
      <c r="D8" s="183">
        <f>'Cashflow Option 1'!K16</f>
        <v>30.708780423749996</v>
      </c>
      <c r="E8" s="183">
        <f>'Cashflow Option 1'!K16</f>
        <v>30.708780423749996</v>
      </c>
      <c r="F8" s="183">
        <f>'Cashflow Option 1'!K16</f>
        <v>30.708780423749996</v>
      </c>
      <c r="G8" s="772">
        <f>'Cashflow Option 1'!K16</f>
        <v>30.708780423749996</v>
      </c>
    </row>
    <row r="9" spans="2:7">
      <c r="B9" s="66" t="s">
        <v>20</v>
      </c>
      <c r="C9" s="183">
        <f>'Cashflow Option 1'!K17</f>
        <v>227.17756689323639</v>
      </c>
      <c r="D9" s="183">
        <f>'Cashflow Option 1'!K17</f>
        <v>227.17756689323639</v>
      </c>
      <c r="E9" s="183">
        <f>'Cashflow Option 1'!K17</f>
        <v>227.17756689323639</v>
      </c>
      <c r="F9" s="183">
        <f>'Cashflow Option 1'!K17</f>
        <v>227.17756689323639</v>
      </c>
      <c r="G9" s="772">
        <f>'Cashflow Option 1'!K17</f>
        <v>227.17756689323639</v>
      </c>
    </row>
    <row r="10" spans="2:7">
      <c r="B10" s="66" t="s">
        <v>23</v>
      </c>
      <c r="C10" s="183">
        <f>'Cashflow Option 1'!K18</f>
        <v>34.849084469448037</v>
      </c>
      <c r="D10" s="183">
        <f>'Cashflow Option 1'!K18</f>
        <v>34.849084469448037</v>
      </c>
      <c r="E10" s="183">
        <f>'Cashflow Option 1'!K18</f>
        <v>34.849084469448037</v>
      </c>
      <c r="F10" s="183">
        <f>'Cashflow Option 1'!K18</f>
        <v>34.849084469448037</v>
      </c>
      <c r="G10" s="772">
        <f>'Cashflow Option 1'!K18</f>
        <v>34.849084469448037</v>
      </c>
    </row>
    <row r="11" spans="2:7">
      <c r="B11" s="66" t="s">
        <v>25</v>
      </c>
      <c r="C11" s="183">
        <f>'Cashflow Option 1'!K19</f>
        <v>91.918439596661543</v>
      </c>
      <c r="D11" s="183">
        <f>'Cashflow Option 1'!K19</f>
        <v>91.918439596661543</v>
      </c>
      <c r="E11" s="183">
        <f>'Cashflow Option 1'!K19</f>
        <v>91.918439596661543</v>
      </c>
      <c r="F11" s="183">
        <f>'Cashflow Option 1'!K19</f>
        <v>91.918439596661543</v>
      </c>
      <c r="G11" s="772">
        <f>'Cashflow Option 1'!K19</f>
        <v>91.918439596661543</v>
      </c>
    </row>
    <row r="12" spans="2:7">
      <c r="B12" s="760" t="s">
        <v>32</v>
      </c>
      <c r="C12" s="184">
        <f>C5-C6</f>
        <v>705.4905609510954</v>
      </c>
      <c r="D12" s="184">
        <f>D5-D6</f>
        <v>410.68035250007438</v>
      </c>
      <c r="E12" s="184">
        <f>E5-E6</f>
        <v>443.1490796097055</v>
      </c>
      <c r="F12" s="184">
        <f>F5-F6</f>
        <v>428.39056728714559</v>
      </c>
      <c r="G12" s="766">
        <f>G5-G6</f>
        <v>419.17323569447672</v>
      </c>
    </row>
    <row r="13" spans="2:7">
      <c r="B13" s="760" t="s">
        <v>531</v>
      </c>
      <c r="C13" s="184">
        <f>' Break EvenPoint'!$B$14</f>
        <v>176.86750000000001</v>
      </c>
      <c r="D13" s="184">
        <f>' Break EvenPoint'!$B$14</f>
        <v>176.86750000000001</v>
      </c>
      <c r="E13" s="184">
        <f>' Break EvenPoint'!$B$14</f>
        <v>176.86750000000001</v>
      </c>
      <c r="F13" s="184">
        <f>' Break EvenPoint'!$B$14</f>
        <v>176.86750000000001</v>
      </c>
      <c r="G13" s="766">
        <f>' Break EvenPoint'!$B$14</f>
        <v>176.86750000000001</v>
      </c>
    </row>
    <row r="14" spans="2:7">
      <c r="B14" s="760" t="s">
        <v>532</v>
      </c>
      <c r="C14" s="184">
        <f t="shared" ref="C14" si="0">C12-C13</f>
        <v>528.62306095109534</v>
      </c>
      <c r="D14" s="184">
        <f>D12-D13</f>
        <v>233.81285250007437</v>
      </c>
      <c r="E14" s="184">
        <f>E12-E13</f>
        <v>266.28157960970549</v>
      </c>
      <c r="F14" s="184">
        <f>F12-F13</f>
        <v>251.52306728714558</v>
      </c>
      <c r="G14" s="766">
        <f>G12-G13</f>
        <v>242.30573569447671</v>
      </c>
    </row>
    <row r="15" spans="2:7">
      <c r="B15" s="760" t="s">
        <v>326</v>
      </c>
      <c r="C15" s="767">
        <f t="shared" ref="C15" si="1">C14*0.2517</f>
        <v>133.05442444139069</v>
      </c>
      <c r="D15" s="767">
        <f>D14*0.2517</f>
        <v>58.850694974268713</v>
      </c>
      <c r="E15" s="767">
        <f>E14*0.2517</f>
        <v>67.023073587762866</v>
      </c>
      <c r="F15" s="767">
        <f>F14*0.2517</f>
        <v>63.308356036174537</v>
      </c>
      <c r="G15" s="762">
        <f>G14*0.2517</f>
        <v>60.98835367429978</v>
      </c>
    </row>
    <row r="16" spans="2:7">
      <c r="B16" s="761" t="s">
        <v>327</v>
      </c>
      <c r="C16" s="763">
        <f t="shared" ref="C16:D16" si="2">C14-C15</f>
        <v>395.56863650970467</v>
      </c>
      <c r="D16" s="763">
        <f t="shared" si="2"/>
        <v>174.96215752580565</v>
      </c>
      <c r="E16" s="763">
        <f t="shared" ref="E16:F16" si="3">E14-E15</f>
        <v>199.25850602194262</v>
      </c>
      <c r="F16" s="763">
        <f t="shared" si="3"/>
        <v>188.21471125097105</v>
      </c>
      <c r="G16" s="768">
        <f t="shared" ref="G16" si="4">G14-G15</f>
        <v>181.31738202017692</v>
      </c>
    </row>
    <row r="17" spans="1:7">
      <c r="D17" s="786"/>
      <c r="E17" s="786"/>
      <c r="F17" s="786"/>
      <c r="G17" s="786"/>
    </row>
    <row r="18" spans="1:7">
      <c r="A18" s="773" t="s">
        <v>122</v>
      </c>
      <c r="B18" s="1485" t="s">
        <v>480</v>
      </c>
      <c r="C18" s="1486"/>
      <c r="D18" s="1486"/>
    </row>
    <row r="19" spans="1:7">
      <c r="A19" s="774"/>
      <c r="B19" s="775" t="s">
        <v>481</v>
      </c>
      <c r="C19" s="776" t="s">
        <v>327</v>
      </c>
      <c r="D19" s="777" t="s">
        <v>537</v>
      </c>
    </row>
    <row r="20" spans="1:7">
      <c r="A20" s="778"/>
      <c r="B20" s="779" t="s">
        <v>538</v>
      </c>
      <c r="C20" s="780">
        <f>C16</f>
        <v>395.56863650970467</v>
      </c>
      <c r="D20" s="781" t="s">
        <v>539</v>
      </c>
    </row>
    <row r="21" spans="1:7">
      <c r="A21" s="778">
        <v>1</v>
      </c>
      <c r="B21" s="779" t="s">
        <v>484</v>
      </c>
      <c r="C21" s="782">
        <f>D16</f>
        <v>174.96215752580565</v>
      </c>
      <c r="D21" s="1143">
        <f>(C21-$C$20)/$C$20</f>
        <v>-0.55769456580384569</v>
      </c>
    </row>
    <row r="22" spans="1:7">
      <c r="A22" s="778">
        <v>2</v>
      </c>
      <c r="B22" s="779" t="s">
        <v>485</v>
      </c>
      <c r="C22" s="782">
        <f>E16</f>
        <v>199.25850602194262</v>
      </c>
      <c r="D22" s="1143">
        <f t="shared" ref="D22:D24" si="5">(C22-$C$20)/$C$20</f>
        <v>-0.49627324405671347</v>
      </c>
    </row>
    <row r="23" spans="1:7">
      <c r="A23" s="778">
        <v>3</v>
      </c>
      <c r="B23" s="779" t="s">
        <v>486</v>
      </c>
      <c r="C23" s="782">
        <f>F16</f>
        <v>188.21471125097105</v>
      </c>
      <c r="D23" s="1143">
        <f t="shared" si="5"/>
        <v>-0.52419202666904685</v>
      </c>
    </row>
    <row r="24" spans="1:7">
      <c r="A24" s="783">
        <v>4</v>
      </c>
      <c r="B24" s="784" t="s">
        <v>487</v>
      </c>
      <c r="C24" s="719">
        <f>G16</f>
        <v>181.31738202017692</v>
      </c>
      <c r="D24" s="1144">
        <f t="shared" si="5"/>
        <v>-0.54162851832736603</v>
      </c>
    </row>
  </sheetData>
  <mergeCells count="3">
    <mergeCell ref="B18:D18"/>
    <mergeCell ref="B1:G1"/>
    <mergeCell ref="B3:G3"/>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6"/>
  <dimension ref="A1:L18"/>
  <sheetViews>
    <sheetView showGridLines="0" showRowColHeaders="0" topLeftCell="A2" zoomScaleNormal="100" zoomScaleSheetLayoutView="100" workbookViewId="0">
      <selection activeCell="D9" sqref="D9"/>
    </sheetView>
  </sheetViews>
  <sheetFormatPr defaultRowHeight="12.75"/>
  <cols>
    <col min="1" max="1" width="49.140625" style="147" customWidth="1"/>
    <col min="2" max="2" width="20.7109375" style="147" customWidth="1"/>
    <col min="3" max="3" width="9.140625" style="147"/>
    <col min="4" max="4" width="11.85546875" style="147" customWidth="1"/>
    <col min="5" max="5" width="11.7109375" style="147" customWidth="1"/>
    <col min="6" max="6" width="12.42578125" style="147" customWidth="1"/>
    <col min="7" max="7" width="13.42578125" style="147" customWidth="1"/>
    <col min="8" max="256" width="9.140625" style="147"/>
    <col min="257" max="257" width="49.140625" style="147" customWidth="1"/>
    <col min="258" max="258" width="20.7109375" style="147" customWidth="1"/>
    <col min="259" max="259" width="9.140625" style="147"/>
    <col min="260" max="260" width="11.85546875" style="147" customWidth="1"/>
    <col min="261" max="261" width="11.7109375" style="147" customWidth="1"/>
    <col min="262" max="262" width="12.42578125" style="147" customWidth="1"/>
    <col min="263" max="263" width="13.42578125" style="147" customWidth="1"/>
    <col min="264" max="512" width="9.140625" style="147"/>
    <col min="513" max="513" width="49.140625" style="147" customWidth="1"/>
    <col min="514" max="514" width="20.7109375" style="147" customWidth="1"/>
    <col min="515" max="515" width="9.140625" style="147"/>
    <col min="516" max="516" width="11.85546875" style="147" customWidth="1"/>
    <col min="517" max="517" width="11.7109375" style="147" customWidth="1"/>
    <col min="518" max="518" width="12.42578125" style="147" customWidth="1"/>
    <col min="519" max="519" width="13.42578125" style="147" customWidth="1"/>
    <col min="520" max="768" width="9.140625" style="147"/>
    <col min="769" max="769" width="49.140625" style="147" customWidth="1"/>
    <col min="770" max="770" width="20.7109375" style="147" customWidth="1"/>
    <col min="771" max="771" width="9.140625" style="147"/>
    <col min="772" max="772" width="11.85546875" style="147" customWidth="1"/>
    <col min="773" max="773" width="11.7109375" style="147" customWidth="1"/>
    <col min="774" max="774" width="12.42578125" style="147" customWidth="1"/>
    <col min="775" max="775" width="13.42578125" style="147" customWidth="1"/>
    <col min="776" max="1024" width="9.140625" style="147"/>
    <col min="1025" max="1025" width="49.140625" style="147" customWidth="1"/>
    <col min="1026" max="1026" width="20.7109375" style="147" customWidth="1"/>
    <col min="1027" max="1027" width="9.140625" style="147"/>
    <col min="1028" max="1028" width="11.85546875" style="147" customWidth="1"/>
    <col min="1029" max="1029" width="11.7109375" style="147" customWidth="1"/>
    <col min="1030" max="1030" width="12.42578125" style="147" customWidth="1"/>
    <col min="1031" max="1031" width="13.42578125" style="147" customWidth="1"/>
    <col min="1032" max="1280" width="9.140625" style="147"/>
    <col min="1281" max="1281" width="49.140625" style="147" customWidth="1"/>
    <col min="1282" max="1282" width="20.7109375" style="147" customWidth="1"/>
    <col min="1283" max="1283" width="9.140625" style="147"/>
    <col min="1284" max="1284" width="11.85546875" style="147" customWidth="1"/>
    <col min="1285" max="1285" width="11.7109375" style="147" customWidth="1"/>
    <col min="1286" max="1286" width="12.42578125" style="147" customWidth="1"/>
    <col min="1287" max="1287" width="13.42578125" style="147" customWidth="1"/>
    <col min="1288" max="1536" width="9.140625" style="147"/>
    <col min="1537" max="1537" width="49.140625" style="147" customWidth="1"/>
    <col min="1538" max="1538" width="20.7109375" style="147" customWidth="1"/>
    <col min="1539" max="1539" width="9.140625" style="147"/>
    <col min="1540" max="1540" width="11.85546875" style="147" customWidth="1"/>
    <col min="1541" max="1541" width="11.7109375" style="147" customWidth="1"/>
    <col min="1542" max="1542" width="12.42578125" style="147" customWidth="1"/>
    <col min="1543" max="1543" width="13.42578125" style="147" customWidth="1"/>
    <col min="1544" max="1792" width="9.140625" style="147"/>
    <col min="1793" max="1793" width="49.140625" style="147" customWidth="1"/>
    <col min="1794" max="1794" width="20.7109375" style="147" customWidth="1"/>
    <col min="1795" max="1795" width="9.140625" style="147"/>
    <col min="1796" max="1796" width="11.85546875" style="147" customWidth="1"/>
    <col min="1797" max="1797" width="11.7109375" style="147" customWidth="1"/>
    <col min="1798" max="1798" width="12.42578125" style="147" customWidth="1"/>
    <col min="1799" max="1799" width="13.42578125" style="147" customWidth="1"/>
    <col min="1800" max="2048" width="9.140625" style="147"/>
    <col min="2049" max="2049" width="49.140625" style="147" customWidth="1"/>
    <col min="2050" max="2050" width="20.7109375" style="147" customWidth="1"/>
    <col min="2051" max="2051" width="9.140625" style="147"/>
    <col min="2052" max="2052" width="11.85546875" style="147" customWidth="1"/>
    <col min="2053" max="2053" width="11.7109375" style="147" customWidth="1"/>
    <col min="2054" max="2054" width="12.42578125" style="147" customWidth="1"/>
    <col min="2055" max="2055" width="13.42578125" style="147" customWidth="1"/>
    <col min="2056" max="2304" width="9.140625" style="147"/>
    <col min="2305" max="2305" width="49.140625" style="147" customWidth="1"/>
    <col min="2306" max="2306" width="20.7109375" style="147" customWidth="1"/>
    <col min="2307" max="2307" width="9.140625" style="147"/>
    <col min="2308" max="2308" width="11.85546875" style="147" customWidth="1"/>
    <col min="2309" max="2309" width="11.7109375" style="147" customWidth="1"/>
    <col min="2310" max="2310" width="12.42578125" style="147" customWidth="1"/>
    <col min="2311" max="2311" width="13.42578125" style="147" customWidth="1"/>
    <col min="2312" max="2560" width="9.140625" style="147"/>
    <col min="2561" max="2561" width="49.140625" style="147" customWidth="1"/>
    <col min="2562" max="2562" width="20.7109375" style="147" customWidth="1"/>
    <col min="2563" max="2563" width="9.140625" style="147"/>
    <col min="2564" max="2564" width="11.85546875" style="147" customWidth="1"/>
    <col min="2565" max="2565" width="11.7109375" style="147" customWidth="1"/>
    <col min="2566" max="2566" width="12.42578125" style="147" customWidth="1"/>
    <col min="2567" max="2567" width="13.42578125" style="147" customWidth="1"/>
    <col min="2568" max="2816" width="9.140625" style="147"/>
    <col min="2817" max="2817" width="49.140625" style="147" customWidth="1"/>
    <col min="2818" max="2818" width="20.7109375" style="147" customWidth="1"/>
    <col min="2819" max="2819" width="9.140625" style="147"/>
    <col min="2820" max="2820" width="11.85546875" style="147" customWidth="1"/>
    <col min="2821" max="2821" width="11.7109375" style="147" customWidth="1"/>
    <col min="2822" max="2822" width="12.42578125" style="147" customWidth="1"/>
    <col min="2823" max="2823" width="13.42578125" style="147" customWidth="1"/>
    <col min="2824" max="3072" width="9.140625" style="147"/>
    <col min="3073" max="3073" width="49.140625" style="147" customWidth="1"/>
    <col min="3074" max="3074" width="20.7109375" style="147" customWidth="1"/>
    <col min="3075" max="3075" width="9.140625" style="147"/>
    <col min="3076" max="3076" width="11.85546875" style="147" customWidth="1"/>
    <col min="3077" max="3077" width="11.7109375" style="147" customWidth="1"/>
    <col min="3078" max="3078" width="12.42578125" style="147" customWidth="1"/>
    <col min="3079" max="3079" width="13.42578125" style="147" customWidth="1"/>
    <col min="3080" max="3328" width="9.140625" style="147"/>
    <col min="3329" max="3329" width="49.140625" style="147" customWidth="1"/>
    <col min="3330" max="3330" width="20.7109375" style="147" customWidth="1"/>
    <col min="3331" max="3331" width="9.140625" style="147"/>
    <col min="3332" max="3332" width="11.85546875" style="147" customWidth="1"/>
    <col min="3333" max="3333" width="11.7109375" style="147" customWidth="1"/>
    <col min="3334" max="3334" width="12.42578125" style="147" customWidth="1"/>
    <col min="3335" max="3335" width="13.42578125" style="147" customWidth="1"/>
    <col min="3336" max="3584" width="9.140625" style="147"/>
    <col min="3585" max="3585" width="49.140625" style="147" customWidth="1"/>
    <col min="3586" max="3586" width="20.7109375" style="147" customWidth="1"/>
    <col min="3587" max="3587" width="9.140625" style="147"/>
    <col min="3588" max="3588" width="11.85546875" style="147" customWidth="1"/>
    <col min="3589" max="3589" width="11.7109375" style="147" customWidth="1"/>
    <col min="3590" max="3590" width="12.42578125" style="147" customWidth="1"/>
    <col min="3591" max="3591" width="13.42578125" style="147" customWidth="1"/>
    <col min="3592" max="3840" width="9.140625" style="147"/>
    <col min="3841" max="3841" width="49.140625" style="147" customWidth="1"/>
    <col min="3842" max="3842" width="20.7109375" style="147" customWidth="1"/>
    <col min="3843" max="3843" width="9.140625" style="147"/>
    <col min="3844" max="3844" width="11.85546875" style="147" customWidth="1"/>
    <col min="3845" max="3845" width="11.7109375" style="147" customWidth="1"/>
    <col min="3846" max="3846" width="12.42578125" style="147" customWidth="1"/>
    <col min="3847" max="3847" width="13.42578125" style="147" customWidth="1"/>
    <col min="3848" max="4096" width="9.140625" style="147"/>
    <col min="4097" max="4097" width="49.140625" style="147" customWidth="1"/>
    <col min="4098" max="4098" width="20.7109375" style="147" customWidth="1"/>
    <col min="4099" max="4099" width="9.140625" style="147"/>
    <col min="4100" max="4100" width="11.85546875" style="147" customWidth="1"/>
    <col min="4101" max="4101" width="11.7109375" style="147" customWidth="1"/>
    <col min="4102" max="4102" width="12.42578125" style="147" customWidth="1"/>
    <col min="4103" max="4103" width="13.42578125" style="147" customWidth="1"/>
    <col min="4104" max="4352" width="9.140625" style="147"/>
    <col min="4353" max="4353" width="49.140625" style="147" customWidth="1"/>
    <col min="4354" max="4354" width="20.7109375" style="147" customWidth="1"/>
    <col min="4355" max="4355" width="9.140625" style="147"/>
    <col min="4356" max="4356" width="11.85546875" style="147" customWidth="1"/>
    <col min="4357" max="4357" width="11.7109375" style="147" customWidth="1"/>
    <col min="4358" max="4358" width="12.42578125" style="147" customWidth="1"/>
    <col min="4359" max="4359" width="13.42578125" style="147" customWidth="1"/>
    <col min="4360" max="4608" width="9.140625" style="147"/>
    <col min="4609" max="4609" width="49.140625" style="147" customWidth="1"/>
    <col min="4610" max="4610" width="20.7109375" style="147" customWidth="1"/>
    <col min="4611" max="4611" width="9.140625" style="147"/>
    <col min="4612" max="4612" width="11.85546875" style="147" customWidth="1"/>
    <col min="4613" max="4613" width="11.7109375" style="147" customWidth="1"/>
    <col min="4614" max="4614" width="12.42578125" style="147" customWidth="1"/>
    <col min="4615" max="4615" width="13.42578125" style="147" customWidth="1"/>
    <col min="4616" max="4864" width="9.140625" style="147"/>
    <col min="4865" max="4865" width="49.140625" style="147" customWidth="1"/>
    <col min="4866" max="4866" width="20.7109375" style="147" customWidth="1"/>
    <col min="4867" max="4867" width="9.140625" style="147"/>
    <col min="4868" max="4868" width="11.85546875" style="147" customWidth="1"/>
    <col min="4869" max="4869" width="11.7109375" style="147" customWidth="1"/>
    <col min="4870" max="4870" width="12.42578125" style="147" customWidth="1"/>
    <col min="4871" max="4871" width="13.42578125" style="147" customWidth="1"/>
    <col min="4872" max="5120" width="9.140625" style="147"/>
    <col min="5121" max="5121" width="49.140625" style="147" customWidth="1"/>
    <col min="5122" max="5122" width="20.7109375" style="147" customWidth="1"/>
    <col min="5123" max="5123" width="9.140625" style="147"/>
    <col min="5124" max="5124" width="11.85546875" style="147" customWidth="1"/>
    <col min="5125" max="5125" width="11.7109375" style="147" customWidth="1"/>
    <col min="5126" max="5126" width="12.42578125" style="147" customWidth="1"/>
    <col min="5127" max="5127" width="13.42578125" style="147" customWidth="1"/>
    <col min="5128" max="5376" width="9.140625" style="147"/>
    <col min="5377" max="5377" width="49.140625" style="147" customWidth="1"/>
    <col min="5378" max="5378" width="20.7109375" style="147" customWidth="1"/>
    <col min="5379" max="5379" width="9.140625" style="147"/>
    <col min="5380" max="5380" width="11.85546875" style="147" customWidth="1"/>
    <col min="5381" max="5381" width="11.7109375" style="147" customWidth="1"/>
    <col min="5382" max="5382" width="12.42578125" style="147" customWidth="1"/>
    <col min="5383" max="5383" width="13.42578125" style="147" customWidth="1"/>
    <col min="5384" max="5632" width="9.140625" style="147"/>
    <col min="5633" max="5633" width="49.140625" style="147" customWidth="1"/>
    <col min="5634" max="5634" width="20.7109375" style="147" customWidth="1"/>
    <col min="5635" max="5635" width="9.140625" style="147"/>
    <col min="5636" max="5636" width="11.85546875" style="147" customWidth="1"/>
    <col min="5637" max="5637" width="11.7109375" style="147" customWidth="1"/>
    <col min="5638" max="5638" width="12.42578125" style="147" customWidth="1"/>
    <col min="5639" max="5639" width="13.42578125" style="147" customWidth="1"/>
    <col min="5640" max="5888" width="9.140625" style="147"/>
    <col min="5889" max="5889" width="49.140625" style="147" customWidth="1"/>
    <col min="5890" max="5890" width="20.7109375" style="147" customWidth="1"/>
    <col min="5891" max="5891" width="9.140625" style="147"/>
    <col min="5892" max="5892" width="11.85546875" style="147" customWidth="1"/>
    <col min="5893" max="5893" width="11.7109375" style="147" customWidth="1"/>
    <col min="5894" max="5894" width="12.42578125" style="147" customWidth="1"/>
    <col min="5895" max="5895" width="13.42578125" style="147" customWidth="1"/>
    <col min="5896" max="6144" width="9.140625" style="147"/>
    <col min="6145" max="6145" width="49.140625" style="147" customWidth="1"/>
    <col min="6146" max="6146" width="20.7109375" style="147" customWidth="1"/>
    <col min="6147" max="6147" width="9.140625" style="147"/>
    <col min="6148" max="6148" width="11.85546875" style="147" customWidth="1"/>
    <col min="6149" max="6149" width="11.7109375" style="147" customWidth="1"/>
    <col min="6150" max="6150" width="12.42578125" style="147" customWidth="1"/>
    <col min="6151" max="6151" width="13.42578125" style="147" customWidth="1"/>
    <col min="6152" max="6400" width="9.140625" style="147"/>
    <col min="6401" max="6401" width="49.140625" style="147" customWidth="1"/>
    <col min="6402" max="6402" width="20.7109375" style="147" customWidth="1"/>
    <col min="6403" max="6403" width="9.140625" style="147"/>
    <col min="6404" max="6404" width="11.85546875" style="147" customWidth="1"/>
    <col min="6405" max="6405" width="11.7109375" style="147" customWidth="1"/>
    <col min="6406" max="6406" width="12.42578125" style="147" customWidth="1"/>
    <col min="6407" max="6407" width="13.42578125" style="147" customWidth="1"/>
    <col min="6408" max="6656" width="9.140625" style="147"/>
    <col min="6657" max="6657" width="49.140625" style="147" customWidth="1"/>
    <col min="6658" max="6658" width="20.7109375" style="147" customWidth="1"/>
    <col min="6659" max="6659" width="9.140625" style="147"/>
    <col min="6660" max="6660" width="11.85546875" style="147" customWidth="1"/>
    <col min="6661" max="6661" width="11.7109375" style="147" customWidth="1"/>
    <col min="6662" max="6662" width="12.42578125" style="147" customWidth="1"/>
    <col min="6663" max="6663" width="13.42578125" style="147" customWidth="1"/>
    <col min="6664" max="6912" width="9.140625" style="147"/>
    <col min="6913" max="6913" width="49.140625" style="147" customWidth="1"/>
    <col min="6914" max="6914" width="20.7109375" style="147" customWidth="1"/>
    <col min="6915" max="6915" width="9.140625" style="147"/>
    <col min="6916" max="6916" width="11.85546875" style="147" customWidth="1"/>
    <col min="6917" max="6917" width="11.7109375" style="147" customWidth="1"/>
    <col min="6918" max="6918" width="12.42578125" style="147" customWidth="1"/>
    <col min="6919" max="6919" width="13.42578125" style="147" customWidth="1"/>
    <col min="6920" max="7168" width="9.140625" style="147"/>
    <col min="7169" max="7169" width="49.140625" style="147" customWidth="1"/>
    <col min="7170" max="7170" width="20.7109375" style="147" customWidth="1"/>
    <col min="7171" max="7171" width="9.140625" style="147"/>
    <col min="7172" max="7172" width="11.85546875" style="147" customWidth="1"/>
    <col min="7173" max="7173" width="11.7109375" style="147" customWidth="1"/>
    <col min="7174" max="7174" width="12.42578125" style="147" customWidth="1"/>
    <col min="7175" max="7175" width="13.42578125" style="147" customWidth="1"/>
    <col min="7176" max="7424" width="9.140625" style="147"/>
    <col min="7425" max="7425" width="49.140625" style="147" customWidth="1"/>
    <col min="7426" max="7426" width="20.7109375" style="147" customWidth="1"/>
    <col min="7427" max="7427" width="9.140625" style="147"/>
    <col min="7428" max="7428" width="11.85546875" style="147" customWidth="1"/>
    <col min="7429" max="7429" width="11.7109375" style="147" customWidth="1"/>
    <col min="7430" max="7430" width="12.42578125" style="147" customWidth="1"/>
    <col min="7431" max="7431" width="13.42578125" style="147" customWidth="1"/>
    <col min="7432" max="7680" width="9.140625" style="147"/>
    <col min="7681" max="7681" width="49.140625" style="147" customWidth="1"/>
    <col min="7682" max="7682" width="20.7109375" style="147" customWidth="1"/>
    <col min="7683" max="7683" width="9.140625" style="147"/>
    <col min="7684" max="7684" width="11.85546875" style="147" customWidth="1"/>
    <col min="7685" max="7685" width="11.7109375" style="147" customWidth="1"/>
    <col min="7686" max="7686" width="12.42578125" style="147" customWidth="1"/>
    <col min="7687" max="7687" width="13.42578125" style="147" customWidth="1"/>
    <col min="7688" max="7936" width="9.140625" style="147"/>
    <col min="7937" max="7937" width="49.140625" style="147" customWidth="1"/>
    <col min="7938" max="7938" width="20.7109375" style="147" customWidth="1"/>
    <col min="7939" max="7939" width="9.140625" style="147"/>
    <col min="7940" max="7940" width="11.85546875" style="147" customWidth="1"/>
    <col min="7941" max="7941" width="11.7109375" style="147" customWidth="1"/>
    <col min="7942" max="7942" width="12.42578125" style="147" customWidth="1"/>
    <col min="7943" max="7943" width="13.42578125" style="147" customWidth="1"/>
    <col min="7944" max="8192" width="9.140625" style="147"/>
    <col min="8193" max="8193" width="49.140625" style="147" customWidth="1"/>
    <col min="8194" max="8194" width="20.7109375" style="147" customWidth="1"/>
    <col min="8195" max="8195" width="9.140625" style="147"/>
    <col min="8196" max="8196" width="11.85546875" style="147" customWidth="1"/>
    <col min="8197" max="8197" width="11.7109375" style="147" customWidth="1"/>
    <col min="8198" max="8198" width="12.42578125" style="147" customWidth="1"/>
    <col min="8199" max="8199" width="13.42578125" style="147" customWidth="1"/>
    <col min="8200" max="8448" width="9.140625" style="147"/>
    <col min="8449" max="8449" width="49.140625" style="147" customWidth="1"/>
    <col min="8450" max="8450" width="20.7109375" style="147" customWidth="1"/>
    <col min="8451" max="8451" width="9.140625" style="147"/>
    <col min="8452" max="8452" width="11.85546875" style="147" customWidth="1"/>
    <col min="8453" max="8453" width="11.7109375" style="147" customWidth="1"/>
    <col min="8454" max="8454" width="12.42578125" style="147" customWidth="1"/>
    <col min="8455" max="8455" width="13.42578125" style="147" customWidth="1"/>
    <col min="8456" max="8704" width="9.140625" style="147"/>
    <col min="8705" max="8705" width="49.140625" style="147" customWidth="1"/>
    <col min="8706" max="8706" width="20.7109375" style="147" customWidth="1"/>
    <col min="8707" max="8707" width="9.140625" style="147"/>
    <col min="8708" max="8708" width="11.85546875" style="147" customWidth="1"/>
    <col min="8709" max="8709" width="11.7109375" style="147" customWidth="1"/>
    <col min="8710" max="8710" width="12.42578125" style="147" customWidth="1"/>
    <col min="8711" max="8711" width="13.42578125" style="147" customWidth="1"/>
    <col min="8712" max="8960" width="9.140625" style="147"/>
    <col min="8961" max="8961" width="49.140625" style="147" customWidth="1"/>
    <col min="8962" max="8962" width="20.7109375" style="147" customWidth="1"/>
    <col min="8963" max="8963" width="9.140625" style="147"/>
    <col min="8964" max="8964" width="11.85546875" style="147" customWidth="1"/>
    <col min="8965" max="8965" width="11.7109375" style="147" customWidth="1"/>
    <col min="8966" max="8966" width="12.42578125" style="147" customWidth="1"/>
    <col min="8967" max="8967" width="13.42578125" style="147" customWidth="1"/>
    <col min="8968" max="9216" width="9.140625" style="147"/>
    <col min="9217" max="9217" width="49.140625" style="147" customWidth="1"/>
    <col min="9218" max="9218" width="20.7109375" style="147" customWidth="1"/>
    <col min="9219" max="9219" width="9.140625" style="147"/>
    <col min="9220" max="9220" width="11.85546875" style="147" customWidth="1"/>
    <col min="9221" max="9221" width="11.7109375" style="147" customWidth="1"/>
    <col min="9222" max="9222" width="12.42578125" style="147" customWidth="1"/>
    <col min="9223" max="9223" width="13.42578125" style="147" customWidth="1"/>
    <col min="9224" max="9472" width="9.140625" style="147"/>
    <col min="9473" max="9473" width="49.140625" style="147" customWidth="1"/>
    <col min="9474" max="9474" width="20.7109375" style="147" customWidth="1"/>
    <col min="9475" max="9475" width="9.140625" style="147"/>
    <col min="9476" max="9476" width="11.85546875" style="147" customWidth="1"/>
    <col min="9477" max="9477" width="11.7109375" style="147" customWidth="1"/>
    <col min="9478" max="9478" width="12.42578125" style="147" customWidth="1"/>
    <col min="9479" max="9479" width="13.42578125" style="147" customWidth="1"/>
    <col min="9480" max="9728" width="9.140625" style="147"/>
    <col min="9729" max="9729" width="49.140625" style="147" customWidth="1"/>
    <col min="9730" max="9730" width="20.7109375" style="147" customWidth="1"/>
    <col min="9731" max="9731" width="9.140625" style="147"/>
    <col min="9732" max="9732" width="11.85546875" style="147" customWidth="1"/>
    <col min="9733" max="9733" width="11.7109375" style="147" customWidth="1"/>
    <col min="9734" max="9734" width="12.42578125" style="147" customWidth="1"/>
    <col min="9735" max="9735" width="13.42578125" style="147" customWidth="1"/>
    <col min="9736" max="9984" width="9.140625" style="147"/>
    <col min="9985" max="9985" width="49.140625" style="147" customWidth="1"/>
    <col min="9986" max="9986" width="20.7109375" style="147" customWidth="1"/>
    <col min="9987" max="9987" width="9.140625" style="147"/>
    <col min="9988" max="9988" width="11.85546875" style="147" customWidth="1"/>
    <col min="9989" max="9989" width="11.7109375" style="147" customWidth="1"/>
    <col min="9990" max="9990" width="12.42578125" style="147" customWidth="1"/>
    <col min="9991" max="9991" width="13.42578125" style="147" customWidth="1"/>
    <col min="9992" max="10240" width="9.140625" style="147"/>
    <col min="10241" max="10241" width="49.140625" style="147" customWidth="1"/>
    <col min="10242" max="10242" width="20.7109375" style="147" customWidth="1"/>
    <col min="10243" max="10243" width="9.140625" style="147"/>
    <col min="10244" max="10244" width="11.85546875" style="147" customWidth="1"/>
    <col min="10245" max="10245" width="11.7109375" style="147" customWidth="1"/>
    <col min="10246" max="10246" width="12.42578125" style="147" customWidth="1"/>
    <col min="10247" max="10247" width="13.42578125" style="147" customWidth="1"/>
    <col min="10248" max="10496" width="9.140625" style="147"/>
    <col min="10497" max="10497" width="49.140625" style="147" customWidth="1"/>
    <col min="10498" max="10498" width="20.7109375" style="147" customWidth="1"/>
    <col min="10499" max="10499" width="9.140625" style="147"/>
    <col min="10500" max="10500" width="11.85546875" style="147" customWidth="1"/>
    <col min="10501" max="10501" width="11.7109375" style="147" customWidth="1"/>
    <col min="10502" max="10502" width="12.42578125" style="147" customWidth="1"/>
    <col min="10503" max="10503" width="13.42578125" style="147" customWidth="1"/>
    <col min="10504" max="10752" width="9.140625" style="147"/>
    <col min="10753" max="10753" width="49.140625" style="147" customWidth="1"/>
    <col min="10754" max="10754" width="20.7109375" style="147" customWidth="1"/>
    <col min="10755" max="10755" width="9.140625" style="147"/>
    <col min="10756" max="10756" width="11.85546875" style="147" customWidth="1"/>
    <col min="10757" max="10757" width="11.7109375" style="147" customWidth="1"/>
    <col min="10758" max="10758" width="12.42578125" style="147" customWidth="1"/>
    <col min="10759" max="10759" width="13.42578125" style="147" customWidth="1"/>
    <col min="10760" max="11008" width="9.140625" style="147"/>
    <col min="11009" max="11009" width="49.140625" style="147" customWidth="1"/>
    <col min="11010" max="11010" width="20.7109375" style="147" customWidth="1"/>
    <col min="11011" max="11011" width="9.140625" style="147"/>
    <col min="11012" max="11012" width="11.85546875" style="147" customWidth="1"/>
    <col min="11013" max="11013" width="11.7109375" style="147" customWidth="1"/>
    <col min="11014" max="11014" width="12.42578125" style="147" customWidth="1"/>
    <col min="11015" max="11015" width="13.42578125" style="147" customWidth="1"/>
    <col min="11016" max="11264" width="9.140625" style="147"/>
    <col min="11265" max="11265" width="49.140625" style="147" customWidth="1"/>
    <col min="11266" max="11266" width="20.7109375" style="147" customWidth="1"/>
    <col min="11267" max="11267" width="9.140625" style="147"/>
    <col min="11268" max="11268" width="11.85546875" style="147" customWidth="1"/>
    <col min="11269" max="11269" width="11.7109375" style="147" customWidth="1"/>
    <col min="11270" max="11270" width="12.42578125" style="147" customWidth="1"/>
    <col min="11271" max="11271" width="13.42578125" style="147" customWidth="1"/>
    <col min="11272" max="11520" width="9.140625" style="147"/>
    <col min="11521" max="11521" width="49.140625" style="147" customWidth="1"/>
    <col min="11522" max="11522" width="20.7109375" style="147" customWidth="1"/>
    <col min="11523" max="11523" width="9.140625" style="147"/>
    <col min="11524" max="11524" width="11.85546875" style="147" customWidth="1"/>
    <col min="11525" max="11525" width="11.7109375" style="147" customWidth="1"/>
    <col min="11526" max="11526" width="12.42578125" style="147" customWidth="1"/>
    <col min="11527" max="11527" width="13.42578125" style="147" customWidth="1"/>
    <col min="11528" max="11776" width="9.140625" style="147"/>
    <col min="11777" max="11777" width="49.140625" style="147" customWidth="1"/>
    <col min="11778" max="11778" width="20.7109375" style="147" customWidth="1"/>
    <col min="11779" max="11779" width="9.140625" style="147"/>
    <col min="11780" max="11780" width="11.85546875" style="147" customWidth="1"/>
    <col min="11781" max="11781" width="11.7109375" style="147" customWidth="1"/>
    <col min="11782" max="11782" width="12.42578125" style="147" customWidth="1"/>
    <col min="11783" max="11783" width="13.42578125" style="147" customWidth="1"/>
    <col min="11784" max="12032" width="9.140625" style="147"/>
    <col min="12033" max="12033" width="49.140625" style="147" customWidth="1"/>
    <col min="12034" max="12034" width="20.7109375" style="147" customWidth="1"/>
    <col min="12035" max="12035" width="9.140625" style="147"/>
    <col min="12036" max="12036" width="11.85546875" style="147" customWidth="1"/>
    <col min="12037" max="12037" width="11.7109375" style="147" customWidth="1"/>
    <col min="12038" max="12038" width="12.42578125" style="147" customWidth="1"/>
    <col min="12039" max="12039" width="13.42578125" style="147" customWidth="1"/>
    <col min="12040" max="12288" width="9.140625" style="147"/>
    <col min="12289" max="12289" width="49.140625" style="147" customWidth="1"/>
    <col min="12290" max="12290" width="20.7109375" style="147" customWidth="1"/>
    <col min="12291" max="12291" width="9.140625" style="147"/>
    <col min="12292" max="12292" width="11.85546875" style="147" customWidth="1"/>
    <col min="12293" max="12293" width="11.7109375" style="147" customWidth="1"/>
    <col min="12294" max="12294" width="12.42578125" style="147" customWidth="1"/>
    <col min="12295" max="12295" width="13.42578125" style="147" customWidth="1"/>
    <col min="12296" max="12544" width="9.140625" style="147"/>
    <col min="12545" max="12545" width="49.140625" style="147" customWidth="1"/>
    <col min="12546" max="12546" width="20.7109375" style="147" customWidth="1"/>
    <col min="12547" max="12547" width="9.140625" style="147"/>
    <col min="12548" max="12548" width="11.85546875" style="147" customWidth="1"/>
    <col min="12549" max="12549" width="11.7109375" style="147" customWidth="1"/>
    <col min="12550" max="12550" width="12.42578125" style="147" customWidth="1"/>
    <col min="12551" max="12551" width="13.42578125" style="147" customWidth="1"/>
    <col min="12552" max="12800" width="9.140625" style="147"/>
    <col min="12801" max="12801" width="49.140625" style="147" customWidth="1"/>
    <col min="12802" max="12802" width="20.7109375" style="147" customWidth="1"/>
    <col min="12803" max="12803" width="9.140625" style="147"/>
    <col min="12804" max="12804" width="11.85546875" style="147" customWidth="1"/>
    <col min="12805" max="12805" width="11.7109375" style="147" customWidth="1"/>
    <col min="12806" max="12806" width="12.42578125" style="147" customWidth="1"/>
    <col min="12807" max="12807" width="13.42578125" style="147" customWidth="1"/>
    <col min="12808" max="13056" width="9.140625" style="147"/>
    <col min="13057" max="13057" width="49.140625" style="147" customWidth="1"/>
    <col min="13058" max="13058" width="20.7109375" style="147" customWidth="1"/>
    <col min="13059" max="13059" width="9.140625" style="147"/>
    <col min="13060" max="13060" width="11.85546875" style="147" customWidth="1"/>
    <col min="13061" max="13061" width="11.7109375" style="147" customWidth="1"/>
    <col min="13062" max="13062" width="12.42578125" style="147" customWidth="1"/>
    <col min="13063" max="13063" width="13.42578125" style="147" customWidth="1"/>
    <col min="13064" max="13312" width="9.140625" style="147"/>
    <col min="13313" max="13313" width="49.140625" style="147" customWidth="1"/>
    <col min="13314" max="13314" width="20.7109375" style="147" customWidth="1"/>
    <col min="13315" max="13315" width="9.140625" style="147"/>
    <col min="13316" max="13316" width="11.85546875" style="147" customWidth="1"/>
    <col min="13317" max="13317" width="11.7109375" style="147" customWidth="1"/>
    <col min="13318" max="13318" width="12.42578125" style="147" customWidth="1"/>
    <col min="13319" max="13319" width="13.42578125" style="147" customWidth="1"/>
    <col min="13320" max="13568" width="9.140625" style="147"/>
    <col min="13569" max="13569" width="49.140625" style="147" customWidth="1"/>
    <col min="13570" max="13570" width="20.7109375" style="147" customWidth="1"/>
    <col min="13571" max="13571" width="9.140625" style="147"/>
    <col min="13572" max="13572" width="11.85546875" style="147" customWidth="1"/>
    <col min="13573" max="13573" width="11.7109375" style="147" customWidth="1"/>
    <col min="13574" max="13574" width="12.42578125" style="147" customWidth="1"/>
    <col min="13575" max="13575" width="13.42578125" style="147" customWidth="1"/>
    <col min="13576" max="13824" width="9.140625" style="147"/>
    <col min="13825" max="13825" width="49.140625" style="147" customWidth="1"/>
    <col min="13826" max="13826" width="20.7109375" style="147" customWidth="1"/>
    <col min="13827" max="13827" width="9.140625" style="147"/>
    <col min="13828" max="13828" width="11.85546875" style="147" customWidth="1"/>
    <col min="13829" max="13829" width="11.7109375" style="147" customWidth="1"/>
    <col min="13830" max="13830" width="12.42578125" style="147" customWidth="1"/>
    <col min="13831" max="13831" width="13.42578125" style="147" customWidth="1"/>
    <col min="13832" max="14080" width="9.140625" style="147"/>
    <col min="14081" max="14081" width="49.140625" style="147" customWidth="1"/>
    <col min="14082" max="14082" width="20.7109375" style="147" customWidth="1"/>
    <col min="14083" max="14083" width="9.140625" style="147"/>
    <col min="14084" max="14084" width="11.85546875" style="147" customWidth="1"/>
    <col min="14085" max="14085" width="11.7109375" style="147" customWidth="1"/>
    <col min="14086" max="14086" width="12.42578125" style="147" customWidth="1"/>
    <col min="14087" max="14087" width="13.42578125" style="147" customWidth="1"/>
    <col min="14088" max="14336" width="9.140625" style="147"/>
    <col min="14337" max="14337" width="49.140625" style="147" customWidth="1"/>
    <col min="14338" max="14338" width="20.7109375" style="147" customWidth="1"/>
    <col min="14339" max="14339" width="9.140625" style="147"/>
    <col min="14340" max="14340" width="11.85546875" style="147" customWidth="1"/>
    <col min="14341" max="14341" width="11.7109375" style="147" customWidth="1"/>
    <col min="14342" max="14342" width="12.42578125" style="147" customWidth="1"/>
    <col min="14343" max="14343" width="13.42578125" style="147" customWidth="1"/>
    <col min="14344" max="14592" width="9.140625" style="147"/>
    <col min="14593" max="14593" width="49.140625" style="147" customWidth="1"/>
    <col min="14594" max="14594" width="20.7109375" style="147" customWidth="1"/>
    <col min="14595" max="14595" width="9.140625" style="147"/>
    <col min="14596" max="14596" width="11.85546875" style="147" customWidth="1"/>
    <col min="14597" max="14597" width="11.7109375" style="147" customWidth="1"/>
    <col min="14598" max="14598" width="12.42578125" style="147" customWidth="1"/>
    <col min="14599" max="14599" width="13.42578125" style="147" customWidth="1"/>
    <col min="14600" max="14848" width="9.140625" style="147"/>
    <col min="14849" max="14849" width="49.140625" style="147" customWidth="1"/>
    <col min="14850" max="14850" width="20.7109375" style="147" customWidth="1"/>
    <col min="14851" max="14851" width="9.140625" style="147"/>
    <col min="14852" max="14852" width="11.85546875" style="147" customWidth="1"/>
    <col min="14853" max="14853" width="11.7109375" style="147" customWidth="1"/>
    <col min="14854" max="14854" width="12.42578125" style="147" customWidth="1"/>
    <col min="14855" max="14855" width="13.42578125" style="147" customWidth="1"/>
    <col min="14856" max="15104" width="9.140625" style="147"/>
    <col min="15105" max="15105" width="49.140625" style="147" customWidth="1"/>
    <col min="15106" max="15106" width="20.7109375" style="147" customWidth="1"/>
    <col min="15107" max="15107" width="9.140625" style="147"/>
    <col min="15108" max="15108" width="11.85546875" style="147" customWidth="1"/>
    <col min="15109" max="15109" width="11.7109375" style="147" customWidth="1"/>
    <col min="15110" max="15110" width="12.42578125" style="147" customWidth="1"/>
    <col min="15111" max="15111" width="13.42578125" style="147" customWidth="1"/>
    <col min="15112" max="15360" width="9.140625" style="147"/>
    <col min="15361" max="15361" width="49.140625" style="147" customWidth="1"/>
    <col min="15362" max="15362" width="20.7109375" style="147" customWidth="1"/>
    <col min="15363" max="15363" width="9.140625" style="147"/>
    <col min="15364" max="15364" width="11.85546875" style="147" customWidth="1"/>
    <col min="15365" max="15365" width="11.7109375" style="147" customWidth="1"/>
    <col min="15366" max="15366" width="12.42578125" style="147" customWidth="1"/>
    <col min="15367" max="15367" width="13.42578125" style="147" customWidth="1"/>
    <col min="15368" max="15616" width="9.140625" style="147"/>
    <col min="15617" max="15617" width="49.140625" style="147" customWidth="1"/>
    <col min="15618" max="15618" width="20.7109375" style="147" customWidth="1"/>
    <col min="15619" max="15619" width="9.140625" style="147"/>
    <col min="15620" max="15620" width="11.85546875" style="147" customWidth="1"/>
    <col min="15621" max="15621" width="11.7109375" style="147" customWidth="1"/>
    <col min="15622" max="15622" width="12.42578125" style="147" customWidth="1"/>
    <col min="15623" max="15623" width="13.42578125" style="147" customWidth="1"/>
    <col min="15624" max="15872" width="9.140625" style="147"/>
    <col min="15873" max="15873" width="49.140625" style="147" customWidth="1"/>
    <col min="15874" max="15874" width="20.7109375" style="147" customWidth="1"/>
    <col min="15875" max="15875" width="9.140625" style="147"/>
    <col min="15876" max="15876" width="11.85546875" style="147" customWidth="1"/>
    <col min="15877" max="15877" width="11.7109375" style="147" customWidth="1"/>
    <col min="15878" max="15878" width="12.42578125" style="147" customWidth="1"/>
    <col min="15879" max="15879" width="13.42578125" style="147" customWidth="1"/>
    <col min="15880" max="16128" width="9.140625" style="147"/>
    <col min="16129" max="16129" width="49.140625" style="147" customWidth="1"/>
    <col min="16130" max="16130" width="20.7109375" style="147" customWidth="1"/>
    <col min="16131" max="16131" width="9.140625" style="147"/>
    <col min="16132" max="16132" width="11.85546875" style="147" customWidth="1"/>
    <col min="16133" max="16133" width="11.7109375" style="147" customWidth="1"/>
    <col min="16134" max="16134" width="12.42578125" style="147" customWidth="1"/>
    <col min="16135" max="16135" width="13.42578125" style="147" customWidth="1"/>
    <col min="16136" max="16384" width="9.140625" style="147"/>
  </cols>
  <sheetData>
    <row r="1" spans="1:12" ht="20.100000000000001" customHeight="1">
      <c r="A1" s="1479" t="s">
        <v>663</v>
      </c>
      <c r="B1" s="1481"/>
      <c r="C1" s="159"/>
      <c r="D1" s="148"/>
      <c r="E1" s="148"/>
      <c r="F1" s="148"/>
      <c r="G1" s="148"/>
      <c r="H1" s="148"/>
      <c r="I1" s="148"/>
      <c r="J1" s="148"/>
      <c r="K1" s="148"/>
      <c r="L1" s="148"/>
    </row>
    <row r="2" spans="1:12" ht="20.100000000000001" customHeight="1">
      <c r="A2" s="1487" t="s">
        <v>285</v>
      </c>
      <c r="B2" s="1488"/>
      <c r="C2" s="159"/>
    </row>
    <row r="3" spans="1:12" ht="20.100000000000001" customHeight="1">
      <c r="A3" s="787" t="s">
        <v>279</v>
      </c>
      <c r="B3" s="788">
        <f>'Cashflow Option 1'!K11</f>
        <v>2680.0928041001916</v>
      </c>
      <c r="C3" s="159"/>
      <c r="D3" s="150"/>
      <c r="E3" s="151"/>
      <c r="F3" s="152"/>
      <c r="G3" s="151"/>
    </row>
    <row r="4" spans="1:12" ht="20.100000000000001" customHeight="1">
      <c r="A4" s="787" t="s">
        <v>280</v>
      </c>
      <c r="B4" s="789"/>
      <c r="C4" s="159"/>
      <c r="D4" s="151"/>
      <c r="E4" s="151"/>
      <c r="F4" s="153"/>
      <c r="G4" s="153"/>
    </row>
    <row r="5" spans="1:12" ht="20.100000000000001" customHeight="1">
      <c r="A5" s="759" t="s">
        <v>529</v>
      </c>
      <c r="B5" s="790">
        <f>'Cashflow Option 1'!K15</f>
        <v>1589.9483717660003</v>
      </c>
      <c r="C5" s="159"/>
      <c r="D5" s="151"/>
      <c r="E5" s="152"/>
      <c r="F5" s="155"/>
      <c r="G5" s="154"/>
    </row>
    <row r="6" spans="1:12" ht="20.100000000000001" customHeight="1">
      <c r="A6" s="759" t="s">
        <v>20</v>
      </c>
      <c r="B6" s="790">
        <f>'Cashflow Option 1'!K17</f>
        <v>227.17756689323639</v>
      </c>
      <c r="C6" s="159"/>
      <c r="D6" s="151"/>
      <c r="E6" s="156"/>
      <c r="F6" s="154"/>
      <c r="G6" s="154"/>
    </row>
    <row r="7" spans="1:12" ht="20.100000000000001" customHeight="1">
      <c r="A7" s="759" t="s">
        <v>18</v>
      </c>
      <c r="B7" s="790">
        <f>'Cashflow Option 1'!K16</f>
        <v>30.708780423749996</v>
      </c>
      <c r="C7" s="159"/>
      <c r="D7" s="151"/>
      <c r="E7" s="156"/>
      <c r="F7" s="154"/>
      <c r="G7" s="154"/>
    </row>
    <row r="8" spans="1:12" ht="20.100000000000001" customHeight="1">
      <c r="A8" s="759" t="s">
        <v>25</v>
      </c>
      <c r="B8" s="790">
        <f>'Cashflow Option 1'!K19</f>
        <v>91.918439596661543</v>
      </c>
      <c r="C8" s="159"/>
      <c r="D8" s="151"/>
      <c r="E8" s="156"/>
      <c r="F8" s="154"/>
      <c r="G8" s="154"/>
    </row>
    <row r="9" spans="1:12" ht="20.100000000000001" customHeight="1">
      <c r="A9" s="791" t="s">
        <v>281</v>
      </c>
      <c r="B9" s="788">
        <f>SUM(B5:B8)</f>
        <v>1939.7531586796481</v>
      </c>
      <c r="C9" s="160"/>
      <c r="D9" s="149"/>
      <c r="E9" s="149"/>
      <c r="F9" s="149"/>
      <c r="G9" s="149"/>
    </row>
    <row r="10" spans="1:12" ht="20.100000000000001" customHeight="1">
      <c r="A10" s="787" t="s">
        <v>282</v>
      </c>
      <c r="B10" s="788">
        <f>+B3-B9</f>
        <v>740.33964542054355</v>
      </c>
      <c r="C10" s="159"/>
      <c r="D10" s="149"/>
      <c r="E10" s="149"/>
      <c r="F10" s="149"/>
      <c r="G10" s="149"/>
      <c r="H10" s="151"/>
    </row>
    <row r="11" spans="1:12" ht="20.100000000000001" customHeight="1">
      <c r="A11" s="787" t="s">
        <v>283</v>
      </c>
      <c r="B11" s="789"/>
      <c r="C11" s="159"/>
      <c r="D11" s="151"/>
      <c r="E11" s="151"/>
      <c r="F11" s="153"/>
      <c r="G11" s="153"/>
      <c r="H11" s="151"/>
    </row>
    <row r="12" spans="1:12" ht="20.100000000000001" customHeight="1">
      <c r="A12" s="759" t="s">
        <v>23</v>
      </c>
      <c r="B12" s="790">
        <f>'Cashflow Option 1'!K18</f>
        <v>34.849084469448037</v>
      </c>
      <c r="C12" s="159"/>
      <c r="D12" s="151"/>
      <c r="E12" s="151"/>
      <c r="F12" s="151"/>
      <c r="G12" s="151"/>
      <c r="H12" s="151"/>
    </row>
    <row r="13" spans="1:12" ht="20.100000000000001" customHeight="1">
      <c r="A13" s="759" t="s">
        <v>536</v>
      </c>
      <c r="B13" s="790">
        <f>'BEP Sensitivity'!B14</f>
        <v>132.65062499999999</v>
      </c>
      <c r="C13" s="159"/>
      <c r="D13" s="151"/>
      <c r="E13" s="151"/>
      <c r="F13" s="151"/>
      <c r="G13" s="151"/>
      <c r="H13" s="157"/>
    </row>
    <row r="14" spans="1:12" ht="20.100000000000001" customHeight="1">
      <c r="A14" s="759" t="s">
        <v>35</v>
      </c>
      <c r="B14" s="790">
        <f>-'Cashflow Option 1'!G8/10</f>
        <v>176.86750000000001</v>
      </c>
      <c r="C14" s="159"/>
      <c r="D14" s="149"/>
      <c r="E14" s="149"/>
      <c r="F14" s="149"/>
      <c r="G14" s="149"/>
      <c r="H14" s="157"/>
    </row>
    <row r="15" spans="1:12" ht="20.100000000000001" customHeight="1">
      <c r="A15" s="791" t="s">
        <v>161</v>
      </c>
      <c r="B15" s="788">
        <f>SUM(B12:B14)</f>
        <v>344.36720946944803</v>
      </c>
      <c r="C15" s="159"/>
      <c r="D15" s="158"/>
      <c r="E15" s="158"/>
      <c r="F15" s="158"/>
      <c r="G15" s="158"/>
      <c r="H15" s="157"/>
      <c r="I15" s="148"/>
    </row>
    <row r="16" spans="1:12" ht="20.100000000000001" customHeight="1">
      <c r="A16" s="792" t="s">
        <v>284</v>
      </c>
      <c r="B16" s="793">
        <f>+B15/B10</f>
        <v>0.465147600293421</v>
      </c>
      <c r="G16" s="157"/>
      <c r="H16" s="157"/>
    </row>
    <row r="17" spans="1:2" ht="20.100000000000001" customHeight="1">
      <c r="A17" s="153"/>
      <c r="B17" s="153"/>
    </row>
    <row r="18" spans="1:2" ht="15.75">
      <c r="A18" s="153"/>
      <c r="B18" s="153"/>
    </row>
  </sheetData>
  <mergeCells count="2">
    <mergeCell ref="A1:B1"/>
    <mergeCell ref="A2:B2"/>
  </mergeCells>
  <printOptions horizontalCentered="1" gridLines="1"/>
  <pageMargins left="1" right="0.75" top="1" bottom="1" header="0.5" footer="0.5"/>
  <pageSetup paperSize="9"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7"/>
  <dimension ref="A1:K27"/>
  <sheetViews>
    <sheetView showGridLines="0" topLeftCell="A13" zoomScaleNormal="100" zoomScaleSheetLayoutView="98" workbookViewId="0">
      <selection activeCell="B20" sqref="B20:B24"/>
    </sheetView>
  </sheetViews>
  <sheetFormatPr defaultRowHeight="12.75"/>
  <cols>
    <col min="1" max="1" width="63.7109375" style="511" bestFit="1" customWidth="1"/>
    <col min="2" max="2" width="20.7109375" style="511" customWidth="1"/>
    <col min="3" max="3" width="11.85546875" style="511" customWidth="1"/>
    <col min="4" max="4" width="11.7109375" style="511" customWidth="1"/>
    <col min="5" max="5" width="12.42578125" style="511" customWidth="1"/>
    <col min="6" max="6" width="13.42578125" style="511" customWidth="1"/>
    <col min="7" max="255" width="9.140625" style="511"/>
    <col min="256" max="256" width="49.140625" style="511" customWidth="1"/>
    <col min="257" max="257" width="20.7109375" style="511" customWidth="1"/>
    <col min="258" max="258" width="9.140625" style="511"/>
    <col min="259" max="259" width="11.85546875" style="511" customWidth="1"/>
    <col min="260" max="260" width="11.7109375" style="511" customWidth="1"/>
    <col min="261" max="261" width="12.42578125" style="511" customWidth="1"/>
    <col min="262" max="262" width="13.42578125" style="511" customWidth="1"/>
    <col min="263" max="511" width="9.140625" style="511"/>
    <col min="512" max="512" width="49.140625" style="511" customWidth="1"/>
    <col min="513" max="513" width="20.7109375" style="511" customWidth="1"/>
    <col min="514" max="514" width="9.140625" style="511"/>
    <col min="515" max="515" width="11.85546875" style="511" customWidth="1"/>
    <col min="516" max="516" width="11.7109375" style="511" customWidth="1"/>
    <col min="517" max="517" width="12.42578125" style="511" customWidth="1"/>
    <col min="518" max="518" width="13.42578125" style="511" customWidth="1"/>
    <col min="519" max="767" width="9.140625" style="511"/>
    <col min="768" max="768" width="49.140625" style="511" customWidth="1"/>
    <col min="769" max="769" width="20.7109375" style="511" customWidth="1"/>
    <col min="770" max="770" width="9.140625" style="511"/>
    <col min="771" max="771" width="11.85546875" style="511" customWidth="1"/>
    <col min="772" max="772" width="11.7109375" style="511" customWidth="1"/>
    <col min="773" max="773" width="12.42578125" style="511" customWidth="1"/>
    <col min="774" max="774" width="13.42578125" style="511" customWidth="1"/>
    <col min="775" max="1023" width="9.140625" style="511"/>
    <col min="1024" max="1024" width="49.140625" style="511" customWidth="1"/>
    <col min="1025" max="1025" width="20.7109375" style="511" customWidth="1"/>
    <col min="1026" max="1026" width="9.140625" style="511"/>
    <col min="1027" max="1027" width="11.85546875" style="511" customWidth="1"/>
    <col min="1028" max="1028" width="11.7109375" style="511" customWidth="1"/>
    <col min="1029" max="1029" width="12.42578125" style="511" customWidth="1"/>
    <col min="1030" max="1030" width="13.42578125" style="511" customWidth="1"/>
    <col min="1031" max="1279" width="9.140625" style="511"/>
    <col min="1280" max="1280" width="49.140625" style="511" customWidth="1"/>
    <col min="1281" max="1281" width="20.7109375" style="511" customWidth="1"/>
    <col min="1282" max="1282" width="9.140625" style="511"/>
    <col min="1283" max="1283" width="11.85546875" style="511" customWidth="1"/>
    <col min="1284" max="1284" width="11.7109375" style="511" customWidth="1"/>
    <col min="1285" max="1285" width="12.42578125" style="511" customWidth="1"/>
    <col min="1286" max="1286" width="13.42578125" style="511" customWidth="1"/>
    <col min="1287" max="1535" width="9.140625" style="511"/>
    <col min="1536" max="1536" width="49.140625" style="511" customWidth="1"/>
    <col min="1537" max="1537" width="20.7109375" style="511" customWidth="1"/>
    <col min="1538" max="1538" width="9.140625" style="511"/>
    <col min="1539" max="1539" width="11.85546875" style="511" customWidth="1"/>
    <col min="1540" max="1540" width="11.7109375" style="511" customWidth="1"/>
    <col min="1541" max="1541" width="12.42578125" style="511" customWidth="1"/>
    <col min="1542" max="1542" width="13.42578125" style="511" customWidth="1"/>
    <col min="1543" max="1791" width="9.140625" style="511"/>
    <col min="1792" max="1792" width="49.140625" style="511" customWidth="1"/>
    <col min="1793" max="1793" width="20.7109375" style="511" customWidth="1"/>
    <col min="1794" max="1794" width="9.140625" style="511"/>
    <col min="1795" max="1795" width="11.85546875" style="511" customWidth="1"/>
    <col min="1796" max="1796" width="11.7109375" style="511" customWidth="1"/>
    <col min="1797" max="1797" width="12.42578125" style="511" customWidth="1"/>
    <col min="1798" max="1798" width="13.42578125" style="511" customWidth="1"/>
    <col min="1799" max="2047" width="9.140625" style="511"/>
    <col min="2048" max="2048" width="49.140625" style="511" customWidth="1"/>
    <col min="2049" max="2049" width="20.7109375" style="511" customWidth="1"/>
    <col min="2050" max="2050" width="9.140625" style="511"/>
    <col min="2051" max="2051" width="11.85546875" style="511" customWidth="1"/>
    <col min="2052" max="2052" width="11.7109375" style="511" customWidth="1"/>
    <col min="2053" max="2053" width="12.42578125" style="511" customWidth="1"/>
    <col min="2054" max="2054" width="13.42578125" style="511" customWidth="1"/>
    <col min="2055" max="2303" width="9.140625" style="511"/>
    <col min="2304" max="2304" width="49.140625" style="511" customWidth="1"/>
    <col min="2305" max="2305" width="20.7109375" style="511" customWidth="1"/>
    <col min="2306" max="2306" width="9.140625" style="511"/>
    <col min="2307" max="2307" width="11.85546875" style="511" customWidth="1"/>
    <col min="2308" max="2308" width="11.7109375" style="511" customWidth="1"/>
    <col min="2309" max="2309" width="12.42578125" style="511" customWidth="1"/>
    <col min="2310" max="2310" width="13.42578125" style="511" customWidth="1"/>
    <col min="2311" max="2559" width="9.140625" style="511"/>
    <col min="2560" max="2560" width="49.140625" style="511" customWidth="1"/>
    <col min="2561" max="2561" width="20.7109375" style="511" customWidth="1"/>
    <col min="2562" max="2562" width="9.140625" style="511"/>
    <col min="2563" max="2563" width="11.85546875" style="511" customWidth="1"/>
    <col min="2564" max="2564" width="11.7109375" style="511" customWidth="1"/>
    <col min="2565" max="2565" width="12.42578125" style="511" customWidth="1"/>
    <col min="2566" max="2566" width="13.42578125" style="511" customWidth="1"/>
    <col min="2567" max="2815" width="9.140625" style="511"/>
    <col min="2816" max="2816" width="49.140625" style="511" customWidth="1"/>
    <col min="2817" max="2817" width="20.7109375" style="511" customWidth="1"/>
    <col min="2818" max="2818" width="9.140625" style="511"/>
    <col min="2819" max="2819" width="11.85546875" style="511" customWidth="1"/>
    <col min="2820" max="2820" width="11.7109375" style="511" customWidth="1"/>
    <col min="2821" max="2821" width="12.42578125" style="511" customWidth="1"/>
    <col min="2822" max="2822" width="13.42578125" style="511" customWidth="1"/>
    <col min="2823" max="3071" width="9.140625" style="511"/>
    <col min="3072" max="3072" width="49.140625" style="511" customWidth="1"/>
    <col min="3073" max="3073" width="20.7109375" style="511" customWidth="1"/>
    <col min="3074" max="3074" width="9.140625" style="511"/>
    <col min="3075" max="3075" width="11.85546875" style="511" customWidth="1"/>
    <col min="3076" max="3076" width="11.7109375" style="511" customWidth="1"/>
    <col min="3077" max="3077" width="12.42578125" style="511" customWidth="1"/>
    <col min="3078" max="3078" width="13.42578125" style="511" customWidth="1"/>
    <col min="3079" max="3327" width="9.140625" style="511"/>
    <col min="3328" max="3328" width="49.140625" style="511" customWidth="1"/>
    <col min="3329" max="3329" width="20.7109375" style="511" customWidth="1"/>
    <col min="3330" max="3330" width="9.140625" style="511"/>
    <col min="3331" max="3331" width="11.85546875" style="511" customWidth="1"/>
    <col min="3332" max="3332" width="11.7109375" style="511" customWidth="1"/>
    <col min="3333" max="3333" width="12.42578125" style="511" customWidth="1"/>
    <col min="3334" max="3334" width="13.42578125" style="511" customWidth="1"/>
    <col min="3335" max="3583" width="9.140625" style="511"/>
    <col min="3584" max="3584" width="49.140625" style="511" customWidth="1"/>
    <col min="3585" max="3585" width="20.7109375" style="511" customWidth="1"/>
    <col min="3586" max="3586" width="9.140625" style="511"/>
    <col min="3587" max="3587" width="11.85546875" style="511" customWidth="1"/>
    <col min="3588" max="3588" width="11.7109375" style="511" customWidth="1"/>
    <col min="3589" max="3589" width="12.42578125" style="511" customWidth="1"/>
    <col min="3590" max="3590" width="13.42578125" style="511" customWidth="1"/>
    <col min="3591" max="3839" width="9.140625" style="511"/>
    <col min="3840" max="3840" width="49.140625" style="511" customWidth="1"/>
    <col min="3841" max="3841" width="20.7109375" style="511" customWidth="1"/>
    <col min="3842" max="3842" width="9.140625" style="511"/>
    <col min="3843" max="3843" width="11.85546875" style="511" customWidth="1"/>
    <col min="3844" max="3844" width="11.7109375" style="511" customWidth="1"/>
    <col min="3845" max="3845" width="12.42578125" style="511" customWidth="1"/>
    <col min="3846" max="3846" width="13.42578125" style="511" customWidth="1"/>
    <col min="3847" max="4095" width="9.140625" style="511"/>
    <col min="4096" max="4096" width="49.140625" style="511" customWidth="1"/>
    <col min="4097" max="4097" width="20.7109375" style="511" customWidth="1"/>
    <col min="4098" max="4098" width="9.140625" style="511"/>
    <col min="4099" max="4099" width="11.85546875" style="511" customWidth="1"/>
    <col min="4100" max="4100" width="11.7109375" style="511" customWidth="1"/>
    <col min="4101" max="4101" width="12.42578125" style="511" customWidth="1"/>
    <col min="4102" max="4102" width="13.42578125" style="511" customWidth="1"/>
    <col min="4103" max="4351" width="9.140625" style="511"/>
    <col min="4352" max="4352" width="49.140625" style="511" customWidth="1"/>
    <col min="4353" max="4353" width="20.7109375" style="511" customWidth="1"/>
    <col min="4354" max="4354" width="9.140625" style="511"/>
    <col min="4355" max="4355" width="11.85546875" style="511" customWidth="1"/>
    <col min="4356" max="4356" width="11.7109375" style="511" customWidth="1"/>
    <col min="4357" max="4357" width="12.42578125" style="511" customWidth="1"/>
    <col min="4358" max="4358" width="13.42578125" style="511" customWidth="1"/>
    <col min="4359" max="4607" width="9.140625" style="511"/>
    <col min="4608" max="4608" width="49.140625" style="511" customWidth="1"/>
    <col min="4609" max="4609" width="20.7109375" style="511" customWidth="1"/>
    <col min="4610" max="4610" width="9.140625" style="511"/>
    <col min="4611" max="4611" width="11.85546875" style="511" customWidth="1"/>
    <col min="4612" max="4612" width="11.7109375" style="511" customWidth="1"/>
    <col min="4613" max="4613" width="12.42578125" style="511" customWidth="1"/>
    <col min="4614" max="4614" width="13.42578125" style="511" customWidth="1"/>
    <col min="4615" max="4863" width="9.140625" style="511"/>
    <col min="4864" max="4864" width="49.140625" style="511" customWidth="1"/>
    <col min="4865" max="4865" width="20.7109375" style="511" customWidth="1"/>
    <col min="4866" max="4866" width="9.140625" style="511"/>
    <col min="4867" max="4867" width="11.85546875" style="511" customWidth="1"/>
    <col min="4868" max="4868" width="11.7109375" style="511" customWidth="1"/>
    <col min="4869" max="4869" width="12.42578125" style="511" customWidth="1"/>
    <col min="4870" max="4870" width="13.42578125" style="511" customWidth="1"/>
    <col min="4871" max="5119" width="9.140625" style="511"/>
    <col min="5120" max="5120" width="49.140625" style="511" customWidth="1"/>
    <col min="5121" max="5121" width="20.7109375" style="511" customWidth="1"/>
    <col min="5122" max="5122" width="9.140625" style="511"/>
    <col min="5123" max="5123" width="11.85546875" style="511" customWidth="1"/>
    <col min="5124" max="5124" width="11.7109375" style="511" customWidth="1"/>
    <col min="5125" max="5125" width="12.42578125" style="511" customWidth="1"/>
    <col min="5126" max="5126" width="13.42578125" style="511" customWidth="1"/>
    <col min="5127" max="5375" width="9.140625" style="511"/>
    <col min="5376" max="5376" width="49.140625" style="511" customWidth="1"/>
    <col min="5377" max="5377" width="20.7109375" style="511" customWidth="1"/>
    <col min="5378" max="5378" width="9.140625" style="511"/>
    <col min="5379" max="5379" width="11.85546875" style="511" customWidth="1"/>
    <col min="5380" max="5380" width="11.7109375" style="511" customWidth="1"/>
    <col min="5381" max="5381" width="12.42578125" style="511" customWidth="1"/>
    <col min="5382" max="5382" width="13.42578125" style="511" customWidth="1"/>
    <col min="5383" max="5631" width="9.140625" style="511"/>
    <col min="5632" max="5632" width="49.140625" style="511" customWidth="1"/>
    <col min="5633" max="5633" width="20.7109375" style="511" customWidth="1"/>
    <col min="5634" max="5634" width="9.140625" style="511"/>
    <col min="5635" max="5635" width="11.85546875" style="511" customWidth="1"/>
    <col min="5636" max="5636" width="11.7109375" style="511" customWidth="1"/>
    <col min="5637" max="5637" width="12.42578125" style="511" customWidth="1"/>
    <col min="5638" max="5638" width="13.42578125" style="511" customWidth="1"/>
    <col min="5639" max="5887" width="9.140625" style="511"/>
    <col min="5888" max="5888" width="49.140625" style="511" customWidth="1"/>
    <col min="5889" max="5889" width="20.7109375" style="511" customWidth="1"/>
    <col min="5890" max="5890" width="9.140625" style="511"/>
    <col min="5891" max="5891" width="11.85546875" style="511" customWidth="1"/>
    <col min="5892" max="5892" width="11.7109375" style="511" customWidth="1"/>
    <col min="5893" max="5893" width="12.42578125" style="511" customWidth="1"/>
    <col min="5894" max="5894" width="13.42578125" style="511" customWidth="1"/>
    <col min="5895" max="6143" width="9.140625" style="511"/>
    <col min="6144" max="6144" width="49.140625" style="511" customWidth="1"/>
    <col min="6145" max="6145" width="20.7109375" style="511" customWidth="1"/>
    <col min="6146" max="6146" width="9.140625" style="511"/>
    <col min="6147" max="6147" width="11.85546875" style="511" customWidth="1"/>
    <col min="6148" max="6148" width="11.7109375" style="511" customWidth="1"/>
    <col min="6149" max="6149" width="12.42578125" style="511" customWidth="1"/>
    <col min="6150" max="6150" width="13.42578125" style="511" customWidth="1"/>
    <col min="6151" max="6399" width="9.140625" style="511"/>
    <col min="6400" max="6400" width="49.140625" style="511" customWidth="1"/>
    <col min="6401" max="6401" width="20.7109375" style="511" customWidth="1"/>
    <col min="6402" max="6402" width="9.140625" style="511"/>
    <col min="6403" max="6403" width="11.85546875" style="511" customWidth="1"/>
    <col min="6404" max="6404" width="11.7109375" style="511" customWidth="1"/>
    <col min="6405" max="6405" width="12.42578125" style="511" customWidth="1"/>
    <col min="6406" max="6406" width="13.42578125" style="511" customWidth="1"/>
    <col min="6407" max="6655" width="9.140625" style="511"/>
    <col min="6656" max="6656" width="49.140625" style="511" customWidth="1"/>
    <col min="6657" max="6657" width="20.7109375" style="511" customWidth="1"/>
    <col min="6658" max="6658" width="9.140625" style="511"/>
    <col min="6659" max="6659" width="11.85546875" style="511" customWidth="1"/>
    <col min="6660" max="6660" width="11.7109375" style="511" customWidth="1"/>
    <col min="6661" max="6661" width="12.42578125" style="511" customWidth="1"/>
    <col min="6662" max="6662" width="13.42578125" style="511" customWidth="1"/>
    <col min="6663" max="6911" width="9.140625" style="511"/>
    <col min="6912" max="6912" width="49.140625" style="511" customWidth="1"/>
    <col min="6913" max="6913" width="20.7109375" style="511" customWidth="1"/>
    <col min="6914" max="6914" width="9.140625" style="511"/>
    <col min="6915" max="6915" width="11.85546875" style="511" customWidth="1"/>
    <col min="6916" max="6916" width="11.7109375" style="511" customWidth="1"/>
    <col min="6917" max="6917" width="12.42578125" style="511" customWidth="1"/>
    <col min="6918" max="6918" width="13.42578125" style="511" customWidth="1"/>
    <col min="6919" max="7167" width="9.140625" style="511"/>
    <col min="7168" max="7168" width="49.140625" style="511" customWidth="1"/>
    <col min="7169" max="7169" width="20.7109375" style="511" customWidth="1"/>
    <col min="7170" max="7170" width="9.140625" style="511"/>
    <col min="7171" max="7171" width="11.85546875" style="511" customWidth="1"/>
    <col min="7172" max="7172" width="11.7109375" style="511" customWidth="1"/>
    <col min="7173" max="7173" width="12.42578125" style="511" customWidth="1"/>
    <col min="7174" max="7174" width="13.42578125" style="511" customWidth="1"/>
    <col min="7175" max="7423" width="9.140625" style="511"/>
    <col min="7424" max="7424" width="49.140625" style="511" customWidth="1"/>
    <col min="7425" max="7425" width="20.7109375" style="511" customWidth="1"/>
    <col min="7426" max="7426" width="9.140625" style="511"/>
    <col min="7427" max="7427" width="11.85546875" style="511" customWidth="1"/>
    <col min="7428" max="7428" width="11.7109375" style="511" customWidth="1"/>
    <col min="7429" max="7429" width="12.42578125" style="511" customWidth="1"/>
    <col min="7430" max="7430" width="13.42578125" style="511" customWidth="1"/>
    <col min="7431" max="7679" width="9.140625" style="511"/>
    <col min="7680" max="7680" width="49.140625" style="511" customWidth="1"/>
    <col min="7681" max="7681" width="20.7109375" style="511" customWidth="1"/>
    <col min="7682" max="7682" width="9.140625" style="511"/>
    <col min="7683" max="7683" width="11.85546875" style="511" customWidth="1"/>
    <col min="7684" max="7684" width="11.7109375" style="511" customWidth="1"/>
    <col min="7685" max="7685" width="12.42578125" style="511" customWidth="1"/>
    <col min="7686" max="7686" width="13.42578125" style="511" customWidth="1"/>
    <col min="7687" max="7935" width="9.140625" style="511"/>
    <col min="7936" max="7936" width="49.140625" style="511" customWidth="1"/>
    <col min="7937" max="7937" width="20.7109375" style="511" customWidth="1"/>
    <col min="7938" max="7938" width="9.140625" style="511"/>
    <col min="7939" max="7939" width="11.85546875" style="511" customWidth="1"/>
    <col min="7940" max="7940" width="11.7109375" style="511" customWidth="1"/>
    <col min="7941" max="7941" width="12.42578125" style="511" customWidth="1"/>
    <col min="7942" max="7942" width="13.42578125" style="511" customWidth="1"/>
    <col min="7943" max="8191" width="9.140625" style="511"/>
    <col min="8192" max="8192" width="49.140625" style="511" customWidth="1"/>
    <col min="8193" max="8193" width="20.7109375" style="511" customWidth="1"/>
    <col min="8194" max="8194" width="9.140625" style="511"/>
    <col min="8195" max="8195" width="11.85546875" style="511" customWidth="1"/>
    <col min="8196" max="8196" width="11.7109375" style="511" customWidth="1"/>
    <col min="8197" max="8197" width="12.42578125" style="511" customWidth="1"/>
    <col min="8198" max="8198" width="13.42578125" style="511" customWidth="1"/>
    <col min="8199" max="8447" width="9.140625" style="511"/>
    <col min="8448" max="8448" width="49.140625" style="511" customWidth="1"/>
    <col min="8449" max="8449" width="20.7109375" style="511" customWidth="1"/>
    <col min="8450" max="8450" width="9.140625" style="511"/>
    <col min="8451" max="8451" width="11.85546875" style="511" customWidth="1"/>
    <col min="8452" max="8452" width="11.7109375" style="511" customWidth="1"/>
    <col min="8453" max="8453" width="12.42578125" style="511" customWidth="1"/>
    <col min="8454" max="8454" width="13.42578125" style="511" customWidth="1"/>
    <col min="8455" max="8703" width="9.140625" style="511"/>
    <col min="8704" max="8704" width="49.140625" style="511" customWidth="1"/>
    <col min="8705" max="8705" width="20.7109375" style="511" customWidth="1"/>
    <col min="8706" max="8706" width="9.140625" style="511"/>
    <col min="8707" max="8707" width="11.85546875" style="511" customWidth="1"/>
    <col min="8708" max="8708" width="11.7109375" style="511" customWidth="1"/>
    <col min="8709" max="8709" width="12.42578125" style="511" customWidth="1"/>
    <col min="8710" max="8710" width="13.42578125" style="511" customWidth="1"/>
    <col min="8711" max="8959" width="9.140625" style="511"/>
    <col min="8960" max="8960" width="49.140625" style="511" customWidth="1"/>
    <col min="8961" max="8961" width="20.7109375" style="511" customWidth="1"/>
    <col min="8962" max="8962" width="9.140625" style="511"/>
    <col min="8963" max="8963" width="11.85546875" style="511" customWidth="1"/>
    <col min="8964" max="8964" width="11.7109375" style="511" customWidth="1"/>
    <col min="8965" max="8965" width="12.42578125" style="511" customWidth="1"/>
    <col min="8966" max="8966" width="13.42578125" style="511" customWidth="1"/>
    <col min="8967" max="9215" width="9.140625" style="511"/>
    <col min="9216" max="9216" width="49.140625" style="511" customWidth="1"/>
    <col min="9217" max="9217" width="20.7109375" style="511" customWidth="1"/>
    <col min="9218" max="9218" width="9.140625" style="511"/>
    <col min="9219" max="9219" width="11.85546875" style="511" customWidth="1"/>
    <col min="9220" max="9220" width="11.7109375" style="511" customWidth="1"/>
    <col min="9221" max="9221" width="12.42578125" style="511" customWidth="1"/>
    <col min="9222" max="9222" width="13.42578125" style="511" customWidth="1"/>
    <col min="9223" max="9471" width="9.140625" style="511"/>
    <col min="9472" max="9472" width="49.140625" style="511" customWidth="1"/>
    <col min="9473" max="9473" width="20.7109375" style="511" customWidth="1"/>
    <col min="9474" max="9474" width="9.140625" style="511"/>
    <col min="9475" max="9475" width="11.85546875" style="511" customWidth="1"/>
    <col min="9476" max="9476" width="11.7109375" style="511" customWidth="1"/>
    <col min="9477" max="9477" width="12.42578125" style="511" customWidth="1"/>
    <col min="9478" max="9478" width="13.42578125" style="511" customWidth="1"/>
    <col min="9479" max="9727" width="9.140625" style="511"/>
    <col min="9728" max="9728" width="49.140625" style="511" customWidth="1"/>
    <col min="9729" max="9729" width="20.7109375" style="511" customWidth="1"/>
    <col min="9730" max="9730" width="9.140625" style="511"/>
    <col min="9731" max="9731" width="11.85546875" style="511" customWidth="1"/>
    <col min="9732" max="9732" width="11.7109375" style="511" customWidth="1"/>
    <col min="9733" max="9733" width="12.42578125" style="511" customWidth="1"/>
    <col min="9734" max="9734" width="13.42578125" style="511" customWidth="1"/>
    <col min="9735" max="9983" width="9.140625" style="511"/>
    <col min="9984" max="9984" width="49.140625" style="511" customWidth="1"/>
    <col min="9985" max="9985" width="20.7109375" style="511" customWidth="1"/>
    <col min="9986" max="9986" width="9.140625" style="511"/>
    <col min="9987" max="9987" width="11.85546875" style="511" customWidth="1"/>
    <col min="9988" max="9988" width="11.7109375" style="511" customWidth="1"/>
    <col min="9989" max="9989" width="12.42578125" style="511" customWidth="1"/>
    <col min="9990" max="9990" width="13.42578125" style="511" customWidth="1"/>
    <col min="9991" max="10239" width="9.140625" style="511"/>
    <col min="10240" max="10240" width="49.140625" style="511" customWidth="1"/>
    <col min="10241" max="10241" width="20.7109375" style="511" customWidth="1"/>
    <col min="10242" max="10242" width="9.140625" style="511"/>
    <col min="10243" max="10243" width="11.85546875" style="511" customWidth="1"/>
    <col min="10244" max="10244" width="11.7109375" style="511" customWidth="1"/>
    <col min="10245" max="10245" width="12.42578125" style="511" customWidth="1"/>
    <col min="10246" max="10246" width="13.42578125" style="511" customWidth="1"/>
    <col min="10247" max="10495" width="9.140625" style="511"/>
    <col min="10496" max="10496" width="49.140625" style="511" customWidth="1"/>
    <col min="10497" max="10497" width="20.7109375" style="511" customWidth="1"/>
    <col min="10498" max="10498" width="9.140625" style="511"/>
    <col min="10499" max="10499" width="11.85546875" style="511" customWidth="1"/>
    <col min="10500" max="10500" width="11.7109375" style="511" customWidth="1"/>
    <col min="10501" max="10501" width="12.42578125" style="511" customWidth="1"/>
    <col min="10502" max="10502" width="13.42578125" style="511" customWidth="1"/>
    <col min="10503" max="10751" width="9.140625" style="511"/>
    <col min="10752" max="10752" width="49.140625" style="511" customWidth="1"/>
    <col min="10753" max="10753" width="20.7109375" style="511" customWidth="1"/>
    <col min="10754" max="10754" width="9.140625" style="511"/>
    <col min="10755" max="10755" width="11.85546875" style="511" customWidth="1"/>
    <col min="10756" max="10756" width="11.7109375" style="511" customWidth="1"/>
    <col min="10757" max="10757" width="12.42578125" style="511" customWidth="1"/>
    <col min="10758" max="10758" width="13.42578125" style="511" customWidth="1"/>
    <col min="10759" max="11007" width="9.140625" style="511"/>
    <col min="11008" max="11008" width="49.140625" style="511" customWidth="1"/>
    <col min="11009" max="11009" width="20.7109375" style="511" customWidth="1"/>
    <col min="11010" max="11010" width="9.140625" style="511"/>
    <col min="11011" max="11011" width="11.85546875" style="511" customWidth="1"/>
    <col min="11012" max="11012" width="11.7109375" style="511" customWidth="1"/>
    <col min="11013" max="11013" width="12.42578125" style="511" customWidth="1"/>
    <col min="11014" max="11014" width="13.42578125" style="511" customWidth="1"/>
    <col min="11015" max="11263" width="9.140625" style="511"/>
    <col min="11264" max="11264" width="49.140625" style="511" customWidth="1"/>
    <col min="11265" max="11265" width="20.7109375" style="511" customWidth="1"/>
    <col min="11266" max="11266" width="9.140625" style="511"/>
    <col min="11267" max="11267" width="11.85546875" style="511" customWidth="1"/>
    <col min="11268" max="11268" width="11.7109375" style="511" customWidth="1"/>
    <col min="11269" max="11269" width="12.42578125" style="511" customWidth="1"/>
    <col min="11270" max="11270" width="13.42578125" style="511" customWidth="1"/>
    <col min="11271" max="11519" width="9.140625" style="511"/>
    <col min="11520" max="11520" width="49.140625" style="511" customWidth="1"/>
    <col min="11521" max="11521" width="20.7109375" style="511" customWidth="1"/>
    <col min="11522" max="11522" width="9.140625" style="511"/>
    <col min="11523" max="11523" width="11.85546875" style="511" customWidth="1"/>
    <col min="11524" max="11524" width="11.7109375" style="511" customWidth="1"/>
    <col min="11525" max="11525" width="12.42578125" style="511" customWidth="1"/>
    <col min="11526" max="11526" width="13.42578125" style="511" customWidth="1"/>
    <col min="11527" max="11775" width="9.140625" style="511"/>
    <col min="11776" max="11776" width="49.140625" style="511" customWidth="1"/>
    <col min="11777" max="11777" width="20.7109375" style="511" customWidth="1"/>
    <col min="11778" max="11778" width="9.140625" style="511"/>
    <col min="11779" max="11779" width="11.85546875" style="511" customWidth="1"/>
    <col min="11780" max="11780" width="11.7109375" style="511" customWidth="1"/>
    <col min="11781" max="11781" width="12.42578125" style="511" customWidth="1"/>
    <col min="11782" max="11782" width="13.42578125" style="511" customWidth="1"/>
    <col min="11783" max="12031" width="9.140625" style="511"/>
    <col min="12032" max="12032" width="49.140625" style="511" customWidth="1"/>
    <col min="12033" max="12033" width="20.7109375" style="511" customWidth="1"/>
    <col min="12034" max="12034" width="9.140625" style="511"/>
    <col min="12035" max="12035" width="11.85546875" style="511" customWidth="1"/>
    <col min="12036" max="12036" width="11.7109375" style="511" customWidth="1"/>
    <col min="12037" max="12037" width="12.42578125" style="511" customWidth="1"/>
    <col min="12038" max="12038" width="13.42578125" style="511" customWidth="1"/>
    <col min="12039" max="12287" width="9.140625" style="511"/>
    <col min="12288" max="12288" width="49.140625" style="511" customWidth="1"/>
    <col min="12289" max="12289" width="20.7109375" style="511" customWidth="1"/>
    <col min="12290" max="12290" width="9.140625" style="511"/>
    <col min="12291" max="12291" width="11.85546875" style="511" customWidth="1"/>
    <col min="12292" max="12292" width="11.7109375" style="511" customWidth="1"/>
    <col min="12293" max="12293" width="12.42578125" style="511" customWidth="1"/>
    <col min="12294" max="12294" width="13.42578125" style="511" customWidth="1"/>
    <col min="12295" max="12543" width="9.140625" style="511"/>
    <col min="12544" max="12544" width="49.140625" style="511" customWidth="1"/>
    <col min="12545" max="12545" width="20.7109375" style="511" customWidth="1"/>
    <col min="12546" max="12546" width="9.140625" style="511"/>
    <col min="12547" max="12547" width="11.85546875" style="511" customWidth="1"/>
    <col min="12548" max="12548" width="11.7109375" style="511" customWidth="1"/>
    <col min="12549" max="12549" width="12.42578125" style="511" customWidth="1"/>
    <col min="12550" max="12550" width="13.42578125" style="511" customWidth="1"/>
    <col min="12551" max="12799" width="9.140625" style="511"/>
    <col min="12800" max="12800" width="49.140625" style="511" customWidth="1"/>
    <col min="12801" max="12801" width="20.7109375" style="511" customWidth="1"/>
    <col min="12802" max="12802" width="9.140625" style="511"/>
    <col min="12803" max="12803" width="11.85546875" style="511" customWidth="1"/>
    <col min="12804" max="12804" width="11.7109375" style="511" customWidth="1"/>
    <col min="12805" max="12805" width="12.42578125" style="511" customWidth="1"/>
    <col min="12806" max="12806" width="13.42578125" style="511" customWidth="1"/>
    <col min="12807" max="13055" width="9.140625" style="511"/>
    <col min="13056" max="13056" width="49.140625" style="511" customWidth="1"/>
    <col min="13057" max="13057" width="20.7109375" style="511" customWidth="1"/>
    <col min="13058" max="13058" width="9.140625" style="511"/>
    <col min="13059" max="13059" width="11.85546875" style="511" customWidth="1"/>
    <col min="13060" max="13060" width="11.7109375" style="511" customWidth="1"/>
    <col min="13061" max="13061" width="12.42578125" style="511" customWidth="1"/>
    <col min="13062" max="13062" width="13.42578125" style="511" customWidth="1"/>
    <col min="13063" max="13311" width="9.140625" style="511"/>
    <col min="13312" max="13312" width="49.140625" style="511" customWidth="1"/>
    <col min="13313" max="13313" width="20.7109375" style="511" customWidth="1"/>
    <col min="13314" max="13314" width="9.140625" style="511"/>
    <col min="13315" max="13315" width="11.85546875" style="511" customWidth="1"/>
    <col min="13316" max="13316" width="11.7109375" style="511" customWidth="1"/>
    <col min="13317" max="13317" width="12.42578125" style="511" customWidth="1"/>
    <col min="13318" max="13318" width="13.42578125" style="511" customWidth="1"/>
    <col min="13319" max="13567" width="9.140625" style="511"/>
    <col min="13568" max="13568" width="49.140625" style="511" customWidth="1"/>
    <col min="13569" max="13569" width="20.7109375" style="511" customWidth="1"/>
    <col min="13570" max="13570" width="9.140625" style="511"/>
    <col min="13571" max="13571" width="11.85546875" style="511" customWidth="1"/>
    <col min="13572" max="13572" width="11.7109375" style="511" customWidth="1"/>
    <col min="13573" max="13573" width="12.42578125" style="511" customWidth="1"/>
    <col min="13574" max="13574" width="13.42578125" style="511" customWidth="1"/>
    <col min="13575" max="13823" width="9.140625" style="511"/>
    <col min="13824" max="13824" width="49.140625" style="511" customWidth="1"/>
    <col min="13825" max="13825" width="20.7109375" style="511" customWidth="1"/>
    <col min="13826" max="13826" width="9.140625" style="511"/>
    <col min="13827" max="13827" width="11.85546875" style="511" customWidth="1"/>
    <col min="13828" max="13828" width="11.7109375" style="511" customWidth="1"/>
    <col min="13829" max="13829" width="12.42578125" style="511" customWidth="1"/>
    <col min="13830" max="13830" width="13.42578125" style="511" customWidth="1"/>
    <col min="13831" max="14079" width="9.140625" style="511"/>
    <col min="14080" max="14080" width="49.140625" style="511" customWidth="1"/>
    <col min="14081" max="14081" width="20.7109375" style="511" customWidth="1"/>
    <col min="14082" max="14082" width="9.140625" style="511"/>
    <col min="14083" max="14083" width="11.85546875" style="511" customWidth="1"/>
    <col min="14084" max="14084" width="11.7109375" style="511" customWidth="1"/>
    <col min="14085" max="14085" width="12.42578125" style="511" customWidth="1"/>
    <col min="14086" max="14086" width="13.42578125" style="511" customWidth="1"/>
    <col min="14087" max="14335" width="9.140625" style="511"/>
    <col min="14336" max="14336" width="49.140625" style="511" customWidth="1"/>
    <col min="14337" max="14337" width="20.7109375" style="511" customWidth="1"/>
    <col min="14338" max="14338" width="9.140625" style="511"/>
    <col min="14339" max="14339" width="11.85546875" style="511" customWidth="1"/>
    <col min="14340" max="14340" width="11.7109375" style="511" customWidth="1"/>
    <col min="14341" max="14341" width="12.42578125" style="511" customWidth="1"/>
    <col min="14342" max="14342" width="13.42578125" style="511" customWidth="1"/>
    <col min="14343" max="14591" width="9.140625" style="511"/>
    <col min="14592" max="14592" width="49.140625" style="511" customWidth="1"/>
    <col min="14593" max="14593" width="20.7109375" style="511" customWidth="1"/>
    <col min="14594" max="14594" width="9.140625" style="511"/>
    <col min="14595" max="14595" width="11.85546875" style="511" customWidth="1"/>
    <col min="14596" max="14596" width="11.7109375" style="511" customWidth="1"/>
    <col min="14597" max="14597" width="12.42578125" style="511" customWidth="1"/>
    <col min="14598" max="14598" width="13.42578125" style="511" customWidth="1"/>
    <col min="14599" max="14847" width="9.140625" style="511"/>
    <col min="14848" max="14848" width="49.140625" style="511" customWidth="1"/>
    <col min="14849" max="14849" width="20.7109375" style="511" customWidth="1"/>
    <col min="14850" max="14850" width="9.140625" style="511"/>
    <col min="14851" max="14851" width="11.85546875" style="511" customWidth="1"/>
    <col min="14852" max="14852" width="11.7109375" style="511" customWidth="1"/>
    <col min="14853" max="14853" width="12.42578125" style="511" customWidth="1"/>
    <col min="14854" max="14854" width="13.42578125" style="511" customWidth="1"/>
    <col min="14855" max="15103" width="9.140625" style="511"/>
    <col min="15104" max="15104" width="49.140625" style="511" customWidth="1"/>
    <col min="15105" max="15105" width="20.7109375" style="511" customWidth="1"/>
    <col min="15106" max="15106" width="9.140625" style="511"/>
    <col min="15107" max="15107" width="11.85546875" style="511" customWidth="1"/>
    <col min="15108" max="15108" width="11.7109375" style="511" customWidth="1"/>
    <col min="15109" max="15109" width="12.42578125" style="511" customWidth="1"/>
    <col min="15110" max="15110" width="13.42578125" style="511" customWidth="1"/>
    <col min="15111" max="15359" width="9.140625" style="511"/>
    <col min="15360" max="15360" width="49.140625" style="511" customWidth="1"/>
    <col min="15361" max="15361" width="20.7109375" style="511" customWidth="1"/>
    <col min="15362" max="15362" width="9.140625" style="511"/>
    <col min="15363" max="15363" width="11.85546875" style="511" customWidth="1"/>
    <col min="15364" max="15364" width="11.7109375" style="511" customWidth="1"/>
    <col min="15365" max="15365" width="12.42578125" style="511" customWidth="1"/>
    <col min="15366" max="15366" width="13.42578125" style="511" customWidth="1"/>
    <col min="15367" max="15615" width="9.140625" style="511"/>
    <col min="15616" max="15616" width="49.140625" style="511" customWidth="1"/>
    <col min="15617" max="15617" width="20.7109375" style="511" customWidth="1"/>
    <col min="15618" max="15618" width="9.140625" style="511"/>
    <col min="15619" max="15619" width="11.85546875" style="511" customWidth="1"/>
    <col min="15620" max="15620" width="11.7109375" style="511" customWidth="1"/>
    <col min="15621" max="15621" width="12.42578125" style="511" customWidth="1"/>
    <col min="15622" max="15622" width="13.42578125" style="511" customWidth="1"/>
    <col min="15623" max="15871" width="9.140625" style="511"/>
    <col min="15872" max="15872" width="49.140625" style="511" customWidth="1"/>
    <col min="15873" max="15873" width="20.7109375" style="511" customWidth="1"/>
    <col min="15874" max="15874" width="9.140625" style="511"/>
    <col min="15875" max="15875" width="11.85546875" style="511" customWidth="1"/>
    <col min="15876" max="15876" width="11.7109375" style="511" customWidth="1"/>
    <col min="15877" max="15877" width="12.42578125" style="511" customWidth="1"/>
    <col min="15878" max="15878" width="13.42578125" style="511" customWidth="1"/>
    <col min="15879" max="16127" width="9.140625" style="511"/>
    <col min="16128" max="16128" width="49.140625" style="511" customWidth="1"/>
    <col min="16129" max="16129" width="20.7109375" style="511" customWidth="1"/>
    <col min="16130" max="16130" width="9.140625" style="511"/>
    <col min="16131" max="16131" width="11.85546875" style="511" customWidth="1"/>
    <col min="16132" max="16132" width="11.7109375" style="511" customWidth="1"/>
    <col min="16133" max="16133" width="12.42578125" style="511" customWidth="1"/>
    <col min="16134" max="16134" width="13.42578125" style="511" customWidth="1"/>
    <col min="16135" max="16384" width="9.140625" style="511"/>
  </cols>
  <sheetData>
    <row r="1" spans="1:11" ht="20.100000000000001" customHeight="1">
      <c r="A1" s="1493" t="s">
        <v>663</v>
      </c>
      <c r="B1" s="1494"/>
      <c r="C1" s="1494"/>
      <c r="D1" s="1494"/>
      <c r="E1" s="1494"/>
      <c r="F1" s="1495"/>
      <c r="G1" s="512"/>
      <c r="H1" s="512"/>
      <c r="I1" s="512"/>
      <c r="J1" s="512"/>
      <c r="K1" s="512"/>
    </row>
    <row r="2" spans="1:11" ht="20.100000000000001" customHeight="1">
      <c r="A2" s="1489" t="s">
        <v>285</v>
      </c>
      <c r="B2" s="1490"/>
      <c r="C2" s="794">
        <v>1</v>
      </c>
      <c r="D2" s="794">
        <v>2</v>
      </c>
      <c r="E2" s="794">
        <v>3</v>
      </c>
      <c r="F2" s="795">
        <v>4</v>
      </c>
    </row>
    <row r="3" spans="1:11" ht="20.100000000000001" customHeight="1">
      <c r="A3" s="796" t="s">
        <v>279</v>
      </c>
      <c r="B3" s="797">
        <f>' Break EvenPoint'!B3</f>
        <v>2680.0928041001916</v>
      </c>
      <c r="C3" s="797">
        <f>B3-B3*0.11</f>
        <v>2385.2825956491706</v>
      </c>
      <c r="D3" s="797">
        <f>B3</f>
        <v>2680.0928041001916</v>
      </c>
      <c r="E3" s="797">
        <f>B3-B3*0.05</f>
        <v>2546.0881638951819</v>
      </c>
      <c r="F3" s="798">
        <f>B3</f>
        <v>2680.0928041001916</v>
      </c>
    </row>
    <row r="4" spans="1:11" ht="20.100000000000001" customHeight="1">
      <c r="A4" s="796" t="s">
        <v>280</v>
      </c>
      <c r="B4" s="799"/>
      <c r="C4" s="800"/>
      <c r="D4" s="800"/>
      <c r="E4" s="800"/>
      <c r="F4" s="801"/>
    </row>
    <row r="5" spans="1:11" ht="20.100000000000001" customHeight="1">
      <c r="A5" s="759" t="s">
        <v>529</v>
      </c>
      <c r="B5" s="800">
        <f>' Break EvenPoint'!B5</f>
        <v>1589.9483717660003</v>
      </c>
      <c r="C5" s="800">
        <f>B5</f>
        <v>1589.9483717660003</v>
      </c>
      <c r="D5" s="800">
        <f>C5+C5*16.5%</f>
        <v>1852.2898531073904</v>
      </c>
      <c r="E5" s="800">
        <f>B5+B5*0.09</f>
        <v>1733.0437252249403</v>
      </c>
      <c r="F5" s="801">
        <f>B5</f>
        <v>1589.9483717660003</v>
      </c>
    </row>
    <row r="6" spans="1:11" ht="20.100000000000001" customHeight="1">
      <c r="A6" s="759" t="s">
        <v>20</v>
      </c>
      <c r="B6" s="800">
        <f>' Break EvenPoint'!B6</f>
        <v>227.17756689323639</v>
      </c>
      <c r="C6" s="800">
        <f>B6</f>
        <v>227.17756689323639</v>
      </c>
      <c r="D6" s="800">
        <f>C6</f>
        <v>227.17756689323639</v>
      </c>
      <c r="E6" s="800">
        <f>D6</f>
        <v>227.17756689323639</v>
      </c>
      <c r="F6" s="801">
        <f>E6</f>
        <v>227.17756689323639</v>
      </c>
    </row>
    <row r="7" spans="1:11" ht="20.100000000000001" customHeight="1">
      <c r="A7" s="759" t="s">
        <v>18</v>
      </c>
      <c r="B7" s="800">
        <f>' Break EvenPoint'!B7</f>
        <v>30.708780423749996</v>
      </c>
      <c r="C7" s="800">
        <f>B7</f>
        <v>30.708780423749996</v>
      </c>
      <c r="D7" s="800">
        <f t="shared" ref="D7:F8" si="0">C7</f>
        <v>30.708780423749996</v>
      </c>
      <c r="E7" s="800">
        <f t="shared" si="0"/>
        <v>30.708780423749996</v>
      </c>
      <c r="F7" s="801">
        <f t="shared" si="0"/>
        <v>30.708780423749996</v>
      </c>
    </row>
    <row r="8" spans="1:11" ht="20.100000000000001" customHeight="1">
      <c r="A8" s="759" t="str">
        <f>' Break EvenPoint'!A8</f>
        <v>Selling Overheads</v>
      </c>
      <c r="B8" s="800">
        <f>' Break EvenPoint'!B8</f>
        <v>91.918439596661543</v>
      </c>
      <c r="C8" s="800">
        <f>B8</f>
        <v>91.918439596661543</v>
      </c>
      <c r="D8" s="800">
        <f t="shared" si="0"/>
        <v>91.918439596661543</v>
      </c>
      <c r="E8" s="800">
        <f t="shared" si="0"/>
        <v>91.918439596661543</v>
      </c>
      <c r="F8" s="801">
        <f t="shared" si="0"/>
        <v>91.918439596661543</v>
      </c>
    </row>
    <row r="9" spans="1:11" ht="20.100000000000001" customHeight="1">
      <c r="A9" s="802" t="s">
        <v>281</v>
      </c>
      <c r="B9" s="797">
        <f>SUM(B5:B8)</f>
        <v>1939.7531586796481</v>
      </c>
      <c r="C9" s="797">
        <f>SUM(C5:C8)</f>
        <v>1939.7531586796481</v>
      </c>
      <c r="D9" s="797">
        <f>SUM(D5:D8)</f>
        <v>2202.0946400210382</v>
      </c>
      <c r="E9" s="797">
        <f>SUM(E5:E8)</f>
        <v>2082.8485121385884</v>
      </c>
      <c r="F9" s="798">
        <f>SUM(F5:F8)+SUM(F5:F8)*14.5%</f>
        <v>2221.0173666881969</v>
      </c>
    </row>
    <row r="10" spans="1:11" ht="20.100000000000001" customHeight="1">
      <c r="A10" s="796" t="s">
        <v>282</v>
      </c>
      <c r="B10" s="797">
        <f>+B3-B9</f>
        <v>740.33964542054355</v>
      </c>
      <c r="C10" s="797">
        <f>+C3-C9</f>
        <v>445.52943696952252</v>
      </c>
      <c r="D10" s="797">
        <f>+D3-D9</f>
        <v>477.99816407915341</v>
      </c>
      <c r="E10" s="797">
        <f>+E3-E9</f>
        <v>463.2396517565935</v>
      </c>
      <c r="F10" s="798">
        <f>+F3-F9</f>
        <v>459.0754374119947</v>
      </c>
      <c r="G10" s="513"/>
    </row>
    <row r="11" spans="1:11" ht="20.100000000000001" customHeight="1">
      <c r="A11" s="796" t="s">
        <v>283</v>
      </c>
      <c r="B11" s="799"/>
      <c r="C11" s="803"/>
      <c r="D11" s="803"/>
      <c r="E11" s="804"/>
      <c r="F11" s="805"/>
      <c r="G11" s="513"/>
    </row>
    <row r="12" spans="1:11" ht="20.100000000000001" customHeight="1">
      <c r="A12" s="759" t="str">
        <f>' Break EvenPoint'!A12</f>
        <v>Fixed Overheads</v>
      </c>
      <c r="B12" s="800">
        <f>' Break EvenPoint'!B12</f>
        <v>34.849084469448037</v>
      </c>
      <c r="C12" s="800">
        <f t="shared" ref="C12:D13" si="1">B12</f>
        <v>34.849084469448037</v>
      </c>
      <c r="D12" s="800">
        <f t="shared" si="1"/>
        <v>34.849084469448037</v>
      </c>
      <c r="E12" s="800">
        <f t="shared" ref="E12:F14" si="2">D12</f>
        <v>34.849084469448037</v>
      </c>
      <c r="F12" s="801">
        <f t="shared" si="2"/>
        <v>34.849084469448037</v>
      </c>
      <c r="G12" s="513"/>
    </row>
    <row r="13" spans="1:11" ht="20.100000000000001" customHeight="1">
      <c r="A13" s="806" t="str">
        <f>' Break EvenPoint'!A14</f>
        <v>Depreciation</v>
      </c>
      <c r="B13" s="807">
        <f>' Break EvenPoint'!B14</f>
        <v>176.86750000000001</v>
      </c>
      <c r="C13" s="800">
        <f t="shared" si="1"/>
        <v>176.86750000000001</v>
      </c>
      <c r="D13" s="800">
        <f t="shared" si="1"/>
        <v>176.86750000000001</v>
      </c>
      <c r="E13" s="800">
        <f t="shared" si="2"/>
        <v>176.86750000000001</v>
      </c>
      <c r="F13" s="801">
        <f t="shared" si="2"/>
        <v>176.86750000000001</v>
      </c>
      <c r="G13" s="513"/>
    </row>
    <row r="14" spans="1:11" ht="20.100000000000001" customHeight="1">
      <c r="A14" s="759" t="s">
        <v>536</v>
      </c>
      <c r="B14" s="807">
        <f>'Interest Calculation'!B13</f>
        <v>132.65062499999999</v>
      </c>
      <c r="C14" s="800">
        <f>B14</f>
        <v>132.65062499999999</v>
      </c>
      <c r="D14" s="800">
        <f>C14</f>
        <v>132.65062499999999</v>
      </c>
      <c r="E14" s="800">
        <f t="shared" si="2"/>
        <v>132.65062499999999</v>
      </c>
      <c r="F14" s="801">
        <f t="shared" si="2"/>
        <v>132.65062499999999</v>
      </c>
      <c r="G14" s="513"/>
    </row>
    <row r="15" spans="1:11" ht="20.100000000000001" customHeight="1">
      <c r="A15" s="759" t="s">
        <v>161</v>
      </c>
      <c r="B15" s="797">
        <f>SUM(B12:B14)</f>
        <v>344.36720946944803</v>
      </c>
      <c r="C15" s="797">
        <f>SUM(C12:C14)</f>
        <v>344.36720946944803</v>
      </c>
      <c r="D15" s="797">
        <f t="shared" ref="D15:F15" si="3">SUM(D12:D14)</f>
        <v>344.36720946944803</v>
      </c>
      <c r="E15" s="797">
        <f t="shared" si="3"/>
        <v>344.36720946944803</v>
      </c>
      <c r="F15" s="798">
        <f t="shared" si="3"/>
        <v>344.36720946944803</v>
      </c>
      <c r="G15" s="515"/>
    </row>
    <row r="16" spans="1:11" ht="20.100000000000001" customHeight="1">
      <c r="A16" s="808" t="s">
        <v>284</v>
      </c>
      <c r="B16" s="809">
        <f>B15/B10</f>
        <v>0.465147600293421</v>
      </c>
      <c r="C16" s="809">
        <f>C15/C10</f>
        <v>0.77293929624902713</v>
      </c>
      <c r="D16" s="809">
        <f>D15/D10</f>
        <v>0.72043625969329672</v>
      </c>
      <c r="E16" s="809">
        <f>E15/E10</f>
        <v>0.7433888877249949</v>
      </c>
      <c r="F16" s="810">
        <f>F15/F10</f>
        <v>0.75013207286975281</v>
      </c>
      <c r="G16" s="515"/>
      <c r="H16" s="512"/>
    </row>
    <row r="17" spans="1:7" ht="20.100000000000001" customHeight="1">
      <c r="A17" s="514"/>
      <c r="B17" s="514"/>
      <c r="F17" s="515"/>
      <c r="G17" s="515"/>
    </row>
    <row r="18" spans="1:7" ht="14.25" customHeight="1">
      <c r="A18" s="1491" t="s">
        <v>480</v>
      </c>
      <c r="B18" s="1491"/>
    </row>
    <row r="19" spans="1:7" ht="14.25" customHeight="1">
      <c r="A19" s="516" t="s">
        <v>481</v>
      </c>
      <c r="B19" s="516" t="s">
        <v>482</v>
      </c>
    </row>
    <row r="20" spans="1:7" ht="14.25" customHeight="1">
      <c r="A20" s="517" t="s">
        <v>483</v>
      </c>
      <c r="B20" s="518">
        <f>B16</f>
        <v>0.465147600293421</v>
      </c>
    </row>
    <row r="21" spans="1:7" ht="14.25" customHeight="1">
      <c r="A21" s="517" t="s">
        <v>484</v>
      </c>
      <c r="B21" s="519">
        <f>C16</f>
        <v>0.77293929624902713</v>
      </c>
    </row>
    <row r="22" spans="1:7" ht="14.25" customHeight="1">
      <c r="A22" s="517" t="s">
        <v>485</v>
      </c>
      <c r="B22" s="519">
        <f>D16</f>
        <v>0.72043625969329672</v>
      </c>
    </row>
    <row r="23" spans="1:7" ht="14.25" customHeight="1">
      <c r="A23" s="517" t="s">
        <v>486</v>
      </c>
      <c r="B23" s="519">
        <f>E16</f>
        <v>0.7433888877249949</v>
      </c>
    </row>
    <row r="24" spans="1:7" ht="14.25" customHeight="1">
      <c r="A24" s="517" t="s">
        <v>487</v>
      </c>
      <c r="B24" s="519">
        <f>F16</f>
        <v>0.75013207286975281</v>
      </c>
    </row>
    <row r="27" spans="1:7" ht="51" customHeight="1">
      <c r="A27" s="1492" t="s">
        <v>517</v>
      </c>
      <c r="B27" s="1492"/>
    </row>
  </sheetData>
  <mergeCells count="4">
    <mergeCell ref="A2:B2"/>
    <mergeCell ref="A18:B18"/>
    <mergeCell ref="A27:B27"/>
    <mergeCell ref="A1:F1"/>
  </mergeCells>
  <printOptions horizontalCentered="1" gridLines="1"/>
  <pageMargins left="1"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E00E7-1FBB-449F-850E-3F8053078A3B}">
  <sheetPr codeName="Sheet32"/>
  <dimension ref="A1:AA73"/>
  <sheetViews>
    <sheetView showGridLines="0" zoomScale="93" zoomScaleNormal="93" workbookViewId="0">
      <pane ySplit="10" topLeftCell="A11" activePane="bottomLeft" state="frozen"/>
      <selection activeCell="F23" sqref="F23:I23"/>
      <selection pane="bottomLeft" activeCell="E13" sqref="E13"/>
    </sheetView>
  </sheetViews>
  <sheetFormatPr defaultColWidth="8.7109375" defaultRowHeight="12.75"/>
  <cols>
    <col min="1" max="1" width="8.85546875" style="596" bestFit="1" customWidth="1"/>
    <col min="2" max="2" width="76.5703125" style="25" customWidth="1"/>
    <col min="3" max="3" width="15.140625" style="25" customWidth="1"/>
    <col min="4" max="4" width="10.28515625" style="25" customWidth="1"/>
    <col min="5" max="5" width="8.140625" style="25" customWidth="1"/>
    <col min="6" max="6" width="13.7109375" style="25" customWidth="1"/>
    <col min="7" max="7" width="23.42578125" style="25" customWidth="1"/>
    <col min="8" max="8" width="21.140625" style="133" customWidth="1"/>
    <col min="9" max="10" width="14" style="133" customWidth="1"/>
    <col min="11" max="11" width="16" style="133" customWidth="1"/>
    <col min="12" max="12" width="18.5703125" style="133" customWidth="1"/>
    <col min="13" max="17" width="18.7109375" style="133" customWidth="1"/>
    <col min="18" max="18" width="15" style="133" customWidth="1"/>
    <col min="19" max="19" width="16.28515625" style="133" customWidth="1"/>
    <col min="20" max="20" width="16.42578125" style="133" customWidth="1"/>
    <col min="21" max="21" width="18" style="133" customWidth="1"/>
    <col min="22" max="22" width="18.7109375" style="133" customWidth="1"/>
    <col min="23" max="23" width="19.140625" style="133" customWidth="1"/>
    <col min="24" max="24" width="20.42578125" style="133" customWidth="1"/>
    <col min="25" max="25" width="19" style="133" customWidth="1"/>
    <col min="26" max="27" width="19.28515625" style="133" customWidth="1"/>
    <col min="28" max="28" width="8.7109375" style="25" customWidth="1"/>
    <col min="29" max="16384" width="8.7109375" style="25"/>
  </cols>
  <sheetData>
    <row r="1" spans="1:27" ht="15" customHeight="1">
      <c r="A1" s="1438" t="str">
        <f>Opex!A1</f>
        <v>Option 1 : Capacity of 200 KTPA Phenol and 123 KTPA Acetone capacity (Propane Furnace Additional)</v>
      </c>
      <c r="B1" s="1439"/>
      <c r="C1" s="1439"/>
      <c r="D1" s="1439"/>
      <c r="E1" s="1439"/>
      <c r="F1" s="1439"/>
      <c r="G1" s="1439"/>
      <c r="H1" s="1439"/>
    </row>
    <row r="2" spans="1:27">
      <c r="A2" s="1440" t="s">
        <v>457</v>
      </c>
      <c r="B2" s="1441"/>
      <c r="C2" s="723">
        <v>1</v>
      </c>
      <c r="D2" s="723">
        <v>2</v>
      </c>
      <c r="E2" s="723">
        <v>3</v>
      </c>
      <c r="F2" s="723">
        <v>4</v>
      </c>
      <c r="G2" s="723"/>
      <c r="H2" s="723">
        <v>5</v>
      </c>
      <c r="I2" s="723">
        <v>6</v>
      </c>
      <c r="J2" s="723">
        <v>7</v>
      </c>
      <c r="K2" s="723">
        <v>8</v>
      </c>
      <c r="L2" s="723">
        <v>9</v>
      </c>
      <c r="M2" s="723">
        <v>10</v>
      </c>
      <c r="N2" s="723">
        <v>11</v>
      </c>
      <c r="O2" s="723">
        <v>12</v>
      </c>
      <c r="P2" s="723">
        <v>13</v>
      </c>
      <c r="Q2" s="723">
        <v>14</v>
      </c>
      <c r="R2" s="724">
        <v>15</v>
      </c>
      <c r="S2" s="723">
        <v>16</v>
      </c>
      <c r="T2" s="723">
        <v>17</v>
      </c>
      <c r="U2" s="723">
        <v>18</v>
      </c>
      <c r="V2" s="723">
        <v>19</v>
      </c>
      <c r="W2" s="723">
        <v>20</v>
      </c>
      <c r="X2" s="723">
        <v>21</v>
      </c>
      <c r="Y2" s="723">
        <v>22</v>
      </c>
      <c r="Z2" s="723">
        <v>23</v>
      </c>
      <c r="AA2" s="725">
        <v>24</v>
      </c>
    </row>
    <row r="3" spans="1:27" ht="12" customHeight="1">
      <c r="A3" s="1442" t="s">
        <v>458</v>
      </c>
      <c r="B3" s="1443"/>
      <c r="C3" s="726"/>
      <c r="D3" s="726"/>
      <c r="E3" s="726"/>
      <c r="F3" s="726"/>
      <c r="G3" s="726"/>
      <c r="H3" s="727">
        <v>1</v>
      </c>
      <c r="I3" s="727">
        <v>1</v>
      </c>
      <c r="J3" s="727">
        <v>1</v>
      </c>
      <c r="K3" s="727">
        <v>1</v>
      </c>
      <c r="L3" s="727">
        <v>1</v>
      </c>
      <c r="M3" s="727">
        <v>1</v>
      </c>
      <c r="N3" s="727">
        <v>1</v>
      </c>
      <c r="O3" s="727">
        <v>1</v>
      </c>
      <c r="P3" s="727">
        <v>1</v>
      </c>
      <c r="Q3" s="727">
        <v>1</v>
      </c>
      <c r="R3" s="728">
        <v>1</v>
      </c>
      <c r="S3" s="727">
        <v>1</v>
      </c>
      <c r="T3" s="727">
        <v>1</v>
      </c>
      <c r="U3" s="727">
        <v>1</v>
      </c>
      <c r="V3" s="727">
        <v>1</v>
      </c>
      <c r="W3" s="727">
        <v>1</v>
      </c>
      <c r="X3" s="727">
        <v>1</v>
      </c>
      <c r="Y3" s="727">
        <v>1</v>
      </c>
      <c r="Z3" s="727">
        <v>1</v>
      </c>
      <c r="AA3" s="729">
        <v>1</v>
      </c>
    </row>
    <row r="4" spans="1:27" s="730" customFormat="1" ht="15" customHeight="1">
      <c r="A4" s="1444"/>
      <c r="B4" s="621" t="s">
        <v>27</v>
      </c>
      <c r="C4" s="621"/>
      <c r="D4" s="621"/>
      <c r="E4" s="621"/>
      <c r="F4" s="621"/>
      <c r="G4" s="622"/>
      <c r="H4" s="1431" t="s">
        <v>28</v>
      </c>
      <c r="I4" s="1431"/>
      <c r="J4" s="1431"/>
      <c r="K4" s="1431"/>
      <c r="L4" s="1431"/>
      <c r="M4" s="1431"/>
      <c r="N4" s="1431"/>
      <c r="O4" s="1431"/>
      <c r="P4" s="1431"/>
      <c r="Q4" s="1431"/>
      <c r="R4" s="1430" t="s">
        <v>28</v>
      </c>
      <c r="S4" s="1431"/>
      <c r="T4" s="1431"/>
      <c r="U4" s="1431"/>
      <c r="V4" s="1431"/>
      <c r="W4" s="1431"/>
      <c r="X4" s="1431"/>
      <c r="Y4" s="1431"/>
      <c r="Z4" s="1431"/>
      <c r="AA4" s="1432"/>
    </row>
    <row r="5" spans="1:27" s="730" customFormat="1" ht="15" customHeight="1">
      <c r="A5" s="1445"/>
      <c r="B5" s="1433" t="s">
        <v>29</v>
      </c>
      <c r="C5" s="623">
        <v>2023</v>
      </c>
      <c r="D5" s="623">
        <v>2024</v>
      </c>
      <c r="E5" s="623">
        <v>2025</v>
      </c>
      <c r="F5" s="623">
        <v>2026</v>
      </c>
      <c r="G5" s="623" t="s">
        <v>172</v>
      </c>
      <c r="H5" s="623">
        <v>2027</v>
      </c>
      <c r="I5" s="623">
        <v>2028</v>
      </c>
      <c r="J5" s="623">
        <v>2029</v>
      </c>
      <c r="K5" s="623">
        <v>2030</v>
      </c>
      <c r="L5" s="623">
        <v>2031</v>
      </c>
      <c r="M5" s="623">
        <v>2032</v>
      </c>
      <c r="N5" s="623">
        <v>2033</v>
      </c>
      <c r="O5" s="623">
        <v>2034</v>
      </c>
      <c r="P5" s="623">
        <v>2035</v>
      </c>
      <c r="Q5" s="624">
        <v>2036</v>
      </c>
      <c r="R5" s="623">
        <v>2037</v>
      </c>
      <c r="S5" s="623">
        <v>2038</v>
      </c>
      <c r="T5" s="623">
        <v>2039</v>
      </c>
      <c r="U5" s="623">
        <v>2040</v>
      </c>
      <c r="V5" s="623">
        <v>2041</v>
      </c>
      <c r="W5" s="623">
        <v>2042</v>
      </c>
      <c r="X5" s="623">
        <v>2043</v>
      </c>
      <c r="Y5" s="623">
        <v>2044</v>
      </c>
      <c r="Z5" s="623">
        <v>2045</v>
      </c>
      <c r="AA5" s="623">
        <v>2046</v>
      </c>
    </row>
    <row r="6" spans="1:27">
      <c r="A6" s="1446"/>
      <c r="B6" s="1434"/>
      <c r="C6" s="625">
        <v>0.05</v>
      </c>
      <c r="D6" s="625">
        <v>0.25</v>
      </c>
      <c r="E6" s="625">
        <v>0.35</v>
      </c>
      <c r="F6" s="625">
        <v>0.35</v>
      </c>
      <c r="G6" s="626"/>
      <c r="H6" s="627"/>
      <c r="I6" s="627"/>
      <c r="J6" s="627"/>
      <c r="K6" s="627"/>
      <c r="L6" s="627"/>
      <c r="M6" s="627"/>
      <c r="N6" s="628"/>
      <c r="O6" s="627"/>
      <c r="P6" s="628"/>
      <c r="Q6" s="627"/>
      <c r="R6" s="731"/>
      <c r="S6" s="732"/>
      <c r="T6" s="732"/>
      <c r="U6" s="732"/>
      <c r="V6" s="732"/>
      <c r="W6" s="732"/>
      <c r="X6" s="732"/>
      <c r="Y6" s="732"/>
      <c r="Z6" s="732"/>
      <c r="AA6" s="733"/>
    </row>
    <row r="7" spans="1:27">
      <c r="A7" s="1436" t="s">
        <v>275</v>
      </c>
      <c r="B7" s="1437"/>
      <c r="C7" s="1437"/>
      <c r="D7" s="1437"/>
      <c r="E7" s="1437"/>
      <c r="F7" s="1437"/>
      <c r="G7" s="1437"/>
      <c r="H7" s="635"/>
      <c r="I7" s="635"/>
      <c r="J7" s="635"/>
      <c r="K7" s="635"/>
      <c r="L7" s="629"/>
      <c r="M7" s="629"/>
      <c r="N7" s="630"/>
      <c r="O7" s="629"/>
      <c r="P7" s="630"/>
      <c r="Q7" s="629"/>
      <c r="R7" s="734"/>
      <c r="S7" s="735"/>
      <c r="T7" s="735"/>
      <c r="U7" s="735"/>
      <c r="V7" s="735"/>
      <c r="W7" s="735"/>
      <c r="X7" s="735"/>
      <c r="Y7" s="735"/>
      <c r="Z7" s="735"/>
      <c r="AA7" s="736"/>
    </row>
    <row r="8" spans="1:27">
      <c r="A8" s="631">
        <v>1</v>
      </c>
      <c r="B8" s="632" t="s">
        <v>273</v>
      </c>
      <c r="C8" s="633">
        <f>ROUND($G8*C$6,2)</f>
        <v>-88.43</v>
      </c>
      <c r="D8" s="633">
        <f>ROUND($G8*D$6,2)</f>
        <v>-442.17</v>
      </c>
      <c r="E8" s="633">
        <f>ROUND($G8*E$6,2)</f>
        <v>-619.04</v>
      </c>
      <c r="F8" s="633">
        <f>ROUND($G8*F$6,2)</f>
        <v>-619.04</v>
      </c>
      <c r="G8" s="1001">
        <f>-Capex!D22</f>
        <v>-1768.675</v>
      </c>
      <c r="H8" s="635"/>
      <c r="I8" s="635"/>
      <c r="J8" s="635"/>
      <c r="K8" s="635"/>
      <c r="L8" s="635"/>
      <c r="M8" s="635"/>
      <c r="N8" s="636"/>
      <c r="O8" s="635"/>
      <c r="P8" s="635"/>
      <c r="Q8" s="635"/>
      <c r="R8" s="737"/>
      <c r="S8" s="738"/>
      <c r="T8" s="738"/>
      <c r="U8" s="738"/>
      <c r="V8" s="738"/>
      <c r="W8" s="738"/>
      <c r="X8" s="738"/>
      <c r="Y8" s="738"/>
      <c r="Z8" s="738"/>
      <c r="AA8" s="739"/>
    </row>
    <row r="9" spans="1:27">
      <c r="A9" s="637"/>
      <c r="B9" s="638" t="s">
        <v>274</v>
      </c>
      <c r="C9" s="639">
        <f>SUM(C8:C8)</f>
        <v>-88.43</v>
      </c>
      <c r="D9" s="639">
        <f>SUM(D8:D8)</f>
        <v>-442.17</v>
      </c>
      <c r="E9" s="639">
        <f>SUM(E8:E8)</f>
        <v>-619.04</v>
      </c>
      <c r="F9" s="639">
        <f>SUM(F8:F8)</f>
        <v>-619.04</v>
      </c>
      <c r="G9" s="640">
        <f>G8</f>
        <v>-1768.675</v>
      </c>
      <c r="H9" s="740"/>
      <c r="I9" s="740"/>
      <c r="J9" s="740"/>
      <c r="K9" s="740"/>
      <c r="L9" s="740"/>
      <c r="M9" s="740"/>
      <c r="N9" s="641"/>
      <c r="O9" s="641"/>
      <c r="P9" s="641"/>
      <c r="Q9" s="641"/>
      <c r="R9" s="741"/>
      <c r="S9" s="742"/>
      <c r="T9" s="742"/>
      <c r="U9" s="742"/>
      <c r="V9" s="742"/>
      <c r="W9" s="742"/>
      <c r="X9" s="742"/>
      <c r="Y9" s="742"/>
      <c r="Z9" s="742"/>
      <c r="AA9" s="743"/>
    </row>
    <row r="10" spans="1:27">
      <c r="A10" s="642"/>
      <c r="B10" s="643" t="s">
        <v>253</v>
      </c>
      <c r="C10" s="643"/>
      <c r="D10" s="643"/>
      <c r="E10" s="643"/>
      <c r="F10" s="643"/>
      <c r="G10" s="644"/>
      <c r="H10" s="645">
        <v>1</v>
      </c>
      <c r="I10" s="645">
        <v>0.9</v>
      </c>
      <c r="J10" s="645">
        <v>1</v>
      </c>
      <c r="K10" s="645">
        <v>1</v>
      </c>
      <c r="L10" s="645">
        <v>1</v>
      </c>
      <c r="M10" s="645">
        <v>1</v>
      </c>
      <c r="N10" s="645">
        <v>1</v>
      </c>
      <c r="O10" s="645">
        <v>1</v>
      </c>
      <c r="P10" s="645">
        <v>1</v>
      </c>
      <c r="Q10" s="645">
        <v>1</v>
      </c>
      <c r="R10" s="646">
        <v>1</v>
      </c>
      <c r="S10" s="645">
        <v>1</v>
      </c>
      <c r="T10" s="645">
        <v>1</v>
      </c>
      <c r="U10" s="645">
        <v>1</v>
      </c>
      <c r="V10" s="645">
        <v>1</v>
      </c>
      <c r="W10" s="645">
        <v>1</v>
      </c>
      <c r="X10" s="645">
        <v>1</v>
      </c>
      <c r="Y10" s="645">
        <v>1</v>
      </c>
      <c r="Z10" s="645">
        <v>1</v>
      </c>
      <c r="AA10" s="647">
        <v>1</v>
      </c>
    </row>
    <row r="11" spans="1:27" s="730" customFormat="1">
      <c r="A11" s="648">
        <v>2</v>
      </c>
      <c r="B11" s="649" t="s">
        <v>31</v>
      </c>
      <c r="C11" s="649"/>
      <c r="D11" s="649"/>
      <c r="E11" s="649"/>
      <c r="F11" s="649"/>
      <c r="G11" s="650"/>
      <c r="H11" s="651">
        <f>H12+H13</f>
        <v>3256.79</v>
      </c>
      <c r="I11" s="651">
        <f>I12+I13</f>
        <v>2393.1580027410423</v>
      </c>
      <c r="J11" s="651">
        <f t="shared" ref="J11:AA11" si="0">J12+J13</f>
        <v>2532.5647444396996</v>
      </c>
      <c r="K11" s="651">
        <f t="shared" si="0"/>
        <v>2680.0928041001916</v>
      </c>
      <c r="L11" s="651">
        <f t="shared" si="0"/>
        <v>2836.215332307238</v>
      </c>
      <c r="M11" s="651">
        <f t="shared" si="0"/>
        <v>3001.4330474494791</v>
      </c>
      <c r="N11" s="651">
        <f t="shared" si="0"/>
        <v>3176.2758420491173</v>
      </c>
      <c r="O11" s="651">
        <f t="shared" si="0"/>
        <v>3361.304482696059</v>
      </c>
      <c r="P11" s="651">
        <f t="shared" si="0"/>
        <v>3557.112409041446</v>
      </c>
      <c r="Q11" s="651">
        <f t="shared" si="0"/>
        <v>3764.3276376234389</v>
      </c>
      <c r="R11" s="652">
        <f t="shared" si="0"/>
        <v>3983.6147766344848</v>
      </c>
      <c r="S11" s="651">
        <f t="shared" si="0"/>
        <v>4215.6771580954173</v>
      </c>
      <c r="T11" s="651">
        <f t="shared" si="0"/>
        <v>4461.2590942785073</v>
      </c>
      <c r="U11" s="651">
        <f t="shared" si="0"/>
        <v>4721.1482656203543</v>
      </c>
      <c r="V11" s="651">
        <f t="shared" si="0"/>
        <v>4996.1782477875067</v>
      </c>
      <c r="W11" s="651">
        <f t="shared" si="0"/>
        <v>5287.2311860043483</v>
      </c>
      <c r="X11" s="651">
        <f t="shared" si="0"/>
        <v>5595.2406252253295</v>
      </c>
      <c r="Y11" s="651">
        <f t="shared" si="0"/>
        <v>5921.1945052339461</v>
      </c>
      <c r="Z11" s="651">
        <f t="shared" si="0"/>
        <v>6266.1383302800223</v>
      </c>
      <c r="AA11" s="653">
        <f t="shared" si="0"/>
        <v>6631.1785234272465</v>
      </c>
    </row>
    <row r="12" spans="1:27">
      <c r="A12" s="654"/>
      <c r="B12" s="655" t="s">
        <v>147</v>
      </c>
      <c r="C12" s="655"/>
      <c r="D12" s="655"/>
      <c r="E12" s="655"/>
      <c r="F12" s="655"/>
      <c r="G12" s="656"/>
      <c r="H12" s="657">
        <f>IF(H$2&lt;=$H$57,0,Sales!E9*H$3*(1+$H$56)^(H$2-$H$57-1))</f>
        <v>2429</v>
      </c>
      <c r="I12" s="657">
        <f>IF(I$2&lt;=$H$57,0,Sales!F3*I$3*(1+$H$56)^(I$2-$H$57-1))</f>
        <v>1631.0337042469644</v>
      </c>
      <c r="J12" s="657">
        <f>IF(J$2&lt;=$H$57,0,Sales!G3*J$3*(1+$H$56)^(J$2-$H$57-1))</f>
        <v>1726.5878138102726</v>
      </c>
      <c r="K12" s="657">
        <f>IF(K$2&lt;=$H$57,0,Sales!H3*K$3*(1+$H$56)^(K$2-$H$57-1))</f>
        <v>1827.7399608823475</v>
      </c>
      <c r="L12" s="657">
        <f>IF(L$2&lt;=$H$57,0,Sales!I3*L$3*(1+$H$56)^(L$2-$H$57-1))</f>
        <v>1934.8181064906394</v>
      </c>
      <c r="M12" s="657">
        <f>IF(M$2&lt;=$H$57,0,Sales!J3*M$3*(1+$H$56)^(M$2-$H$57-1))</f>
        <v>2048.1694252593934</v>
      </c>
      <c r="N12" s="657">
        <f>IF(N$2&lt;=$H$57,0,Sales!K3*N$3*(1+$H$56)^(N$2-$H$57-1))</f>
        <v>2168.1614310382142</v>
      </c>
      <c r="O12" s="657">
        <f>IF(O$2&lt;=$H$57,0,Sales!L3*O$3*(1+$H$56)^(O$2-$H$57-1))</f>
        <v>2295.1831684755884</v>
      </c>
      <c r="P12" s="657">
        <f>IF(P$2&lt;=$H$57,0,Sales!M3*P$3*(1+$H$56)^(P$2-$H$57-1))</f>
        <v>2429.6464744007299</v>
      </c>
      <c r="Q12" s="657">
        <f>IF(Q$2&lt;=$H$57,0,Sales!N3*Q$3*(1+$H$56)^(Q$2-$H$57-1))</f>
        <v>2571.9873131034965</v>
      </c>
      <c r="R12" s="657">
        <f>IF(R$2&lt;=$H$57,0,Sales!O3*R$3*(1+$H$56)^(R$2-$H$57-1))</f>
        <v>2722.6671898416648</v>
      </c>
      <c r="S12" s="657">
        <f>IF(S$2&lt;=$H$57,0,Sales!P3*S$3*(1+$H$56)^(S$2-$H$57-1))</f>
        <v>2882.1746471585388</v>
      </c>
      <c r="T12" s="657">
        <f>IF(T$2&lt;=$H$57,0,Sales!Q3*T$3*(1+$H$56)^(T$2-$H$57-1))</f>
        <v>3051.026848862321</v>
      </c>
      <c r="U12" s="657">
        <f>IF(U$2&lt;=$H$57,0,Sales!R3*U$3*(1+$H$56)^(U$2-$H$57-1))</f>
        <v>3229.7712568029201</v>
      </c>
      <c r="V12" s="657">
        <f>IF(V$2&lt;=$H$57,0,Sales!S3*V$3*(1+$H$56)^(V$2-$H$57-1))</f>
        <v>3418.9874058827181</v>
      </c>
      <c r="W12" s="657">
        <f>IF(W$2&lt;=$H$57,0,Sales!T3*W$3*(1+$H$56)^(W$2-$H$57-1))</f>
        <v>3619.2887830563573</v>
      </c>
      <c r="X12" s="657">
        <f>IF(X$2&lt;=$H$57,0,Sales!U3*X$3*(1+$H$56)^(X$2-$H$57-1))</f>
        <v>3831.3248164117126</v>
      </c>
      <c r="Y12" s="657">
        <f>IF(Y$2&lt;=$H$57,0,Sales!V3*Y$3*(1+$H$56)^(Y$2-$H$57-1))</f>
        <v>4055.7829807811931</v>
      </c>
      <c r="Z12" s="657">
        <f>IF(Z$2&lt;=$H$57,0,Sales!W3*Z$3*(1+$H$56)^(Z$2-$H$57-1))</f>
        <v>4293.3910267102583</v>
      </c>
      <c r="AA12" s="657">
        <f>IF(AA$2&lt;=$H$57,0,Sales!X3*AA$3*(1+$H$56)^(AA$2-$H$57-1))</f>
        <v>4544.9193400100785</v>
      </c>
    </row>
    <row r="13" spans="1:27">
      <c r="A13" s="654"/>
      <c r="B13" s="655" t="s">
        <v>11</v>
      </c>
      <c r="C13" s="655"/>
      <c r="D13" s="655"/>
      <c r="E13" s="655"/>
      <c r="F13" s="655"/>
      <c r="G13" s="656"/>
      <c r="H13" s="657">
        <f>IF(H$2&lt;=$H$57,0,Sales!E10*H$3*(1+$H$56)^(H$2-$H$57-1))</f>
        <v>827.79</v>
      </c>
      <c r="I13" s="657">
        <f>IF(I$2&lt;=$H$57,0,Sales!F4*I$3*(1+$H$56)^(I$2-$H$57-1))</f>
        <v>762.12429849407783</v>
      </c>
      <c r="J13" s="657">
        <f>IF(J$2&lt;=$H$57,0,Sales!G4*J$3*(1+$H$56)^(J$2-$H$57-1))</f>
        <v>805.97693062942699</v>
      </c>
      <c r="K13" s="657">
        <f>IF(K$2&lt;=$H$57,0,Sales!H4*K$3*(1+$H$56)^(K$2-$H$57-1))</f>
        <v>852.35284321784422</v>
      </c>
      <c r="L13" s="657">
        <f>IF(L$2&lt;=$H$57,0,Sales!I4*L$3*(1+$H$56)^(L$2-$H$57-1))</f>
        <v>901.39722581659873</v>
      </c>
      <c r="M13" s="657">
        <f>IF(M$2&lt;=$H$57,0,Sales!J4*M$3*(1+$H$56)^(M$2-$H$57-1))</f>
        <v>953.26362219008581</v>
      </c>
      <c r="N13" s="657">
        <f>IF(N$2&lt;=$H$57,0,Sales!K4*N$3*(1+$H$56)^(N$2-$H$57-1))</f>
        <v>1008.1144110109032</v>
      </c>
      <c r="O13" s="657">
        <f>IF(O$2&lt;=$H$57,0,Sales!L4*O$3*(1+$H$56)^(O$2-$H$57-1))</f>
        <v>1066.1213142204706</v>
      </c>
      <c r="P13" s="657">
        <f>IF(P$2&lt;=$H$57,0,Sales!M4*P$3*(1+$H$56)^(P$2-$H$57-1))</f>
        <v>1127.4659346407161</v>
      </c>
      <c r="Q13" s="657">
        <f>IF(Q$2&lt;=$H$57,0,Sales!N4*Q$3*(1+$H$56)^(Q$2-$H$57-1))</f>
        <v>1192.3403245199427</v>
      </c>
      <c r="R13" s="657">
        <f>IF(R$2&lt;=$H$57,0,Sales!O4*R$3*(1+$H$56)^(R$2-$H$57-1))</f>
        <v>1260.9475867928199</v>
      </c>
      <c r="S13" s="657">
        <f>IF(S$2&lt;=$H$57,0,Sales!P4*S$3*(1+$H$56)^(S$2-$H$57-1))</f>
        <v>1333.5025109368789</v>
      </c>
      <c r="T13" s="657">
        <f>IF(T$2&lt;=$H$57,0,Sales!Q4*T$3*(1+$H$56)^(T$2-$H$57-1))</f>
        <v>1410.2322454161865</v>
      </c>
      <c r="U13" s="657">
        <f>IF(U$2&lt;=$H$57,0,Sales!R4*U$3*(1+$H$56)^(U$2-$H$57-1))</f>
        <v>1491.3770088174342</v>
      </c>
      <c r="V13" s="657">
        <f>IF(V$2&lt;=$H$57,0,Sales!S4*V$3*(1+$H$56)^(V$2-$H$57-1))</f>
        <v>1577.1908419047888</v>
      </c>
      <c r="W13" s="657">
        <f>IF(W$2&lt;=$H$57,0,Sales!T4*W$3*(1+$H$56)^(W$2-$H$57-1))</f>
        <v>1667.9424029479906</v>
      </c>
      <c r="X13" s="657">
        <f>IF(X$2&lt;=$H$57,0,Sales!U4*X$3*(1+$H$56)^(X$2-$H$57-1))</f>
        <v>1763.9158088136171</v>
      </c>
      <c r="Y13" s="657">
        <f>IF(Y$2&lt;=$H$57,0,Sales!V4*Y$3*(1+$H$56)^(Y$2-$H$57-1))</f>
        <v>1865.4115244527527</v>
      </c>
      <c r="Z13" s="657">
        <f>IF(Z$2&lt;=$H$57,0,Sales!W4*Z$3*(1+$H$56)^(Z$2-$H$57-1))</f>
        <v>1972.7473035697635</v>
      </c>
      <c r="AA13" s="657">
        <f>IF(AA$2&lt;=$H$57,0,Sales!X4*AA$3*(1+$H$56)^(AA$2-$H$57-1))</f>
        <v>2086.2591834171676</v>
      </c>
    </row>
    <row r="14" spans="1:27">
      <c r="A14" s="648">
        <v>5</v>
      </c>
      <c r="B14" s="649" t="s">
        <v>113</v>
      </c>
      <c r="C14" s="649"/>
      <c r="D14" s="649"/>
      <c r="E14" s="649"/>
      <c r="F14" s="649"/>
      <c r="G14" s="658"/>
      <c r="H14" s="635"/>
      <c r="I14" s="635"/>
      <c r="J14" s="635"/>
      <c r="K14" s="635"/>
      <c r="L14" s="635"/>
      <c r="M14" s="635"/>
      <c r="N14" s="635"/>
      <c r="O14" s="635"/>
      <c r="P14" s="635"/>
      <c r="Q14" s="635"/>
      <c r="R14" s="737"/>
      <c r="S14" s="738"/>
      <c r="T14" s="738"/>
      <c r="U14" s="738"/>
      <c r="V14" s="738"/>
      <c r="W14" s="738"/>
      <c r="X14" s="738"/>
      <c r="Y14" s="738"/>
      <c r="Z14" s="738"/>
      <c r="AA14" s="739"/>
    </row>
    <row r="15" spans="1:27">
      <c r="A15" s="654"/>
      <c r="B15" s="659" t="s">
        <v>524</v>
      </c>
      <c r="C15" s="659"/>
      <c r="D15" s="659"/>
      <c r="E15" s="659"/>
      <c r="F15" s="659"/>
      <c r="G15" s="660">
        <f>J15/$J$20</f>
        <v>0.80332146321619136</v>
      </c>
      <c r="H15" s="657">
        <f>IF(H$2&lt;=$H$57,0,Opex!D63*H$3*(1+$H$56)^(H$2-$H$57-1))</f>
        <v>2419.6827929999999</v>
      </c>
      <c r="I15" s="657">
        <f>IF(I$2&lt;=$H$57,0,Opex!E4*I$3*(1+$H$56)^(I$2-$H$57-1))</f>
        <v>1421.6392860254332</v>
      </c>
      <c r="J15" s="657">
        <f>IF(J$2&lt;=$H$57,0,Opex!F4*J$3*(1+$H$56)^(J$2-$H$57-1))</f>
        <v>1503.4404105433366</v>
      </c>
      <c r="K15" s="657">
        <f>IF(K$2&lt;=$H$57,0,Opex!G4*K$3*(1+$H$56)^(K$2-$H$57-1))</f>
        <v>1589.9483717660003</v>
      </c>
      <c r="L15" s="657">
        <f>IF(L$2&lt;=$H$57,0,Opex!H4*L$3*(1+$H$56)^(L$2-$H$57-1))</f>
        <v>1681.4340010774154</v>
      </c>
      <c r="M15" s="657">
        <f>IF(M$2&lt;=$H$57,0,Opex!I4*M$3*(1+$H$56)^(M$2-$H$57-1))</f>
        <v>1778.18371349941</v>
      </c>
      <c r="N15" s="657">
        <f>IF(N$2&lt;=$H$57,0,Opex!J4*N$3*(1+$H$56)^(N$2-$H$57-1))</f>
        <v>1880.5004043741656</v>
      </c>
      <c r="O15" s="657">
        <f>IF(O$2&lt;=$H$57,0,Opex!K4*O$3*(1+$H$56)^(O$2-$H$57-1))</f>
        <v>1988.7043976418554</v>
      </c>
      <c r="P15" s="657">
        <f>IF(P$2&lt;=$H$57,0,Opex!L4*P$3*(1+$H$56)^(P$2-$H$57-1))</f>
        <v>2103.1344486821672</v>
      </c>
      <c r="Q15" s="657">
        <f>IF(Q$2&lt;=$H$57,0,Opex!M4*Q$3*(1+$H$56)^(Q$2-$H$57-1))</f>
        <v>2224.1488048593387</v>
      </c>
      <c r="R15" s="657">
        <f>IF(R$2&lt;=$H$57,0,Opex!N4*R$3*(1+$H$56)^(R$2-$H$57-1))</f>
        <v>2352.1263270909449</v>
      </c>
      <c r="S15" s="657">
        <f>IF(S$2&lt;=$H$57,0,Opex!O4*S$3*(1+$H$56)^(S$2-$H$57-1))</f>
        <v>2487.4676759517574</v>
      </c>
      <c r="T15" s="657">
        <f>IF(T$2&lt;=$H$57,0,Opex!P4*T$3*(1+$H$56)^(T$2-$H$57-1))</f>
        <v>2630.5965660260213</v>
      </c>
      <c r="U15" s="657">
        <f>IF(U$2&lt;=$H$57,0,Opex!Q4*U$3*(1+$H$56)^(U$2-$H$57-1))</f>
        <v>2781.9610924351587</v>
      </c>
      <c r="V15" s="657">
        <f>IF(V$2&lt;=$H$57,0,Opex!R4*V$3*(1+$H$56)^(V$2-$H$57-1))</f>
        <v>2942.035133693877</v>
      </c>
      <c r="W15" s="657">
        <f>IF(W$2&lt;=$H$57,0,Opex!S4*W$3*(1+$H$56)^(W$2-$H$57-1))</f>
        <v>3111.3198352866229</v>
      </c>
      <c r="X15" s="657">
        <f>IF(X$2&lt;=$H$57,0,Opex!T4*X$3*(1+$H$56)^(X$2-$H$57-1))</f>
        <v>3290.3451786090136</v>
      </c>
      <c r="Y15" s="657">
        <f>IF(Y$2&lt;=$H$57,0,Opex!U4*Y$3*(1+$H$56)^(Y$2-$H$57-1))</f>
        <v>3479.6716401861768</v>
      </c>
      <c r="Z15" s="657">
        <f>IF(Z$2&lt;=$H$57,0,Opex!V4*Z$3*(1+$H$56)^(Z$2-$H$57-1))</f>
        <v>3679.8919463624884</v>
      </c>
      <c r="AA15" s="657">
        <f>IF(AA$2&lt;=$H$57,0,Opex!W4*AA$3*(1+$H$56)^(AA$2-$H$57-1))</f>
        <v>3891.6329289561859</v>
      </c>
    </row>
    <row r="16" spans="1:27">
      <c r="A16" s="654"/>
      <c r="B16" s="659" t="s">
        <v>33</v>
      </c>
      <c r="C16" s="659"/>
      <c r="D16" s="659"/>
      <c r="E16" s="659"/>
      <c r="F16" s="659"/>
      <c r="G16" s="660">
        <f>J16/$J$20</f>
        <v>1.5701799590476826E-2</v>
      </c>
      <c r="H16" s="657">
        <f>IF(H$2&lt;=$H$57,0,Opex!$D$7*(1+$H$56)^(H$2-$H$57-1))</f>
        <v>26.91</v>
      </c>
      <c r="I16" s="657">
        <f>IF(I$2&lt;=$H$57,0,Opex!$D$7*(1+$H$56)^(I$2-$H$57-1))</f>
        <v>28.120949999999997</v>
      </c>
      <c r="J16" s="657">
        <f>IF(J$2&lt;=$H$57,0,Opex!$D$7*(1+$H$56)^(J$2-$H$57-1))</f>
        <v>29.386392749999995</v>
      </c>
      <c r="K16" s="657">
        <f>IF(K$2&lt;=$H$57,0,Opex!$D$7*(1+$H$56)^(K$2-$H$57-1))</f>
        <v>30.708780423749996</v>
      </c>
      <c r="L16" s="657">
        <f>IF(L$2&lt;=$H$57,0,Opex!$D$7*(1+$H$56)^(L$2-$H$57-1))</f>
        <v>32.090675542818737</v>
      </c>
      <c r="M16" s="657">
        <f>IF(M$2&lt;=$H$57,0,Opex!$D$7*(1+$H$56)^(M$2-$H$57-1))</f>
        <v>33.534755942245582</v>
      </c>
      <c r="N16" s="657">
        <f>IF(N$2&lt;=$H$57,0,Opex!$D$7*(1+$H$56)^(N$2-$H$57-1))</f>
        <v>35.043819959646619</v>
      </c>
      <c r="O16" s="657">
        <f>IF(O$2&lt;=$H$57,0,Opex!$D$7*(1+$H$56)^(O$2-$H$57-1))</f>
        <v>36.620791857830724</v>
      </c>
      <c r="P16" s="657">
        <f>IF(P$2&lt;=$H$57,0,Opex!$D$7*(1+$H$56)^(P$2-$H$57-1))</f>
        <v>38.26872749143309</v>
      </c>
      <c r="Q16" s="657">
        <f>IF(Q$2&lt;=$H$57,0,Opex!$D$7*(1+$H$56)^(Q$2-$H$57-1))</f>
        <v>39.990820228547577</v>
      </c>
      <c r="R16" s="657">
        <f>IF(R$2&lt;=$H$57,0,Opex!$D$7*(1+$H$56)^(R$2-$H$57-1))</f>
        <v>41.790407138832215</v>
      </c>
      <c r="S16" s="657">
        <f>IF(S$2&lt;=$H$57,0,Opex!$D$7*(1+$H$56)^(S$2-$H$57-1))</f>
        <v>43.67097546007966</v>
      </c>
      <c r="T16" s="657">
        <f>IF(T$2&lt;=$H$57,0,Opex!$D$7*(1+$H$56)^(T$2-$H$57-1))</f>
        <v>45.636169355783238</v>
      </c>
      <c r="U16" s="657">
        <f>IF(U$2&lt;=$H$57,0,Opex!$D$7*(1+$H$56)^(U$2-$H$57-1))</f>
        <v>47.689796976793488</v>
      </c>
      <c r="V16" s="657">
        <f>IF(V$2&lt;=$H$57,0,Opex!$D$7*(1+$H$56)^(V$2-$H$57-1))</f>
        <v>49.835837840749178</v>
      </c>
      <c r="W16" s="657">
        <f>IF(W$2&lt;=$H$57,0,Opex!$D$7*(1+$H$56)^(W$2-$H$57-1))</f>
        <v>52.078450543582896</v>
      </c>
      <c r="X16" s="657">
        <f>IF(X$2&lt;=$H$57,0,Opex!$D$7*(1+$H$56)^(X$2-$H$57-1))</f>
        <v>54.421980818044105</v>
      </c>
      <c r="Y16" s="657">
        <f>IF(Y$2&lt;=$H$57,0,Opex!$D$7*(1+$H$56)^(Y$2-$H$57-1))</f>
        <v>56.870969954856093</v>
      </c>
      <c r="Z16" s="657">
        <f>IF(Z$2&lt;=$H$57,0,Opex!$D$7*(1+$H$56)^(Z$2-$H$57-1))</f>
        <v>59.430163602824607</v>
      </c>
      <c r="AA16" s="657">
        <f>IF(AA$2&lt;=$H$57,0,Opex!$D$7*(1+$H$56)^(AA$2-$H$57-1))</f>
        <v>62.10452096495171</v>
      </c>
    </row>
    <row r="17" spans="1:27">
      <c r="A17" s="654"/>
      <c r="B17" s="659" t="s">
        <v>20</v>
      </c>
      <c r="C17" s="659"/>
      <c r="D17" s="659"/>
      <c r="E17" s="659"/>
      <c r="F17" s="659"/>
      <c r="G17" s="660">
        <f>J17/$J$20</f>
        <v>0.11615885025674834</v>
      </c>
      <c r="H17" s="657">
        <f>IF(H$2&lt;=$H$57,0,Opex!$D$68*H$3*(1+$H$56)^(H$2-$H$57-1))</f>
        <v>232.72729202000002</v>
      </c>
      <c r="I17" s="657">
        <f>IF(I$2&lt;=$H$57,0,Opex!$D$9*I$3*(1+$H$56)^(I$2-$H$57-1))</f>
        <v>208.03330225337001</v>
      </c>
      <c r="J17" s="657">
        <f>IF(J$2&lt;=$H$57,0,Opex!$D$9*J$3*(1+$H$56)^(J$2-$H$57-1))</f>
        <v>217.39480085477166</v>
      </c>
      <c r="K17" s="657">
        <f>IF(K$2&lt;=$H$57,0,Opex!$D$9*K$3*(1+$H$56)^(K$2-$H$57-1))</f>
        <v>227.17756689323639</v>
      </c>
      <c r="L17" s="657">
        <f>IF(L$2&lt;=$H$57,0,Opex!$D$9*L$3*(1+$H$56)^(L$2-$H$57-1))</f>
        <v>237.40055740343195</v>
      </c>
      <c r="M17" s="657">
        <f>IF(M$2&lt;=$H$57,0,Opex!$D$9*M$3*(1+$H$56)^(M$2-$H$57-1))</f>
        <v>248.08358248658638</v>
      </c>
      <c r="N17" s="657">
        <f>IF(N$2&lt;=$H$57,0,Opex!$D$9*N$3*(1+$H$56)^(N$2-$H$57-1))</f>
        <v>259.24734369848272</v>
      </c>
      <c r="O17" s="657">
        <f>IF(O$2&lt;=$H$57,0,Opex!$D$9*O$3*(1+$H$56)^(O$2-$H$57-1))</f>
        <v>270.91347416491448</v>
      </c>
      <c r="P17" s="657">
        <f>IF(P$2&lt;=$H$57,0,Opex!$D$9*P$3*(1+$H$56)^(P$2-$H$57-1))</f>
        <v>283.10458050233552</v>
      </c>
      <c r="Q17" s="657">
        <f>IF(Q$2&lt;=$H$57,0,Opex!$D$9*Q$3*(1+$H$56)^(Q$2-$H$57-1))</f>
        <v>295.84428662494059</v>
      </c>
      <c r="R17" s="657">
        <f>IF(R$2&lt;=$H$57,0,Opex!$D$9*R$3*(1+$H$56)^(R$2-$H$57-1))</f>
        <v>309.15727952306287</v>
      </c>
      <c r="S17" s="657">
        <f>IF(S$2&lt;=$H$57,0,Opex!$D$9*S$3*(1+$H$56)^(S$2-$H$57-1))</f>
        <v>323.0693571016007</v>
      </c>
      <c r="T17" s="657">
        <f>IF(T$2&lt;=$H$57,0,Opex!$D$9*T$3*(1+$H$56)^(T$2-$H$57-1))</f>
        <v>337.60747817117266</v>
      </c>
      <c r="U17" s="657">
        <f>IF(U$2&lt;=$H$57,0,Opex!$D$9*U$3*(1+$H$56)^(U$2-$H$57-1))</f>
        <v>352.79981468887541</v>
      </c>
      <c r="V17" s="657">
        <f>IF(V$2&lt;=$H$57,0,Opex!$D$9*V$3*(1+$H$56)^(V$2-$H$57-1))</f>
        <v>368.67580634987473</v>
      </c>
      <c r="W17" s="657">
        <f>IF(W$2&lt;=$H$57,0,Opex!$D$9*W$3*(1+$H$56)^(W$2-$H$57-1))</f>
        <v>385.26621763561917</v>
      </c>
      <c r="X17" s="657">
        <f>IF(X$2&lt;=$H$57,0,Opex!$D$9*X$3*(1+$H$56)^(X$2-$H$57-1))</f>
        <v>402.60319742922184</v>
      </c>
      <c r="Y17" s="657">
        <f>IF(Y$2&lt;=$H$57,0,Opex!$D$9*Y$3*(1+$H$56)^(Y$2-$H$57-1))</f>
        <v>420.72034131353684</v>
      </c>
      <c r="Z17" s="657">
        <f>IF(Z$2&lt;=$H$57,0,Opex!$D$9*Z$3*(1+$H$56)^(Z$2-$H$57-1))</f>
        <v>439.65275667264592</v>
      </c>
      <c r="AA17" s="657">
        <f>IF(AA$2&lt;=$H$57,0,Opex!$D$9*AA$3*(1+$H$56)^(AA$2-$H$57-1))</f>
        <v>459.43713072291496</v>
      </c>
    </row>
    <row r="18" spans="1:27">
      <c r="A18" s="654"/>
      <c r="B18" s="659" t="s">
        <v>23</v>
      </c>
      <c r="C18" s="659"/>
      <c r="D18" s="659"/>
      <c r="E18" s="659"/>
      <c r="F18" s="659"/>
      <c r="G18" s="660">
        <f>J18/$J$20</f>
        <v>1.7818791000494282E-2</v>
      </c>
      <c r="H18" s="657">
        <f>IF(H$2&lt;=$H$57,0,Opex!$D$71*H$3*(1+$H$56)^(H$2-$H$57-1))</f>
        <v>30.538134374999998</v>
      </c>
      <c r="I18" s="657">
        <f>IF(I$2&lt;=$H$57,0,Opex!$D$12*I$3*(1+$H$56)^(I$2-$H$57-1))</f>
        <v>31.912350421874997</v>
      </c>
      <c r="J18" s="657">
        <f>IF(J$2&lt;=$H$57,0,Opex!$D$12*J$3*(1+$H$56)^(J$2-$H$57-1))</f>
        <v>33.348406190859365</v>
      </c>
      <c r="K18" s="657">
        <f>IF(K$2&lt;=$H$57,0,Opex!$D$12*K$3*(1+$H$56)^(K$2-$H$57-1))</f>
        <v>34.849084469448037</v>
      </c>
      <c r="L18" s="657">
        <f>IF(L$2&lt;=$H$57,0,Opex!$D$12*L$3*(1+$H$56)^(L$2-$H$57-1))</f>
        <v>36.41729327057319</v>
      </c>
      <c r="M18" s="657">
        <f>IF(M$2&lt;=$H$57,0,Opex!$D$12*M$3*(1+$H$56)^(M$2-$H$57-1))</f>
        <v>38.056071467748986</v>
      </c>
      <c r="N18" s="657">
        <f>IF(N$2&lt;=$H$57,0,Opex!$D$12*N$3*(1+$H$56)^(N$2-$H$57-1))</f>
        <v>39.76859468379768</v>
      </c>
      <c r="O18" s="657">
        <f>IF(O$2&lt;=$H$57,0,Opex!$D$12*O$3*(1+$H$56)^(O$2-$H$57-1))</f>
        <v>41.558181444568575</v>
      </c>
      <c r="P18" s="657">
        <f>IF(P$2&lt;=$H$57,0,Opex!$D$12*P$3*(1+$H$56)^(P$2-$H$57-1))</f>
        <v>43.428299609574154</v>
      </c>
      <c r="Q18" s="657">
        <f>IF(Q$2&lt;=$H$57,0,Opex!$D$12*Q$3*(1+$H$56)^(Q$2-$H$57-1))</f>
        <v>45.382573092004982</v>
      </c>
      <c r="R18" s="657">
        <f>IF(R$2&lt;=$H$57,0,Opex!$D$12*R$3*(1+$H$56)^(R$2-$H$57-1))</f>
        <v>47.424788881145197</v>
      </c>
      <c r="S18" s="657">
        <f>IF(S$2&lt;=$H$57,0,Opex!$D$12*S$3*(1+$H$56)^(S$2-$H$57-1))</f>
        <v>49.558904380796733</v>
      </c>
      <c r="T18" s="657">
        <f>IF(T$2&lt;=$H$57,0,Opex!$D$12*T$3*(1+$H$56)^(T$2-$H$57-1))</f>
        <v>51.789055077932574</v>
      </c>
      <c r="U18" s="657">
        <f>IF(U$2&lt;=$H$57,0,Opex!$D$12*U$3*(1+$H$56)^(U$2-$H$57-1))</f>
        <v>54.119562556439547</v>
      </c>
      <c r="V18" s="657">
        <f>IF(V$2&lt;=$H$57,0,Opex!$D$12*V$3*(1+$H$56)^(V$2-$H$57-1))</f>
        <v>56.554942871479312</v>
      </c>
      <c r="W18" s="657">
        <f>IF(W$2&lt;=$H$57,0,Opex!$D$12*W$3*(1+$H$56)^(W$2-$H$57-1))</f>
        <v>59.099915300695884</v>
      </c>
      <c r="X18" s="657">
        <f>IF(X$2&lt;=$H$57,0,Opex!$D$12*X$3*(1+$H$56)^(X$2-$H$57-1))</f>
        <v>61.759411489227176</v>
      </c>
      <c r="Y18" s="657">
        <f>IF(Y$2&lt;=$H$57,0,Opex!$D$12*Y$3*(1+$H$56)^(Y$2-$H$57-1))</f>
        <v>64.5385850062424</v>
      </c>
      <c r="Z18" s="657">
        <f>IF(Z$2&lt;=$H$57,0,Opex!$D$12*Z$3*(1+$H$56)^(Z$2-$H$57-1))</f>
        <v>67.442821331523291</v>
      </c>
      <c r="AA18" s="657">
        <f>IF(AA$2&lt;=$H$57,0,Opex!$D$12*AA$3*(1+$H$56)^(AA$2-$H$57-1))</f>
        <v>70.477748291441841</v>
      </c>
    </row>
    <row r="19" spans="1:27">
      <c r="A19" s="654"/>
      <c r="B19" s="659" t="s">
        <v>25</v>
      </c>
      <c r="C19" s="659"/>
      <c r="D19" s="659"/>
      <c r="E19" s="659"/>
      <c r="F19" s="659"/>
      <c r="G19" s="660">
        <f>J19/$J$20</f>
        <v>4.6999095936089363E-2</v>
      </c>
      <c r="H19" s="657">
        <f>IF(H$2&lt;=$H$57,0,Opex!$D$75*H$3*(1+$H$56)^(H$2-$H$57-1))</f>
        <v>113.07127391718751</v>
      </c>
      <c r="I19" s="657">
        <f>IF(I$2&lt;=$H$57,0,Opex!$D$15*I$3*(1+$H$56)^(I$2-$H$57-1))</f>
        <v>84.172468209666945</v>
      </c>
      <c r="J19" s="657">
        <f>IF(J$2&lt;=$H$57,0,Opex!$D$15*J$3*(1+$H$56)^(J$2-$H$57-1))</f>
        <v>87.960229279101952</v>
      </c>
      <c r="K19" s="657">
        <f>IF(K$2&lt;=$H$57,0,Opex!$D$15*K$3*(1+$H$56)^(K$2-$H$57-1))</f>
        <v>91.918439596661543</v>
      </c>
      <c r="L19" s="657">
        <f>IF(L$2&lt;=$H$57,0,Opex!$D$15*L$3*(1+$H$56)^(L$2-$H$57-1))</f>
        <v>96.054769378511281</v>
      </c>
      <c r="M19" s="657">
        <f>IF(M$2&lt;=$H$57,0,Opex!$D$15*M$3*(1+$H$56)^(M$2-$H$57-1))</f>
        <v>100.37723400054429</v>
      </c>
      <c r="N19" s="657">
        <f>IF(N$2&lt;=$H$57,0,Opex!$D$15*N$3*(1+$H$56)^(N$2-$H$57-1))</f>
        <v>104.89420953056876</v>
      </c>
      <c r="O19" s="657">
        <f>IF(O$2&lt;=$H$57,0,Opex!$D$15*O$3*(1+$H$56)^(O$2-$H$57-1))</f>
        <v>109.61444895944436</v>
      </c>
      <c r="P19" s="657">
        <f>IF(P$2&lt;=$H$57,0,Opex!$D$15*P$3*(1+$H$56)^(P$2-$H$57-1))</f>
        <v>114.54709916261932</v>
      </c>
      <c r="Q19" s="657">
        <f>IF(Q$2&lt;=$H$57,0,Opex!$D$15*Q$3*(1+$H$56)^(Q$2-$H$57-1))</f>
        <v>119.70171862493719</v>
      </c>
      <c r="R19" s="657">
        <f>IF(R$2&lt;=$H$57,0,Opex!$D$15*R$3*(1+$H$56)^(R$2-$H$57-1))</f>
        <v>125.08829596305934</v>
      </c>
      <c r="S19" s="657">
        <f>IF(S$2&lt;=$H$57,0,Opex!$D$15*S$3*(1+$H$56)^(S$2-$H$57-1))</f>
        <v>130.71726928139702</v>
      </c>
      <c r="T19" s="657">
        <f>IF(T$2&lt;=$H$57,0,Opex!$D$15*T$3*(1+$H$56)^(T$2-$H$57-1))</f>
        <v>136.59954639905985</v>
      </c>
      <c r="U19" s="657">
        <f>IF(U$2&lt;=$H$57,0,Opex!$D$15*U$3*(1+$H$56)^(U$2-$H$57-1))</f>
        <v>142.74652598701755</v>
      </c>
      <c r="V19" s="657">
        <f>IF(V$2&lt;=$H$57,0,Opex!$D$15*V$3*(1+$H$56)^(V$2-$H$57-1))</f>
        <v>149.17011965643329</v>
      </c>
      <c r="W19" s="657">
        <f>IF(W$2&lt;=$H$57,0,Opex!$D$15*W$3*(1+$H$56)^(W$2-$H$57-1))</f>
        <v>155.8827750409728</v>
      </c>
      <c r="X19" s="657">
        <f>IF(X$2&lt;=$H$57,0,Opex!$D$15*X$3*(1+$H$56)^(X$2-$H$57-1))</f>
        <v>162.89749991781653</v>
      </c>
      <c r="Y19" s="657">
        <f>IF(Y$2&lt;=$H$57,0,Opex!$D$15*Y$3*(1+$H$56)^(Y$2-$H$57-1))</f>
        <v>170.22788741411827</v>
      </c>
      <c r="Z19" s="657">
        <f>IF(Z$2&lt;=$H$57,0,Opex!$D$15*Z$3*(1+$H$56)^(Z$2-$H$57-1))</f>
        <v>177.88814234775356</v>
      </c>
      <c r="AA19" s="657">
        <f>IF(AA$2&lt;=$H$57,0,Opex!$D$15*AA$3*(1+$H$56)^(AA$2-$H$57-1))</f>
        <v>185.89310875340246</v>
      </c>
    </row>
    <row r="20" spans="1:27" s="730" customFormat="1">
      <c r="A20" s="637"/>
      <c r="B20" s="661" t="s">
        <v>34</v>
      </c>
      <c r="C20" s="661"/>
      <c r="D20" s="661"/>
      <c r="E20" s="661"/>
      <c r="F20" s="661"/>
      <c r="G20" s="662"/>
      <c r="H20" s="641">
        <f t="shared" ref="H20:Q20" si="1">SUM(H15:H19)</f>
        <v>2822.9294933121873</v>
      </c>
      <c r="I20" s="641">
        <f t="shared" si="1"/>
        <v>1773.8783569103452</v>
      </c>
      <c r="J20" s="641">
        <f t="shared" si="1"/>
        <v>1871.5302396180693</v>
      </c>
      <c r="K20" s="641">
        <f t="shared" si="1"/>
        <v>1974.6022431490962</v>
      </c>
      <c r="L20" s="641">
        <f t="shared" si="1"/>
        <v>2083.3972966727506</v>
      </c>
      <c r="M20" s="641">
        <f t="shared" si="1"/>
        <v>2198.2353573965352</v>
      </c>
      <c r="N20" s="641">
        <f t="shared" si="1"/>
        <v>2319.4543722466615</v>
      </c>
      <c r="O20" s="641">
        <f t="shared" si="1"/>
        <v>2447.4112940686136</v>
      </c>
      <c r="P20" s="641">
        <f t="shared" si="1"/>
        <v>2582.4831554481293</v>
      </c>
      <c r="Q20" s="641">
        <f t="shared" si="1"/>
        <v>2725.0682034297688</v>
      </c>
      <c r="R20" s="663">
        <f t="shared" ref="R20:AA20" si="2">SUM(R15:R19)</f>
        <v>2875.5870985970441</v>
      </c>
      <c r="S20" s="641">
        <f t="shared" si="2"/>
        <v>3034.4841821756318</v>
      </c>
      <c r="T20" s="641">
        <f t="shared" si="2"/>
        <v>3202.2288150299696</v>
      </c>
      <c r="U20" s="641">
        <f t="shared" si="2"/>
        <v>3379.3167926442848</v>
      </c>
      <c r="V20" s="641">
        <f t="shared" si="2"/>
        <v>3566.2718404124134</v>
      </c>
      <c r="W20" s="641">
        <f t="shared" si="2"/>
        <v>3763.6471938074937</v>
      </c>
      <c r="X20" s="641">
        <f t="shared" si="2"/>
        <v>3972.0272682633235</v>
      </c>
      <c r="Y20" s="641">
        <f t="shared" si="2"/>
        <v>4192.0294238749302</v>
      </c>
      <c r="Z20" s="641">
        <f t="shared" si="2"/>
        <v>4424.3058303172356</v>
      </c>
      <c r="AA20" s="322">
        <f t="shared" si="2"/>
        <v>4669.5454376888974</v>
      </c>
    </row>
    <row r="21" spans="1:27">
      <c r="A21" s="654"/>
      <c r="B21" s="659"/>
      <c r="C21" s="659"/>
      <c r="D21" s="659"/>
      <c r="E21" s="659"/>
      <c r="F21" s="659"/>
      <c r="G21" s="656"/>
      <c r="H21" s="321"/>
      <c r="I21" s="321"/>
      <c r="J21" s="321"/>
      <c r="K21" s="321"/>
      <c r="L21" s="321"/>
      <c r="M21" s="321"/>
      <c r="N21" s="321"/>
      <c r="O21" s="321"/>
      <c r="P21" s="321"/>
      <c r="Q21" s="321"/>
      <c r="R21" s="744"/>
      <c r="AA21" s="745"/>
    </row>
    <row r="22" spans="1:27" s="730" customFormat="1">
      <c r="A22" s="1004">
        <v>6</v>
      </c>
      <c r="B22" s="619" t="s">
        <v>520</v>
      </c>
      <c r="C22" s="1005"/>
      <c r="D22" s="1005"/>
      <c r="E22" s="1005"/>
      <c r="F22" s="1005"/>
      <c r="G22" s="666"/>
      <c r="H22" s="667">
        <f t="shared" ref="H22:AA22" si="3">H11-H20</f>
        <v>433.86050668781263</v>
      </c>
      <c r="I22" s="667">
        <f t="shared" si="3"/>
        <v>619.27964583069706</v>
      </c>
      <c r="J22" s="667">
        <f t="shared" si="3"/>
        <v>661.03450482163021</v>
      </c>
      <c r="K22" s="667">
        <f t="shared" si="3"/>
        <v>705.4905609510954</v>
      </c>
      <c r="L22" s="667">
        <f t="shared" si="3"/>
        <v>752.81803563448739</v>
      </c>
      <c r="M22" s="667">
        <f t="shared" si="3"/>
        <v>803.19769005294393</v>
      </c>
      <c r="N22" s="667">
        <f t="shared" si="3"/>
        <v>856.82146980245579</v>
      </c>
      <c r="O22" s="667">
        <f t="shared" si="3"/>
        <v>913.8931886274454</v>
      </c>
      <c r="P22" s="667">
        <f t="shared" si="3"/>
        <v>974.62925359331666</v>
      </c>
      <c r="Q22" s="667">
        <f t="shared" si="3"/>
        <v>1039.2594341936701</v>
      </c>
      <c r="R22" s="668">
        <f t="shared" si="3"/>
        <v>1108.0276780374406</v>
      </c>
      <c r="S22" s="667">
        <f t="shared" si="3"/>
        <v>1181.1929759197856</v>
      </c>
      <c r="T22" s="667">
        <f t="shared" si="3"/>
        <v>1259.0302792485377</v>
      </c>
      <c r="U22" s="667">
        <f t="shared" si="3"/>
        <v>1341.8314729760696</v>
      </c>
      <c r="V22" s="667">
        <f t="shared" si="3"/>
        <v>1429.9064073750933</v>
      </c>
      <c r="W22" s="667">
        <f t="shared" si="3"/>
        <v>1523.5839921968545</v>
      </c>
      <c r="X22" s="667">
        <f t="shared" si="3"/>
        <v>1623.2133569620059</v>
      </c>
      <c r="Y22" s="667">
        <f t="shared" si="3"/>
        <v>1729.1650813590159</v>
      </c>
      <c r="Z22" s="667">
        <f t="shared" si="3"/>
        <v>1841.8324999627866</v>
      </c>
      <c r="AA22" s="669">
        <f t="shared" si="3"/>
        <v>1961.6330857383491</v>
      </c>
    </row>
    <row r="23" spans="1:27">
      <c r="A23" s="654"/>
      <c r="B23" s="1002" t="s">
        <v>523</v>
      </c>
      <c r="C23" s="659"/>
      <c r="D23" s="659"/>
      <c r="E23" s="659"/>
      <c r="F23" s="659"/>
      <c r="G23" s="656"/>
      <c r="H23" s="709">
        <f>H22/H11</f>
        <v>0.13321721900638747</v>
      </c>
      <c r="I23" s="709">
        <f t="shared" ref="I23:AA23" si="4">I22/I11</f>
        <v>0.25877089816944604</v>
      </c>
      <c r="J23" s="709">
        <f t="shared" si="4"/>
        <v>0.26101386204358473</v>
      </c>
      <c r="K23" s="709">
        <f t="shared" si="4"/>
        <v>0.26323363126522598</v>
      </c>
      <c r="L23" s="709">
        <f t="shared" si="4"/>
        <v>0.26543049360856397</v>
      </c>
      <c r="M23" s="709">
        <f t="shared" si="4"/>
        <v>0.26760473325749357</v>
      </c>
      <c r="N23" s="709">
        <f t="shared" si="4"/>
        <v>0.26975663085032714</v>
      </c>
      <c r="O23" s="709">
        <f t="shared" si="4"/>
        <v>0.27188646352395407</v>
      </c>
      <c r="P23" s="709">
        <f t="shared" si="4"/>
        <v>0.27399450495745092</v>
      </c>
      <c r="Q23" s="709">
        <f t="shared" si="4"/>
        <v>0.2760810254151505</v>
      </c>
      <c r="R23" s="709">
        <f t="shared" si="4"/>
        <v>0.27814629178917399</v>
      </c>
      <c r="S23" s="709">
        <f t="shared" si="4"/>
        <v>0.2801905676414348</v>
      </c>
      <c r="T23" s="709">
        <f t="shared" si="4"/>
        <v>0.28221411324512036</v>
      </c>
      <c r="U23" s="709">
        <f t="shared" si="4"/>
        <v>0.28421718562565718</v>
      </c>
      <c r="V23" s="709">
        <f t="shared" si="4"/>
        <v>0.28620003860116661</v>
      </c>
      <c r="W23" s="709">
        <f t="shared" si="4"/>
        <v>0.28816292282241834</v>
      </c>
      <c r="X23" s="709">
        <f t="shared" si="4"/>
        <v>0.29010608581228559</v>
      </c>
      <c r="Y23" s="709">
        <f t="shared" si="4"/>
        <v>0.29202977200471086</v>
      </c>
      <c r="Z23" s="709">
        <f t="shared" si="4"/>
        <v>0.29393422278318559</v>
      </c>
      <c r="AA23" s="709">
        <f t="shared" si="4"/>
        <v>0.29581967651875285</v>
      </c>
    </row>
    <row r="24" spans="1:27">
      <c r="A24" s="654"/>
      <c r="B24" s="659"/>
      <c r="C24" s="659"/>
      <c r="D24" s="659"/>
      <c r="E24" s="659"/>
      <c r="F24" s="659"/>
      <c r="G24" s="656"/>
      <c r="H24" s="321"/>
      <c r="I24" s="321"/>
      <c r="J24" s="321"/>
      <c r="K24" s="321"/>
      <c r="L24" s="321"/>
      <c r="M24" s="321"/>
      <c r="N24" s="321"/>
      <c r="O24" s="321"/>
      <c r="P24" s="321"/>
      <c r="Q24" s="321"/>
      <c r="R24" s="670"/>
      <c r="S24" s="321"/>
      <c r="T24" s="321"/>
      <c r="U24" s="321"/>
      <c r="V24" s="321"/>
      <c r="W24" s="321"/>
      <c r="X24" s="321"/>
      <c r="Y24" s="321"/>
      <c r="Z24" s="321"/>
      <c r="AA24" s="319"/>
    </row>
    <row r="25" spans="1:27" s="730" customFormat="1">
      <c r="A25" s="648"/>
      <c r="B25" s="649" t="s">
        <v>36</v>
      </c>
      <c r="C25" s="633">
        <f>+C8</f>
        <v>-88.43</v>
      </c>
      <c r="D25" s="633">
        <f>+D8</f>
        <v>-442.17</v>
      </c>
      <c r="E25" s="633">
        <f>+E8</f>
        <v>-619.04</v>
      </c>
      <c r="F25" s="633">
        <f>+F8</f>
        <v>-619.04</v>
      </c>
      <c r="G25" s="650"/>
      <c r="H25" s="651">
        <f>H22+SUM(C25:F25)</f>
        <v>-1334.8194933121872</v>
      </c>
      <c r="I25" s="651">
        <f t="shared" ref="I25:AA25" si="5">I22</f>
        <v>619.27964583069706</v>
      </c>
      <c r="J25" s="651">
        <f t="shared" si="5"/>
        <v>661.03450482163021</v>
      </c>
      <c r="K25" s="651">
        <f t="shared" si="5"/>
        <v>705.4905609510954</v>
      </c>
      <c r="L25" s="651">
        <f t="shared" si="5"/>
        <v>752.81803563448739</v>
      </c>
      <c r="M25" s="651">
        <f t="shared" si="5"/>
        <v>803.19769005294393</v>
      </c>
      <c r="N25" s="651">
        <f t="shared" si="5"/>
        <v>856.82146980245579</v>
      </c>
      <c r="O25" s="651">
        <f t="shared" si="5"/>
        <v>913.8931886274454</v>
      </c>
      <c r="P25" s="651">
        <f t="shared" si="5"/>
        <v>974.62925359331666</v>
      </c>
      <c r="Q25" s="651">
        <f t="shared" si="5"/>
        <v>1039.2594341936701</v>
      </c>
      <c r="R25" s="652">
        <f t="shared" si="5"/>
        <v>1108.0276780374406</v>
      </c>
      <c r="S25" s="651">
        <f t="shared" si="5"/>
        <v>1181.1929759197856</v>
      </c>
      <c r="T25" s="651">
        <f t="shared" si="5"/>
        <v>1259.0302792485377</v>
      </c>
      <c r="U25" s="651">
        <f t="shared" si="5"/>
        <v>1341.8314729760696</v>
      </c>
      <c r="V25" s="651">
        <f t="shared" si="5"/>
        <v>1429.9064073750933</v>
      </c>
      <c r="W25" s="651">
        <f t="shared" si="5"/>
        <v>1523.5839921968545</v>
      </c>
      <c r="X25" s="651">
        <f t="shared" si="5"/>
        <v>1623.2133569620059</v>
      </c>
      <c r="Y25" s="651">
        <f t="shared" si="5"/>
        <v>1729.1650813590159</v>
      </c>
      <c r="Z25" s="651">
        <f t="shared" si="5"/>
        <v>1841.8324999627866</v>
      </c>
      <c r="AA25" s="653">
        <f t="shared" si="5"/>
        <v>1961.6330857383491</v>
      </c>
    </row>
    <row r="26" spans="1:27">
      <c r="A26" s="654"/>
      <c r="B26" s="659"/>
      <c r="C26" s="659"/>
      <c r="D26" s="659"/>
      <c r="E26" s="659"/>
      <c r="F26" s="659"/>
      <c r="G26" s="656"/>
      <c r="H26" s="321"/>
      <c r="I26" s="321"/>
      <c r="J26" s="321"/>
      <c r="K26" s="321"/>
      <c r="L26" s="321"/>
      <c r="M26" s="321"/>
      <c r="N26" s="321"/>
      <c r="O26" s="321"/>
      <c r="P26" s="321"/>
      <c r="Q26" s="321"/>
      <c r="R26" s="670"/>
      <c r="S26" s="321"/>
      <c r="T26" s="321"/>
      <c r="U26" s="321"/>
      <c r="V26" s="321"/>
      <c r="W26" s="321"/>
      <c r="X26" s="321"/>
      <c r="Y26" s="321"/>
      <c r="Z26" s="321"/>
      <c r="AA26" s="319"/>
    </row>
    <row r="27" spans="1:27">
      <c r="A27" s="654"/>
      <c r="B27" s="659" t="s">
        <v>37</v>
      </c>
      <c r="C27" s="659"/>
      <c r="D27" s="659"/>
      <c r="E27" s="659"/>
      <c r="F27" s="659"/>
      <c r="G27" s="656">
        <v>1</v>
      </c>
      <c r="H27" s="321">
        <f>G27/(1+0.1)</f>
        <v>0.90909090909090906</v>
      </c>
      <c r="I27" s="321">
        <f>H27/(1+0.1)</f>
        <v>0.82644628099173545</v>
      </c>
      <c r="J27" s="321">
        <f t="shared" ref="J27:AA27" si="6">I27/(1+0.1)</f>
        <v>0.75131480090157765</v>
      </c>
      <c r="K27" s="321">
        <f t="shared" si="6"/>
        <v>0.68301345536507052</v>
      </c>
      <c r="L27" s="321">
        <f t="shared" si="6"/>
        <v>0.62092132305915493</v>
      </c>
      <c r="M27" s="321">
        <f t="shared" si="6"/>
        <v>0.56447393005377711</v>
      </c>
      <c r="N27" s="321">
        <f t="shared" si="6"/>
        <v>0.51315811823070645</v>
      </c>
      <c r="O27" s="321">
        <f t="shared" si="6"/>
        <v>0.46650738020973309</v>
      </c>
      <c r="P27" s="321">
        <f t="shared" si="6"/>
        <v>0.42409761837248461</v>
      </c>
      <c r="Q27" s="321">
        <f t="shared" si="6"/>
        <v>0.38554328942953142</v>
      </c>
      <c r="R27" s="670">
        <f t="shared" si="6"/>
        <v>0.35049389948139215</v>
      </c>
      <c r="S27" s="321">
        <f t="shared" si="6"/>
        <v>0.31863081771035645</v>
      </c>
      <c r="T27" s="321">
        <f t="shared" si="6"/>
        <v>0.28966437973668768</v>
      </c>
      <c r="U27" s="321">
        <f t="shared" si="6"/>
        <v>0.26333125430607968</v>
      </c>
      <c r="V27" s="321">
        <f t="shared" si="6"/>
        <v>0.23939204936916333</v>
      </c>
      <c r="W27" s="321">
        <f t="shared" si="6"/>
        <v>0.21762913579014848</v>
      </c>
      <c r="X27" s="321">
        <f t="shared" si="6"/>
        <v>0.19784466890013497</v>
      </c>
      <c r="Y27" s="321">
        <f t="shared" si="6"/>
        <v>0.17985878990921358</v>
      </c>
      <c r="Z27" s="321">
        <f t="shared" si="6"/>
        <v>0.16350799082655779</v>
      </c>
      <c r="AA27" s="319">
        <f t="shared" si="6"/>
        <v>0.14864362802414344</v>
      </c>
    </row>
    <row r="28" spans="1:27">
      <c r="A28" s="654"/>
      <c r="B28" s="659" t="s">
        <v>38</v>
      </c>
      <c r="C28" s="671"/>
      <c r="D28" s="671"/>
      <c r="E28" s="671"/>
      <c r="F28" s="671"/>
      <c r="G28" s="672"/>
      <c r="H28" s="657">
        <f>H25*H27</f>
        <v>-1213.4722666474429</v>
      </c>
      <c r="I28" s="657">
        <f t="shared" ref="I28:AA28" si="7">I25*I27</f>
        <v>511.80136019065867</v>
      </c>
      <c r="J28" s="657">
        <f t="shared" si="7"/>
        <v>496.64500737913608</v>
      </c>
      <c r="K28" s="657">
        <f t="shared" si="7"/>
        <v>481.85954576264959</v>
      </c>
      <c r="L28" s="657">
        <f t="shared" si="7"/>
        <v>467.44077070895997</v>
      </c>
      <c r="M28" s="657">
        <f t="shared" si="7"/>
        <v>453.38415671430079</v>
      </c>
      <c r="N28" s="657">
        <f t="shared" si="7"/>
        <v>439.68489310349628</v>
      </c>
      <c r="O28" s="657">
        <f t="shared" si="7"/>
        <v>426.337917218109</v>
      </c>
      <c r="P28" s="657">
        <f t="shared" si="7"/>
        <v>413.33794524507795</v>
      </c>
      <c r="Q28" s="657">
        <f t="shared" si="7"/>
        <v>400.67950082970123</v>
      </c>
      <c r="R28" s="673">
        <f t="shared" si="7"/>
        <v>388.35694160865506</v>
      </c>
      <c r="S28" s="657">
        <f t="shared" si="7"/>
        <v>376.36448379105065</v>
      </c>
      <c r="T28" s="657">
        <f t="shared" si="7"/>
        <v>364.69622490823633</v>
      </c>
      <c r="U28" s="657">
        <f t="shared" si="7"/>
        <v>353.34616484616288</v>
      </c>
      <c r="V28" s="657">
        <f t="shared" si="7"/>
        <v>342.30822526762131</v>
      </c>
      <c r="W28" s="657">
        <f t="shared" si="7"/>
        <v>331.57626752550578</v>
      </c>
      <c r="X28" s="657">
        <f t="shared" si="7"/>
        <v>321.14410916242468</v>
      </c>
      <c r="Y28" s="657">
        <f t="shared" si="7"/>
        <v>311.00553908649943</v>
      </c>
      <c r="Z28" s="657">
        <f t="shared" si="7"/>
        <v>301.15433150797134</v>
      </c>
      <c r="AA28" s="674">
        <f t="shared" si="7"/>
        <v>291.58425871634381</v>
      </c>
    </row>
    <row r="29" spans="1:27">
      <c r="A29" s="654"/>
      <c r="B29" s="659" t="s">
        <v>39</v>
      </c>
      <c r="C29" s="659"/>
      <c r="D29" s="659"/>
      <c r="E29" s="659"/>
      <c r="F29" s="659"/>
      <c r="G29" s="672"/>
      <c r="H29" s="657">
        <f>H25</f>
        <v>-1334.8194933121872</v>
      </c>
      <c r="I29" s="657">
        <f t="shared" ref="I29:AA29" si="8">I25</f>
        <v>619.27964583069706</v>
      </c>
      <c r="J29" s="657">
        <f t="shared" si="8"/>
        <v>661.03450482163021</v>
      </c>
      <c r="K29" s="657">
        <f>K25</f>
        <v>705.4905609510954</v>
      </c>
      <c r="L29" s="657">
        <f t="shared" si="8"/>
        <v>752.81803563448739</v>
      </c>
      <c r="M29" s="657">
        <f t="shared" si="8"/>
        <v>803.19769005294393</v>
      </c>
      <c r="N29" s="657">
        <f t="shared" si="8"/>
        <v>856.82146980245579</v>
      </c>
      <c r="O29" s="657">
        <f t="shared" si="8"/>
        <v>913.8931886274454</v>
      </c>
      <c r="P29" s="657">
        <f t="shared" si="8"/>
        <v>974.62925359331666</v>
      </c>
      <c r="Q29" s="657">
        <f t="shared" si="8"/>
        <v>1039.2594341936701</v>
      </c>
      <c r="R29" s="673">
        <f t="shared" si="8"/>
        <v>1108.0276780374406</v>
      </c>
      <c r="S29" s="657">
        <f t="shared" si="8"/>
        <v>1181.1929759197856</v>
      </c>
      <c r="T29" s="657">
        <f t="shared" si="8"/>
        <v>1259.0302792485377</v>
      </c>
      <c r="U29" s="657">
        <f t="shared" si="8"/>
        <v>1341.8314729760696</v>
      </c>
      <c r="V29" s="657">
        <f t="shared" si="8"/>
        <v>1429.9064073750933</v>
      </c>
      <c r="W29" s="657">
        <f t="shared" si="8"/>
        <v>1523.5839921968545</v>
      </c>
      <c r="X29" s="657">
        <f t="shared" si="8"/>
        <v>1623.2133569620059</v>
      </c>
      <c r="Y29" s="657">
        <f t="shared" si="8"/>
        <v>1729.1650813590159</v>
      </c>
      <c r="Z29" s="657">
        <f t="shared" si="8"/>
        <v>1841.8324999627866</v>
      </c>
      <c r="AA29" s="674">
        <f t="shared" si="8"/>
        <v>1961.6330857383491</v>
      </c>
    </row>
    <row r="30" spans="1:27">
      <c r="A30" s="642"/>
      <c r="B30" s="675" t="s">
        <v>495</v>
      </c>
      <c r="C30" s="675"/>
      <c r="D30" s="675"/>
      <c r="E30" s="675"/>
      <c r="F30" s="675"/>
      <c r="G30" s="676"/>
      <c r="H30" s="677">
        <f>G29+H25</f>
        <v>-1334.8194933121872</v>
      </c>
      <c r="I30" s="677">
        <f>H30+I25</f>
        <v>-715.53984748149014</v>
      </c>
      <c r="J30" s="677">
        <f t="shared" ref="J30:AA30" si="9">I30+J25</f>
        <v>-54.505342659859934</v>
      </c>
      <c r="K30" s="677">
        <f>J30+K25</f>
        <v>650.98521829123547</v>
      </c>
      <c r="L30" s="677">
        <f t="shared" si="9"/>
        <v>1403.8032539257229</v>
      </c>
      <c r="M30" s="677">
        <f t="shared" si="9"/>
        <v>2207.0009439786668</v>
      </c>
      <c r="N30" s="677">
        <f t="shared" si="9"/>
        <v>3063.8224137811226</v>
      </c>
      <c r="O30" s="677">
        <f t="shared" si="9"/>
        <v>3977.715602408568</v>
      </c>
      <c r="P30" s="677">
        <f t="shared" si="9"/>
        <v>4952.3448560018842</v>
      </c>
      <c r="Q30" s="677">
        <f t="shared" si="9"/>
        <v>5991.6042901955543</v>
      </c>
      <c r="R30" s="678">
        <f t="shared" si="9"/>
        <v>7099.631968232995</v>
      </c>
      <c r="S30" s="677">
        <f t="shared" si="9"/>
        <v>8280.8249441527805</v>
      </c>
      <c r="T30" s="677">
        <f t="shared" si="9"/>
        <v>9539.8552234013187</v>
      </c>
      <c r="U30" s="677">
        <f t="shared" si="9"/>
        <v>10881.686696377388</v>
      </c>
      <c r="V30" s="677">
        <f t="shared" si="9"/>
        <v>12311.593103752482</v>
      </c>
      <c r="W30" s="677">
        <f t="shared" si="9"/>
        <v>13835.177095949337</v>
      </c>
      <c r="X30" s="677">
        <f t="shared" si="9"/>
        <v>15458.390452911342</v>
      </c>
      <c r="Y30" s="677">
        <f t="shared" si="9"/>
        <v>17187.555534270359</v>
      </c>
      <c r="Z30" s="677">
        <f t="shared" si="9"/>
        <v>19029.388034233147</v>
      </c>
      <c r="AA30" s="679">
        <f t="shared" si="9"/>
        <v>20991.021119971498</v>
      </c>
    </row>
    <row r="31" spans="1:27">
      <c r="A31" s="654"/>
      <c r="B31" s="659"/>
      <c r="C31" s="659"/>
      <c r="D31" s="659"/>
      <c r="E31" s="659"/>
      <c r="F31" s="659"/>
      <c r="G31" s="656"/>
      <c r="H31" s="657"/>
      <c r="I31" s="657"/>
      <c r="J31" s="657"/>
      <c r="K31" s="657"/>
      <c r="L31" s="657"/>
      <c r="M31" s="657"/>
      <c r="N31" s="657"/>
      <c r="O31" s="657"/>
      <c r="P31" s="657"/>
      <c r="Q31" s="657"/>
      <c r="R31" s="673"/>
      <c r="S31" s="657"/>
      <c r="T31" s="657"/>
      <c r="U31" s="657"/>
      <c r="V31" s="657"/>
      <c r="W31" s="657"/>
      <c r="X31" s="657"/>
      <c r="Y31" s="657"/>
      <c r="Z31" s="657"/>
      <c r="AA31" s="674"/>
    </row>
    <row r="32" spans="1:27">
      <c r="A32" s="654"/>
      <c r="B32" s="659"/>
      <c r="C32" s="659"/>
      <c r="D32" s="659"/>
      <c r="E32" s="659"/>
      <c r="F32" s="659"/>
      <c r="G32" s="656"/>
      <c r="H32" s="657"/>
      <c r="I32" s="657"/>
      <c r="J32" s="657"/>
      <c r="K32" s="657"/>
      <c r="L32" s="657"/>
      <c r="M32" s="657"/>
      <c r="N32" s="657"/>
      <c r="O32" s="657"/>
      <c r="P32" s="657"/>
      <c r="Q32" s="657"/>
      <c r="R32" s="673"/>
      <c r="S32" s="657"/>
      <c r="T32" s="657"/>
      <c r="U32" s="657"/>
      <c r="V32" s="657"/>
      <c r="W32" s="657"/>
      <c r="X32" s="657"/>
      <c r="Y32" s="657"/>
      <c r="Z32" s="657"/>
      <c r="AA32" s="674"/>
    </row>
    <row r="33" spans="1:27">
      <c r="A33" s="654"/>
      <c r="B33" s="680" t="s">
        <v>455</v>
      </c>
      <c r="C33" s="681"/>
      <c r="D33" s="681"/>
      <c r="E33" s="681"/>
      <c r="F33" s="681"/>
      <c r="G33" s="682">
        <f>NPV(0%,(H28:AA28))</f>
        <v>6259.2353769251185</v>
      </c>
      <c r="H33" s="683"/>
      <c r="I33" s="321"/>
      <c r="J33" s="321"/>
      <c r="K33" s="321"/>
      <c r="L33" s="321"/>
      <c r="M33" s="321"/>
      <c r="N33" s="321"/>
      <c r="O33" s="321"/>
      <c r="P33" s="321"/>
      <c r="Q33" s="321"/>
      <c r="R33" s="670"/>
      <c r="S33" s="321"/>
      <c r="T33" s="321"/>
      <c r="U33" s="321"/>
      <c r="V33" s="321"/>
      <c r="W33" s="321"/>
      <c r="X33" s="321"/>
      <c r="Y33" s="321"/>
      <c r="Z33" s="321"/>
      <c r="AA33" s="319"/>
    </row>
    <row r="34" spans="1:27">
      <c r="A34" s="654"/>
      <c r="B34" s="684" t="s">
        <v>41</v>
      </c>
      <c r="C34" s="643"/>
      <c r="D34" s="643"/>
      <c r="E34" s="643"/>
      <c r="F34" s="643"/>
      <c r="G34" s="685">
        <f>IRR(C25:AA25,0.1)</f>
        <v>0.20866509436269087</v>
      </c>
      <c r="H34" s="319"/>
      <c r="I34" s="321"/>
      <c r="J34" s="321"/>
      <c r="K34" s="321"/>
      <c r="L34" s="321"/>
      <c r="M34" s="321"/>
      <c r="N34" s="321"/>
      <c r="O34" s="321"/>
      <c r="P34" s="321"/>
      <c r="Q34" s="321"/>
      <c r="R34" s="670"/>
      <c r="S34" s="321"/>
      <c r="T34" s="321"/>
      <c r="U34" s="321"/>
      <c r="V34" s="321"/>
      <c r="W34" s="321"/>
      <c r="X34" s="321"/>
      <c r="Y34" s="321"/>
      <c r="Z34" s="321"/>
      <c r="AA34" s="319"/>
    </row>
    <row r="35" spans="1:27">
      <c r="A35" s="654"/>
      <c r="B35" s="686" t="s">
        <v>500</v>
      </c>
      <c r="C35" s="687"/>
      <c r="D35" s="687"/>
      <c r="E35" s="687"/>
      <c r="F35" s="687"/>
      <c r="G35" s="688">
        <f>IF(SUM(H40:AA40)&lt;=25,SUM(H40:AA40)," N/A ")</f>
        <v>3.0772587837126828</v>
      </c>
      <c r="H35" s="689"/>
      <c r="I35" s="321"/>
      <c r="J35" s="321"/>
      <c r="K35" s="321"/>
      <c r="L35" s="321"/>
      <c r="M35" s="321"/>
      <c r="N35" s="321"/>
      <c r="O35" s="321"/>
      <c r="P35" s="321"/>
      <c r="Q35" s="321"/>
      <c r="R35" s="670"/>
      <c r="S35" s="321"/>
      <c r="T35" s="321"/>
      <c r="U35" s="321"/>
      <c r="V35" s="321"/>
      <c r="W35" s="321"/>
      <c r="X35" s="321"/>
      <c r="Y35" s="321"/>
      <c r="Z35" s="321"/>
      <c r="AA35" s="319"/>
    </row>
    <row r="36" spans="1:27">
      <c r="A36" s="654"/>
      <c r="B36" s="690" t="s">
        <v>501</v>
      </c>
      <c r="C36" s="691"/>
      <c r="D36" s="691"/>
      <c r="E36" s="691"/>
      <c r="F36" s="691"/>
      <c r="G36" s="688">
        <f>IF(SUM(H41:AA41)&lt;=25,SUM(H41:AA41)," N/A ")</f>
        <v>3.1131145852337387</v>
      </c>
      <c r="H36" s="692"/>
      <c r="I36" s="321"/>
      <c r="J36" s="321"/>
      <c r="K36" s="321"/>
      <c r="L36" s="321"/>
      <c r="M36" s="321"/>
      <c r="N36" s="321"/>
      <c r="O36" s="321"/>
      <c r="P36" s="321"/>
      <c r="Q36" s="321"/>
      <c r="R36" s="670"/>
      <c r="S36" s="321"/>
      <c r="T36" s="321"/>
      <c r="U36" s="321"/>
      <c r="V36" s="321"/>
      <c r="W36" s="321"/>
      <c r="X36" s="321"/>
      <c r="Y36" s="321"/>
      <c r="Z36" s="321"/>
      <c r="AA36" s="319"/>
    </row>
    <row r="37" spans="1:27">
      <c r="A37" s="318"/>
      <c r="G37" s="133"/>
      <c r="H37" s="693">
        <v>1</v>
      </c>
      <c r="I37" s="693">
        <v>2</v>
      </c>
      <c r="J37" s="693">
        <v>3</v>
      </c>
      <c r="K37" s="693">
        <v>4</v>
      </c>
      <c r="L37" s="693">
        <v>5</v>
      </c>
      <c r="M37" s="693">
        <v>6</v>
      </c>
      <c r="N37" s="693">
        <v>7</v>
      </c>
      <c r="O37" s="693">
        <v>8</v>
      </c>
      <c r="P37" s="693">
        <v>9</v>
      </c>
      <c r="Q37" s="693">
        <v>10</v>
      </c>
      <c r="R37" s="694">
        <v>11</v>
      </c>
      <c r="S37" s="693">
        <v>12</v>
      </c>
      <c r="T37" s="693">
        <v>13</v>
      </c>
      <c r="U37" s="693">
        <v>14</v>
      </c>
      <c r="V37" s="693">
        <v>15</v>
      </c>
      <c r="W37" s="693">
        <v>16</v>
      </c>
      <c r="X37" s="693">
        <v>17</v>
      </c>
      <c r="Y37" s="693">
        <v>18</v>
      </c>
      <c r="Z37" s="693">
        <v>19</v>
      </c>
      <c r="AA37" s="695">
        <v>20</v>
      </c>
    </row>
    <row r="38" spans="1:27">
      <c r="A38" s="696"/>
      <c r="B38" s="697" t="s">
        <v>502</v>
      </c>
      <c r="C38" s="698"/>
      <c r="D38" s="698"/>
      <c r="E38" s="698"/>
      <c r="F38" s="698"/>
      <c r="G38" s="699"/>
      <c r="H38" s="700">
        <f t="shared" ref="H38:AA38" si="10">IF(H30&lt;0,1,IF(H29=0,0,-G30/H29))</f>
        <v>1</v>
      </c>
      <c r="I38" s="700">
        <f t="shared" si="10"/>
        <v>1</v>
      </c>
      <c r="J38" s="700">
        <f t="shared" si="10"/>
        <v>1</v>
      </c>
      <c r="K38" s="700">
        <f t="shared" si="10"/>
        <v>7.7258783712682785E-2</v>
      </c>
      <c r="L38" s="700">
        <f t="shared" si="10"/>
        <v>-0.86473116673217643</v>
      </c>
      <c r="M38" s="700">
        <f t="shared" si="10"/>
        <v>-1.7477680418044892</v>
      </c>
      <c r="N38" s="700">
        <f t="shared" si="10"/>
        <v>-2.5758002358268417</v>
      </c>
      <c r="O38" s="700">
        <f t="shared" si="10"/>
        <v>-3.3524950748156961</v>
      </c>
      <c r="P38" s="700">
        <f t="shared" si="10"/>
        <v>-4.081260220482104</v>
      </c>
      <c r="Q38" s="700">
        <f t="shared" si="10"/>
        <v>-4.7652633144911096</v>
      </c>
      <c r="R38" s="701">
        <f t="shared" si="10"/>
        <v>-5.4074500203893789</v>
      </c>
      <c r="S38" s="700">
        <f t="shared" si="10"/>
        <v>-6.0105606052258889</v>
      </c>
      <c r="T38" s="700">
        <f t="shared" si="10"/>
        <v>-6.5771451891492694</v>
      </c>
      <c r="U38" s="700">
        <f t="shared" si="10"/>
        <v>-7.1095777789760142</v>
      </c>
      <c r="V38" s="700">
        <f t="shared" si="10"/>
        <v>-7.610069190719349</v>
      </c>
      <c r="W38" s="700">
        <f t="shared" si="10"/>
        <v>-8.0806789562027408</v>
      </c>
      <c r="X38" s="700">
        <f t="shared" si="10"/>
        <v>-8.523326300026973</v>
      </c>
      <c r="Y38" s="700">
        <f t="shared" si="10"/>
        <v>-8.9398002652019848</v>
      </c>
      <c r="Z38" s="700">
        <f t="shared" si="10"/>
        <v>-9.3317690585966027</v>
      </c>
      <c r="AA38" s="702">
        <f t="shared" si="10"/>
        <v>-9.700788680912046</v>
      </c>
    </row>
    <row r="39" spans="1:27">
      <c r="B39" s="114" t="s">
        <v>503</v>
      </c>
      <c r="G39" s="703"/>
      <c r="H39" s="700">
        <f>IF(H30&lt;0,1,IF(H30=0,0,-G30/H28))</f>
        <v>1</v>
      </c>
      <c r="I39" s="700">
        <f t="shared" ref="I39:AA39" si="11">IF(I30&lt;0,1,IF(I30=0,0,-H30/I28))</f>
        <v>1</v>
      </c>
      <c r="J39" s="700">
        <f t="shared" si="11"/>
        <v>1</v>
      </c>
      <c r="K39" s="700">
        <f t="shared" si="11"/>
        <v>0.11311458523373889</v>
      </c>
      <c r="L39" s="700">
        <f t="shared" si="11"/>
        <v>-1.3926581913338381</v>
      </c>
      <c r="M39" s="700">
        <f t="shared" si="11"/>
        <v>-3.0962776999072048</v>
      </c>
      <c r="N39" s="700">
        <f t="shared" si="11"/>
        <v>-5.0195059657398025</v>
      </c>
      <c r="O39" s="700">
        <f t="shared" si="11"/>
        <v>-7.1863709279550436</v>
      </c>
      <c r="P39" s="700">
        <f t="shared" si="11"/>
        <v>-9.6233981132559343</v>
      </c>
      <c r="Q39" s="700">
        <f t="shared" si="11"/>
        <v>-12.359865792352462</v>
      </c>
      <c r="R39" s="700">
        <f t="shared" si="11"/>
        <v>-15.428085990627812</v>
      </c>
      <c r="S39" s="700">
        <f t="shared" si="11"/>
        <v>-18.863713963442301</v>
      </c>
      <c r="T39" s="700">
        <f t="shared" si="11"/>
        <v>-22.706089009384112</v>
      </c>
      <c r="U39" s="700">
        <f t="shared" si="11"/>
        <v>-26.99860978413253</v>
      </c>
      <c r="V39" s="700">
        <f t="shared" si="11"/>
        <v>-31.789147596058889</v>
      </c>
      <c r="W39" s="700">
        <f t="shared" si="11"/>
        <v>-37.130501515176867</v>
      </c>
      <c r="X39" s="700">
        <f t="shared" si="11"/>
        <v>-43.080899512785194</v>
      </c>
      <c r="Y39" s="700">
        <f t="shared" si="11"/>
        <v>-49.704550273659038</v>
      </c>
      <c r="Z39" s="700">
        <f t="shared" si="11"/>
        <v>-57.07225078984267</v>
      </c>
      <c r="AA39" s="700">
        <f t="shared" si="11"/>
        <v>-65.262055359254262</v>
      </c>
    </row>
    <row r="40" spans="1:27" ht="13.5" customHeight="1">
      <c r="B40" s="697" t="s">
        <v>502</v>
      </c>
      <c r="C40" s="704"/>
      <c r="D40" s="704"/>
      <c r="E40" s="704"/>
      <c r="F40" s="704"/>
      <c r="H40" s="693">
        <f t="shared" ref="H40:AA41" si="12">IF(H38&gt;0,H38,0)</f>
        <v>1</v>
      </c>
      <c r="I40" s="693">
        <f t="shared" si="12"/>
        <v>1</v>
      </c>
      <c r="J40" s="693">
        <f t="shared" si="12"/>
        <v>1</v>
      </c>
      <c r="K40" s="693">
        <f>IF(K38&gt;0,K38,0)</f>
        <v>7.7258783712682785E-2</v>
      </c>
      <c r="L40" s="693">
        <f t="shared" si="12"/>
        <v>0</v>
      </c>
      <c r="M40" s="693">
        <f t="shared" si="12"/>
        <v>0</v>
      </c>
      <c r="N40" s="693">
        <f t="shared" si="12"/>
        <v>0</v>
      </c>
      <c r="O40" s="693">
        <f t="shared" si="12"/>
        <v>0</v>
      </c>
      <c r="P40" s="693">
        <f t="shared" si="12"/>
        <v>0</v>
      </c>
      <c r="Q40" s="693">
        <f t="shared" si="12"/>
        <v>0</v>
      </c>
      <c r="R40" s="694">
        <f t="shared" si="12"/>
        <v>0</v>
      </c>
      <c r="S40" s="693">
        <f t="shared" si="12"/>
        <v>0</v>
      </c>
      <c r="T40" s="693">
        <f t="shared" si="12"/>
        <v>0</v>
      </c>
      <c r="U40" s="693">
        <f t="shared" si="12"/>
        <v>0</v>
      </c>
      <c r="V40" s="693">
        <f t="shared" si="12"/>
        <v>0</v>
      </c>
      <c r="W40" s="693">
        <f t="shared" si="12"/>
        <v>0</v>
      </c>
      <c r="X40" s="693">
        <f t="shared" si="12"/>
        <v>0</v>
      </c>
      <c r="Y40" s="693">
        <f t="shared" si="12"/>
        <v>0</v>
      </c>
      <c r="Z40" s="693">
        <f>IF(Z38&gt;0,Z38,0)</f>
        <v>0</v>
      </c>
      <c r="AA40" s="695">
        <f t="shared" si="12"/>
        <v>0</v>
      </c>
    </row>
    <row r="41" spans="1:27">
      <c r="B41" s="114" t="s">
        <v>503</v>
      </c>
      <c r="C41" s="704"/>
      <c r="D41" s="704"/>
      <c r="E41" s="704"/>
      <c r="F41" s="704"/>
      <c r="H41" s="693">
        <f t="shared" si="12"/>
        <v>1</v>
      </c>
      <c r="I41" s="693">
        <f t="shared" si="12"/>
        <v>1</v>
      </c>
      <c r="J41" s="693">
        <f t="shared" si="12"/>
        <v>1</v>
      </c>
      <c r="K41" s="693">
        <f t="shared" si="12"/>
        <v>0.11311458523373889</v>
      </c>
      <c r="L41" s="693">
        <f t="shared" si="12"/>
        <v>0</v>
      </c>
      <c r="M41" s="693">
        <f t="shared" si="12"/>
        <v>0</v>
      </c>
      <c r="N41" s="693">
        <f t="shared" si="12"/>
        <v>0</v>
      </c>
      <c r="O41" s="693">
        <f t="shared" si="12"/>
        <v>0</v>
      </c>
      <c r="P41" s="693">
        <f t="shared" si="12"/>
        <v>0</v>
      </c>
      <c r="Q41" s="693">
        <f t="shared" si="12"/>
        <v>0</v>
      </c>
      <c r="R41" s="693">
        <f t="shared" si="12"/>
        <v>0</v>
      </c>
      <c r="S41" s="693">
        <f t="shared" si="12"/>
        <v>0</v>
      </c>
      <c r="T41" s="693">
        <f t="shared" si="12"/>
        <v>0</v>
      </c>
      <c r="U41" s="693">
        <f t="shared" si="12"/>
        <v>0</v>
      </c>
      <c r="V41" s="693">
        <f t="shared" si="12"/>
        <v>0</v>
      </c>
      <c r="W41" s="693">
        <f t="shared" si="12"/>
        <v>0</v>
      </c>
      <c r="X41" s="693">
        <f t="shared" si="12"/>
        <v>0</v>
      </c>
      <c r="Y41" s="693">
        <f t="shared" si="12"/>
        <v>0</v>
      </c>
      <c r="Z41" s="693">
        <f t="shared" si="12"/>
        <v>0</v>
      </c>
      <c r="AA41" s="693">
        <f t="shared" si="12"/>
        <v>0</v>
      </c>
    </row>
    <row r="43" spans="1:27">
      <c r="L43" s="705"/>
      <c r="M43" s="705"/>
      <c r="N43" s="705"/>
      <c r="O43" s="705"/>
      <c r="P43" s="705"/>
      <c r="Q43" s="705"/>
    </row>
    <row r="44" spans="1:27" ht="25.5">
      <c r="B44" s="704" t="s">
        <v>163</v>
      </c>
      <c r="L44" s="705"/>
      <c r="M44" s="705"/>
      <c r="N44" s="705"/>
      <c r="O44" s="705"/>
      <c r="P44" s="705"/>
      <c r="Q44" s="705"/>
    </row>
    <row r="45" spans="1:27">
      <c r="B45" s="704" t="s">
        <v>42</v>
      </c>
      <c r="L45" s="705"/>
      <c r="M45" s="705"/>
      <c r="N45" s="705"/>
      <c r="O45" s="705"/>
      <c r="P45" s="705"/>
      <c r="Q45" s="705"/>
    </row>
    <row r="46" spans="1:27">
      <c r="B46" s="25" t="s">
        <v>496</v>
      </c>
    </row>
    <row r="47" spans="1:27">
      <c r="B47" s="25" t="s">
        <v>43</v>
      </c>
      <c r="H47" s="133">
        <v>1</v>
      </c>
    </row>
    <row r="48" spans="1:27">
      <c r="B48" s="25" t="s">
        <v>80</v>
      </c>
    </row>
    <row r="49" spans="2:16">
      <c r="B49" s="25" t="s">
        <v>497</v>
      </c>
    </row>
    <row r="50" spans="2:16">
      <c r="B50" s="25" t="s">
        <v>44</v>
      </c>
    </row>
    <row r="52" spans="2:16" ht="14.45" customHeight="1">
      <c r="B52" s="25" t="s">
        <v>45</v>
      </c>
    </row>
    <row r="53" spans="2:16">
      <c r="B53" s="25" t="s">
        <v>46</v>
      </c>
    </row>
    <row r="54" spans="2:16">
      <c r="B54" s="25" t="s">
        <v>498</v>
      </c>
      <c r="E54" s="746"/>
      <c r="F54" s="746"/>
      <c r="G54" s="746"/>
      <c r="I54" s="705"/>
      <c r="J54" s="705"/>
      <c r="K54" s="705"/>
      <c r="L54" s="705"/>
      <c r="M54" s="705"/>
      <c r="N54" s="705"/>
      <c r="P54" s="705"/>
    </row>
    <row r="55" spans="2:16">
      <c r="E55" s="746"/>
      <c r="F55" s="746"/>
      <c r="G55" s="746"/>
      <c r="I55" s="1003"/>
      <c r="J55" s="1435"/>
      <c r="K55" s="1435"/>
      <c r="L55" s="1435"/>
      <c r="M55" s="1435"/>
      <c r="N55" s="1435"/>
    </row>
    <row r="56" spans="2:16" ht="38.25">
      <c r="B56" s="706"/>
      <c r="E56" s="746"/>
      <c r="F56" s="746"/>
      <c r="G56" s="620" t="s">
        <v>521</v>
      </c>
      <c r="H56" s="748">
        <v>4.4999999999999998E-2</v>
      </c>
      <c r="I56" s="746"/>
      <c r="J56" s="746"/>
      <c r="K56" s="746"/>
      <c r="L56" s="705"/>
      <c r="M56" s="705"/>
      <c r="N56" s="705"/>
      <c r="P56" s="705"/>
    </row>
    <row r="57" spans="2:16" ht="25.5" customHeight="1">
      <c r="E57" s="746"/>
      <c r="F57" s="746"/>
      <c r="G57" s="707" t="s">
        <v>456</v>
      </c>
      <c r="H57" s="749">
        <v>4</v>
      </c>
      <c r="I57" s="1003"/>
      <c r="J57" s="1435"/>
      <c r="K57" s="1435"/>
      <c r="L57" s="1435"/>
      <c r="M57" s="1435"/>
      <c r="N57" s="1435"/>
    </row>
    <row r="58" spans="2:16" ht="19.5" customHeight="1">
      <c r="I58" s="1003"/>
      <c r="J58" s="1435"/>
      <c r="K58" s="1435"/>
      <c r="L58" s="1435"/>
      <c r="M58" s="1435"/>
      <c r="N58" s="1435"/>
    </row>
    <row r="59" spans="2:16">
      <c r="I59" s="705"/>
      <c r="J59" s="705"/>
      <c r="K59" s="705"/>
      <c r="L59" s="705"/>
      <c r="M59" s="705"/>
      <c r="N59" s="705"/>
      <c r="P59" s="705"/>
    </row>
    <row r="60" spans="2:16">
      <c r="I60" s="705"/>
      <c r="J60" s="705"/>
      <c r="K60" s="705"/>
      <c r="L60" s="705"/>
      <c r="M60" s="705"/>
      <c r="N60" s="705"/>
      <c r="P60" s="705"/>
    </row>
    <row r="71" spans="8:13">
      <c r="H71" s="321"/>
      <c r="I71" s="321"/>
      <c r="J71" s="321"/>
      <c r="K71" s="321"/>
      <c r="L71" s="321"/>
      <c r="M71" s="321"/>
    </row>
    <row r="72" spans="8:13">
      <c r="H72" s="708" t="s">
        <v>91</v>
      </c>
      <c r="I72" s="708" t="s">
        <v>147</v>
      </c>
      <c r="J72" s="708" t="s">
        <v>11</v>
      </c>
      <c r="K72" s="708"/>
      <c r="L72" s="708">
        <v>0.05</v>
      </c>
      <c r="M72" s="708"/>
    </row>
    <row r="73" spans="8:13">
      <c r="H73" s="708">
        <v>350000</v>
      </c>
      <c r="I73" s="708">
        <v>200000</v>
      </c>
      <c r="J73" s="708">
        <v>120000</v>
      </c>
      <c r="K73" s="708"/>
      <c r="L73" s="708"/>
      <c r="M73" s="708"/>
    </row>
  </sheetData>
  <mergeCells count="11">
    <mergeCell ref="R4:AA4"/>
    <mergeCell ref="B5:B6"/>
    <mergeCell ref="A7:G7"/>
    <mergeCell ref="J55:N55"/>
    <mergeCell ref="J57:N57"/>
    <mergeCell ref="J58:N58"/>
    <mergeCell ref="A1:H1"/>
    <mergeCell ref="A2:B2"/>
    <mergeCell ref="A3:B3"/>
    <mergeCell ref="A4:A6"/>
    <mergeCell ref="H4:Q4"/>
  </mergeCells>
  <hyperlinks>
    <hyperlink ref="B33" r:id="rId1" display="NPV@12%" xr:uid="{13824755-6A46-405E-91F9-879107D5071A}"/>
  </hyperlinks>
  <pageMargins left="0.7" right="0.7" top="0.75" bottom="0.75" header="0.3" footer="0.3"/>
  <pageSetup orientation="portrait"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C814A-2DBE-4C7C-B3CB-DD178176CD92}">
  <sheetPr codeName="Sheet33"/>
  <dimension ref="A1:L34"/>
  <sheetViews>
    <sheetView showGridLines="0" topLeftCell="A7" zoomScaleNormal="100" zoomScaleSheetLayoutView="100" workbookViewId="0">
      <selection activeCell="B16" sqref="B16"/>
    </sheetView>
  </sheetViews>
  <sheetFormatPr defaultRowHeight="12.75"/>
  <cols>
    <col min="1" max="1" width="51.5703125" style="172" customWidth="1"/>
    <col min="2" max="2" width="8.140625" style="172" bestFit="1" customWidth="1"/>
    <col min="3" max="3" width="9" style="172" bestFit="1" customWidth="1"/>
    <col min="4" max="4" width="8.5703125" style="172" bestFit="1" customWidth="1"/>
    <col min="5" max="10" width="8.42578125" style="172" bestFit="1" customWidth="1"/>
    <col min="11" max="11" width="9.42578125" style="172" bestFit="1" customWidth="1"/>
    <col min="12" max="256" width="9.140625" style="172"/>
    <col min="257" max="257" width="35.7109375" style="172" customWidth="1"/>
    <col min="258" max="267" width="10.7109375" style="172" customWidth="1"/>
    <col min="268" max="512" width="9.140625" style="172"/>
    <col min="513" max="513" width="35.7109375" style="172" customWidth="1"/>
    <col min="514" max="523" width="10.7109375" style="172" customWidth="1"/>
    <col min="524" max="768" width="9.140625" style="172"/>
    <col min="769" max="769" width="35.7109375" style="172" customWidth="1"/>
    <col min="770" max="779" width="10.7109375" style="172" customWidth="1"/>
    <col min="780" max="1024" width="9.140625" style="172"/>
    <col min="1025" max="1025" width="35.7109375" style="172" customWidth="1"/>
    <col min="1026" max="1035" width="10.7109375" style="172" customWidth="1"/>
    <col min="1036" max="1280" width="9.140625" style="172"/>
    <col min="1281" max="1281" width="35.7109375" style="172" customWidth="1"/>
    <col min="1282" max="1291" width="10.7109375" style="172" customWidth="1"/>
    <col min="1292" max="1536" width="9.140625" style="172"/>
    <col min="1537" max="1537" width="35.7109375" style="172" customWidth="1"/>
    <col min="1538" max="1547" width="10.7109375" style="172" customWidth="1"/>
    <col min="1548" max="1792" width="9.140625" style="172"/>
    <col min="1793" max="1793" width="35.7109375" style="172" customWidth="1"/>
    <col min="1794" max="1803" width="10.7109375" style="172" customWidth="1"/>
    <col min="1804" max="2048" width="9.140625" style="172"/>
    <col min="2049" max="2049" width="35.7109375" style="172" customWidth="1"/>
    <col min="2050" max="2059" width="10.7109375" style="172" customWidth="1"/>
    <col min="2060" max="2304" width="9.140625" style="172"/>
    <col min="2305" max="2305" width="35.7109375" style="172" customWidth="1"/>
    <col min="2306" max="2315" width="10.7109375" style="172" customWidth="1"/>
    <col min="2316" max="2560" width="9.140625" style="172"/>
    <col min="2561" max="2561" width="35.7109375" style="172" customWidth="1"/>
    <col min="2562" max="2571" width="10.7109375" style="172" customWidth="1"/>
    <col min="2572" max="2816" width="9.140625" style="172"/>
    <col min="2817" max="2817" width="35.7109375" style="172" customWidth="1"/>
    <col min="2818" max="2827" width="10.7109375" style="172" customWidth="1"/>
    <col min="2828" max="3072" width="9.140625" style="172"/>
    <col min="3073" max="3073" width="35.7109375" style="172" customWidth="1"/>
    <col min="3074" max="3083" width="10.7109375" style="172" customWidth="1"/>
    <col min="3084" max="3328" width="9.140625" style="172"/>
    <col min="3329" max="3329" width="35.7109375" style="172" customWidth="1"/>
    <col min="3330" max="3339" width="10.7109375" style="172" customWidth="1"/>
    <col min="3340" max="3584" width="9.140625" style="172"/>
    <col min="3585" max="3585" width="35.7109375" style="172" customWidth="1"/>
    <col min="3586" max="3595" width="10.7109375" style="172" customWidth="1"/>
    <col min="3596" max="3840" width="9.140625" style="172"/>
    <col min="3841" max="3841" width="35.7109375" style="172" customWidth="1"/>
    <col min="3842" max="3851" width="10.7109375" style="172" customWidth="1"/>
    <col min="3852" max="4096" width="9.140625" style="172"/>
    <col min="4097" max="4097" width="35.7109375" style="172" customWidth="1"/>
    <col min="4098" max="4107" width="10.7109375" style="172" customWidth="1"/>
    <col min="4108" max="4352" width="9.140625" style="172"/>
    <col min="4353" max="4353" width="35.7109375" style="172" customWidth="1"/>
    <col min="4354" max="4363" width="10.7109375" style="172" customWidth="1"/>
    <col min="4364" max="4608" width="9.140625" style="172"/>
    <col min="4609" max="4609" width="35.7109375" style="172" customWidth="1"/>
    <col min="4610" max="4619" width="10.7109375" style="172" customWidth="1"/>
    <col min="4620" max="4864" width="9.140625" style="172"/>
    <col min="4865" max="4865" width="35.7109375" style="172" customWidth="1"/>
    <col min="4866" max="4875" width="10.7109375" style="172" customWidth="1"/>
    <col min="4876" max="5120" width="9.140625" style="172"/>
    <col min="5121" max="5121" width="35.7109375" style="172" customWidth="1"/>
    <col min="5122" max="5131" width="10.7109375" style="172" customWidth="1"/>
    <col min="5132" max="5376" width="9.140625" style="172"/>
    <col min="5377" max="5377" width="35.7109375" style="172" customWidth="1"/>
    <col min="5378" max="5387" width="10.7109375" style="172" customWidth="1"/>
    <col min="5388" max="5632" width="9.140625" style="172"/>
    <col min="5633" max="5633" width="35.7109375" style="172" customWidth="1"/>
    <col min="5634" max="5643" width="10.7109375" style="172" customWidth="1"/>
    <col min="5644" max="5888" width="9.140625" style="172"/>
    <col min="5889" max="5889" width="35.7109375" style="172" customWidth="1"/>
    <col min="5890" max="5899" width="10.7109375" style="172" customWidth="1"/>
    <col min="5900" max="6144" width="9.140625" style="172"/>
    <col min="6145" max="6145" width="35.7109375" style="172" customWidth="1"/>
    <col min="6146" max="6155" width="10.7109375" style="172" customWidth="1"/>
    <col min="6156" max="6400" width="9.140625" style="172"/>
    <col min="6401" max="6401" width="35.7109375" style="172" customWidth="1"/>
    <col min="6402" max="6411" width="10.7109375" style="172" customWidth="1"/>
    <col min="6412" max="6656" width="9.140625" style="172"/>
    <col min="6657" max="6657" width="35.7109375" style="172" customWidth="1"/>
    <col min="6658" max="6667" width="10.7109375" style="172" customWidth="1"/>
    <col min="6668" max="6912" width="9.140625" style="172"/>
    <col min="6913" max="6913" width="35.7109375" style="172" customWidth="1"/>
    <col min="6914" max="6923" width="10.7109375" style="172" customWidth="1"/>
    <col min="6924" max="7168" width="9.140625" style="172"/>
    <col min="7169" max="7169" width="35.7109375" style="172" customWidth="1"/>
    <col min="7170" max="7179" width="10.7109375" style="172" customWidth="1"/>
    <col min="7180" max="7424" width="9.140625" style="172"/>
    <col min="7425" max="7425" width="35.7109375" style="172" customWidth="1"/>
    <col min="7426" max="7435" width="10.7109375" style="172" customWidth="1"/>
    <col min="7436" max="7680" width="9.140625" style="172"/>
    <col min="7681" max="7681" width="35.7109375" style="172" customWidth="1"/>
    <col min="7682" max="7691" width="10.7109375" style="172" customWidth="1"/>
    <col min="7692" max="7936" width="9.140625" style="172"/>
    <col min="7937" max="7937" width="35.7109375" style="172" customWidth="1"/>
    <col min="7938" max="7947" width="10.7109375" style="172" customWidth="1"/>
    <col min="7948" max="8192" width="9.140625" style="172"/>
    <col min="8193" max="8193" width="35.7109375" style="172" customWidth="1"/>
    <col min="8194" max="8203" width="10.7109375" style="172" customWidth="1"/>
    <col min="8204" max="8448" width="9.140625" style="172"/>
    <col min="8449" max="8449" width="35.7109375" style="172" customWidth="1"/>
    <col min="8450" max="8459" width="10.7109375" style="172" customWidth="1"/>
    <col min="8460" max="8704" width="9.140625" style="172"/>
    <col min="8705" max="8705" width="35.7109375" style="172" customWidth="1"/>
    <col min="8706" max="8715" width="10.7109375" style="172" customWidth="1"/>
    <col min="8716" max="8960" width="9.140625" style="172"/>
    <col min="8961" max="8961" width="35.7109375" style="172" customWidth="1"/>
    <col min="8962" max="8971" width="10.7109375" style="172" customWidth="1"/>
    <col min="8972" max="9216" width="9.140625" style="172"/>
    <col min="9217" max="9217" width="35.7109375" style="172" customWidth="1"/>
    <col min="9218" max="9227" width="10.7109375" style="172" customWidth="1"/>
    <col min="9228" max="9472" width="9.140625" style="172"/>
    <col min="9473" max="9473" width="35.7109375" style="172" customWidth="1"/>
    <col min="9474" max="9483" width="10.7109375" style="172" customWidth="1"/>
    <col min="9484" max="9728" width="9.140625" style="172"/>
    <col min="9729" max="9729" width="35.7109375" style="172" customWidth="1"/>
    <col min="9730" max="9739" width="10.7109375" style="172" customWidth="1"/>
    <col min="9740" max="9984" width="9.140625" style="172"/>
    <col min="9985" max="9985" width="35.7109375" style="172" customWidth="1"/>
    <col min="9986" max="9995" width="10.7109375" style="172" customWidth="1"/>
    <col min="9996" max="10240" width="9.140625" style="172"/>
    <col min="10241" max="10241" width="35.7109375" style="172" customWidth="1"/>
    <col min="10242" max="10251" width="10.7109375" style="172" customWidth="1"/>
    <col min="10252" max="10496" width="9.140625" style="172"/>
    <col min="10497" max="10497" width="35.7109375" style="172" customWidth="1"/>
    <col min="10498" max="10507" width="10.7109375" style="172" customWidth="1"/>
    <col min="10508" max="10752" width="9.140625" style="172"/>
    <col min="10753" max="10753" width="35.7109375" style="172" customWidth="1"/>
    <col min="10754" max="10763" width="10.7109375" style="172" customWidth="1"/>
    <col min="10764" max="11008" width="9.140625" style="172"/>
    <col min="11009" max="11009" width="35.7109375" style="172" customWidth="1"/>
    <col min="11010" max="11019" width="10.7109375" style="172" customWidth="1"/>
    <col min="11020" max="11264" width="9.140625" style="172"/>
    <col min="11265" max="11265" width="35.7109375" style="172" customWidth="1"/>
    <col min="11266" max="11275" width="10.7109375" style="172" customWidth="1"/>
    <col min="11276" max="11520" width="9.140625" style="172"/>
    <col min="11521" max="11521" width="35.7109375" style="172" customWidth="1"/>
    <col min="11522" max="11531" width="10.7109375" style="172" customWidth="1"/>
    <col min="11532" max="11776" width="9.140625" style="172"/>
    <col min="11777" max="11777" width="35.7109375" style="172" customWidth="1"/>
    <col min="11778" max="11787" width="10.7109375" style="172" customWidth="1"/>
    <col min="11788" max="12032" width="9.140625" style="172"/>
    <col min="12033" max="12033" width="35.7109375" style="172" customWidth="1"/>
    <col min="12034" max="12043" width="10.7109375" style="172" customWidth="1"/>
    <col min="12044" max="12288" width="9.140625" style="172"/>
    <col min="12289" max="12289" width="35.7109375" style="172" customWidth="1"/>
    <col min="12290" max="12299" width="10.7109375" style="172" customWidth="1"/>
    <col min="12300" max="12544" width="9.140625" style="172"/>
    <col min="12545" max="12545" width="35.7109375" style="172" customWidth="1"/>
    <col min="12546" max="12555" width="10.7109375" style="172" customWidth="1"/>
    <col min="12556" max="12800" width="9.140625" style="172"/>
    <col min="12801" max="12801" width="35.7109375" style="172" customWidth="1"/>
    <col min="12802" max="12811" width="10.7109375" style="172" customWidth="1"/>
    <col min="12812" max="13056" width="9.140625" style="172"/>
    <col min="13057" max="13057" width="35.7109375" style="172" customWidth="1"/>
    <col min="13058" max="13067" width="10.7109375" style="172" customWidth="1"/>
    <col min="13068" max="13312" width="9.140625" style="172"/>
    <col min="13313" max="13313" width="35.7109375" style="172" customWidth="1"/>
    <col min="13314" max="13323" width="10.7109375" style="172" customWidth="1"/>
    <col min="13324" max="13568" width="9.140625" style="172"/>
    <col min="13569" max="13569" width="35.7109375" style="172" customWidth="1"/>
    <col min="13570" max="13579" width="10.7109375" style="172" customWidth="1"/>
    <col min="13580" max="13824" width="9.140625" style="172"/>
    <col min="13825" max="13825" width="35.7109375" style="172" customWidth="1"/>
    <col min="13826" max="13835" width="10.7109375" style="172" customWidth="1"/>
    <col min="13836" max="14080" width="9.140625" style="172"/>
    <col min="14081" max="14081" width="35.7109375" style="172" customWidth="1"/>
    <col min="14082" max="14091" width="10.7109375" style="172" customWidth="1"/>
    <col min="14092" max="14336" width="9.140625" style="172"/>
    <col min="14337" max="14337" width="35.7109375" style="172" customWidth="1"/>
    <col min="14338" max="14347" width="10.7109375" style="172" customWidth="1"/>
    <col min="14348" max="14592" width="9.140625" style="172"/>
    <col min="14593" max="14593" width="35.7109375" style="172" customWidth="1"/>
    <col min="14594" max="14603" width="10.7109375" style="172" customWidth="1"/>
    <col min="14604" max="14848" width="9.140625" style="172"/>
    <col min="14849" max="14849" width="35.7109375" style="172" customWidth="1"/>
    <col min="14850" max="14859" width="10.7109375" style="172" customWidth="1"/>
    <col min="14860" max="15104" width="9.140625" style="172"/>
    <col min="15105" max="15105" width="35.7109375" style="172" customWidth="1"/>
    <col min="15106" max="15115" width="10.7109375" style="172" customWidth="1"/>
    <col min="15116" max="15360" width="9.140625" style="172"/>
    <col min="15361" max="15361" width="35.7109375" style="172" customWidth="1"/>
    <col min="15362" max="15371" width="10.7109375" style="172" customWidth="1"/>
    <col min="15372" max="15616" width="9.140625" style="172"/>
    <col min="15617" max="15617" width="35.7109375" style="172" customWidth="1"/>
    <col min="15618" max="15627" width="10.7109375" style="172" customWidth="1"/>
    <col min="15628" max="15872" width="9.140625" style="172"/>
    <col min="15873" max="15873" width="35.7109375" style="172" customWidth="1"/>
    <col min="15874" max="15883" width="10.7109375" style="172" customWidth="1"/>
    <col min="15884" max="16128" width="9.140625" style="172"/>
    <col min="16129" max="16129" width="35.7109375" style="172" customWidth="1"/>
    <col min="16130" max="16139" width="10.7109375" style="172" customWidth="1"/>
    <col min="16140" max="16384" width="9.140625" style="172"/>
  </cols>
  <sheetData>
    <row r="1" spans="1:12" ht="22.5" customHeight="1">
      <c r="A1" s="1493" t="s">
        <v>664</v>
      </c>
      <c r="B1" s="1494"/>
      <c r="C1" s="1494"/>
      <c r="D1" s="1494"/>
      <c r="E1" s="1494"/>
      <c r="F1" s="1494"/>
      <c r="G1" s="1494"/>
      <c r="H1" s="1494"/>
      <c r="I1" s="1494"/>
      <c r="J1" s="1494"/>
      <c r="K1" s="1494"/>
    </row>
    <row r="2" spans="1:12" ht="24" customHeight="1">
      <c r="A2" s="760" t="s">
        <v>286</v>
      </c>
      <c r="B2" s="206">
        <v>0.9</v>
      </c>
      <c r="C2" s="206">
        <v>1</v>
      </c>
      <c r="D2" s="206">
        <v>1</v>
      </c>
      <c r="E2" s="206">
        <v>1</v>
      </c>
      <c r="F2" s="206">
        <v>1</v>
      </c>
      <c r="G2" s="206">
        <v>1</v>
      </c>
      <c r="H2" s="206">
        <v>1</v>
      </c>
      <c r="I2" s="206">
        <v>1</v>
      </c>
      <c r="J2" s="206">
        <v>1</v>
      </c>
      <c r="K2" s="764">
        <v>1</v>
      </c>
    </row>
    <row r="3" spans="1:12" ht="18" customHeight="1">
      <c r="A3" s="1482" t="s">
        <v>298</v>
      </c>
      <c r="B3" s="1483"/>
      <c r="C3" s="1483"/>
      <c r="D3" s="1483"/>
      <c r="E3" s="1483"/>
      <c r="F3" s="1483"/>
      <c r="G3" s="1483"/>
      <c r="H3" s="1483"/>
      <c r="I3" s="1483"/>
      <c r="J3" s="1483"/>
      <c r="K3" s="1484"/>
      <c r="L3" s="179"/>
    </row>
    <row r="4" spans="1:12" ht="27" customHeight="1">
      <c r="A4" s="760"/>
      <c r="B4" s="170" t="s">
        <v>287</v>
      </c>
      <c r="C4" s="170" t="s">
        <v>288</v>
      </c>
      <c r="D4" s="170" t="s">
        <v>289</v>
      </c>
      <c r="E4" s="170" t="s">
        <v>290</v>
      </c>
      <c r="F4" s="170" t="s">
        <v>291</v>
      </c>
      <c r="G4" s="170" t="s">
        <v>292</v>
      </c>
      <c r="H4" s="170" t="s">
        <v>293</v>
      </c>
      <c r="I4" s="170" t="s">
        <v>294</v>
      </c>
      <c r="J4" s="170" t="s">
        <v>295</v>
      </c>
      <c r="K4" s="765" t="s">
        <v>296</v>
      </c>
      <c r="L4" s="179"/>
    </row>
    <row r="5" spans="1:12" s="162" customFormat="1" ht="20.25" customHeight="1">
      <c r="A5" s="760" t="s">
        <v>527</v>
      </c>
      <c r="B5" s="184">
        <f>'Cashflow Current'!H11</f>
        <v>3256.79</v>
      </c>
      <c r="C5" s="184">
        <f>'Cashflow Option 1'!I11</f>
        <v>2393.1580027410423</v>
      </c>
      <c r="D5" s="184">
        <f>'Cashflow Option 1'!J11</f>
        <v>2532.5647444396996</v>
      </c>
      <c r="E5" s="184">
        <f>'Cashflow Option 1'!K11</f>
        <v>2680.0928041001916</v>
      </c>
      <c r="F5" s="184">
        <f>'Cashflow Option 1'!L11</f>
        <v>2836.215332307238</v>
      </c>
      <c r="G5" s="184">
        <f>'Cashflow Option 1'!M11</f>
        <v>3001.4330474494791</v>
      </c>
      <c r="H5" s="184">
        <f>'Cashflow Option 1'!N11</f>
        <v>3176.2758420491173</v>
      </c>
      <c r="I5" s="184">
        <f>'Cashflow Option 1'!O11</f>
        <v>3361.304482696059</v>
      </c>
      <c r="J5" s="184">
        <f>'Cashflow Option 1'!P11</f>
        <v>3557.112409041446</v>
      </c>
      <c r="K5" s="766">
        <f>'Cashflow Option 1'!Q11</f>
        <v>3764.3276376234389</v>
      </c>
      <c r="L5" s="179"/>
    </row>
    <row r="6" spans="1:12" s="162" customFormat="1" ht="24.75" customHeight="1">
      <c r="A6" s="760" t="s">
        <v>530</v>
      </c>
      <c r="B6" s="184">
        <f>SUM(B7:B11)</f>
        <v>2822.9294933121873</v>
      </c>
      <c r="C6" s="184">
        <f>'Cashflow Option 1'!I20</f>
        <v>1773.8783569103452</v>
      </c>
      <c r="D6" s="184">
        <f>'Cashflow Option 1'!J20</f>
        <v>1871.5302396180693</v>
      </c>
      <c r="E6" s="184">
        <f>'Cashflow Option 1'!K20</f>
        <v>1974.6022431490962</v>
      </c>
      <c r="F6" s="184">
        <f>'Cashflow Option 1'!L20</f>
        <v>2083.3972966727506</v>
      </c>
      <c r="G6" s="184">
        <f>'Cashflow Option 1'!M20</f>
        <v>2198.2353573965352</v>
      </c>
      <c r="H6" s="184">
        <f>'Cashflow Option 1'!N20</f>
        <v>2319.4543722466615</v>
      </c>
      <c r="I6" s="184">
        <f>'Cashflow Option 1'!O20</f>
        <v>2447.4112940686136</v>
      </c>
      <c r="J6" s="184">
        <f>'Cashflow Option 1'!P20</f>
        <v>2582.4831554481293</v>
      </c>
      <c r="K6" s="766">
        <f>'Cashflow Option 1'!Q20</f>
        <v>2725.0682034297688</v>
      </c>
      <c r="L6" s="179"/>
    </row>
    <row r="7" spans="1:12" s="162" customFormat="1" ht="24.75" customHeight="1">
      <c r="A7" s="1142" t="s">
        <v>524</v>
      </c>
      <c r="B7" s="183">
        <f>'Cashflow Current'!H15</f>
        <v>2419.6827929999999</v>
      </c>
      <c r="C7" s="183">
        <f>'Cashflow Option 1'!I15</f>
        <v>1421.6392860254332</v>
      </c>
      <c r="D7" s="183">
        <f>'Cashflow Option 1'!J15</f>
        <v>1503.4404105433366</v>
      </c>
      <c r="E7" s="183">
        <f>'Cashflow Option 1'!K15</f>
        <v>1589.9483717660003</v>
      </c>
      <c r="F7" s="183">
        <f>'Cashflow Option 1'!L15</f>
        <v>1681.4340010774154</v>
      </c>
      <c r="G7" s="183">
        <f>'Cashflow Option 1'!M15</f>
        <v>1778.18371349941</v>
      </c>
      <c r="H7" s="183">
        <f>'Cashflow Option 1'!N15</f>
        <v>1880.5004043741656</v>
      </c>
      <c r="I7" s="183">
        <f>'Cashflow Option 1'!O15</f>
        <v>1988.7043976418554</v>
      </c>
      <c r="J7" s="183">
        <f>'Cashflow Option 1'!P15</f>
        <v>2103.1344486821672</v>
      </c>
      <c r="K7" s="772">
        <f>'Cashflow Option 1'!Q15</f>
        <v>2224.1488048593387</v>
      </c>
      <c r="L7" s="179"/>
    </row>
    <row r="8" spans="1:12" s="162" customFormat="1" ht="24.75" customHeight="1">
      <c r="A8" s="1142" t="s">
        <v>33</v>
      </c>
      <c r="B8" s="183">
        <f>'Cashflow Current'!H16</f>
        <v>26.91</v>
      </c>
      <c r="C8" s="183">
        <f>'Cashflow Option 1'!I16</f>
        <v>28.120949999999997</v>
      </c>
      <c r="D8" s="183">
        <f>'Cashflow Option 1'!J16</f>
        <v>29.386392749999995</v>
      </c>
      <c r="E8" s="183">
        <f>'Cashflow Option 1'!K16</f>
        <v>30.708780423749996</v>
      </c>
      <c r="F8" s="183">
        <f>'Cashflow Option 1'!L16</f>
        <v>32.090675542818737</v>
      </c>
      <c r="G8" s="183">
        <f>'Cashflow Option 1'!M16</f>
        <v>33.534755942245582</v>
      </c>
      <c r="H8" s="183">
        <f>'Cashflow Option 1'!N16</f>
        <v>35.043819959646619</v>
      </c>
      <c r="I8" s="183">
        <f>'Cashflow Option 1'!O16</f>
        <v>36.620791857830724</v>
      </c>
      <c r="J8" s="183">
        <f>'Cashflow Option 1'!P16</f>
        <v>38.26872749143309</v>
      </c>
      <c r="K8" s="772">
        <f>'Cashflow Option 1'!Q16</f>
        <v>39.990820228547577</v>
      </c>
      <c r="L8" s="179"/>
    </row>
    <row r="9" spans="1:12" s="162" customFormat="1" ht="24.75" customHeight="1">
      <c r="A9" s="1142" t="s">
        <v>20</v>
      </c>
      <c r="B9" s="183">
        <f>'Cashflow Current'!H17</f>
        <v>232.72729202000002</v>
      </c>
      <c r="C9" s="183">
        <f>'Cashflow Option 1'!I17</f>
        <v>208.03330225337001</v>
      </c>
      <c r="D9" s="183">
        <f>'Cashflow Option 1'!J17</f>
        <v>217.39480085477166</v>
      </c>
      <c r="E9" s="183">
        <f>'Cashflow Option 1'!K17</f>
        <v>227.17756689323639</v>
      </c>
      <c r="F9" s="183">
        <f>'Cashflow Option 1'!L17</f>
        <v>237.40055740343195</v>
      </c>
      <c r="G9" s="183">
        <f>'Cashflow Option 1'!M17</f>
        <v>248.08358248658638</v>
      </c>
      <c r="H9" s="183">
        <f>'Cashflow Option 1'!N17</f>
        <v>259.24734369848272</v>
      </c>
      <c r="I9" s="183">
        <f>'Cashflow Option 1'!O17</f>
        <v>270.91347416491448</v>
      </c>
      <c r="J9" s="183">
        <f>'Cashflow Option 1'!P17</f>
        <v>283.10458050233552</v>
      </c>
      <c r="K9" s="772">
        <f>'Cashflow Option 1'!Q17</f>
        <v>295.84428662494059</v>
      </c>
      <c r="L9" s="179"/>
    </row>
    <row r="10" spans="1:12" s="162" customFormat="1" ht="24.75" customHeight="1">
      <c r="A10" s="1142" t="s">
        <v>23</v>
      </c>
      <c r="B10" s="183">
        <f>'Cashflow Current'!H18</f>
        <v>30.538134374999998</v>
      </c>
      <c r="C10" s="183">
        <f>'Cashflow Option 1'!I18</f>
        <v>31.912350421874997</v>
      </c>
      <c r="D10" s="183">
        <f>'Cashflow Option 1'!J18</f>
        <v>33.348406190859365</v>
      </c>
      <c r="E10" s="183">
        <f>'Cashflow Option 1'!K18</f>
        <v>34.849084469448037</v>
      </c>
      <c r="F10" s="183">
        <f>'Cashflow Option 1'!L18</f>
        <v>36.41729327057319</v>
      </c>
      <c r="G10" s="183">
        <f>'Cashflow Option 1'!M18</f>
        <v>38.056071467748986</v>
      </c>
      <c r="H10" s="183">
        <f>'Cashflow Option 1'!N18</f>
        <v>39.76859468379768</v>
      </c>
      <c r="I10" s="183">
        <f>'Cashflow Option 1'!O18</f>
        <v>41.558181444568575</v>
      </c>
      <c r="J10" s="183">
        <f>'Cashflow Option 1'!P18</f>
        <v>43.428299609574154</v>
      </c>
      <c r="K10" s="772">
        <f>'Cashflow Option 1'!Q18</f>
        <v>45.382573092004982</v>
      </c>
      <c r="L10" s="179"/>
    </row>
    <row r="11" spans="1:12" s="162" customFormat="1" ht="24.75" customHeight="1">
      <c r="A11" s="1142" t="s">
        <v>25</v>
      </c>
      <c r="B11" s="183">
        <f>'Cashflow Current'!H19</f>
        <v>113.07127391718751</v>
      </c>
      <c r="C11" s="183">
        <f>'Cashflow Option 1'!I19</f>
        <v>84.172468209666945</v>
      </c>
      <c r="D11" s="183">
        <f>'Cashflow Option 1'!J19</f>
        <v>87.960229279101952</v>
      </c>
      <c r="E11" s="183">
        <f>'Cashflow Option 1'!K19</f>
        <v>91.918439596661543</v>
      </c>
      <c r="F11" s="183">
        <f>'Cashflow Option 1'!L19</f>
        <v>96.054769378511281</v>
      </c>
      <c r="G11" s="183">
        <f>'Cashflow Option 1'!M19</f>
        <v>100.37723400054429</v>
      </c>
      <c r="H11" s="183">
        <f>'Cashflow Option 1'!N19</f>
        <v>104.89420953056876</v>
      </c>
      <c r="I11" s="183">
        <f>'Cashflow Option 1'!O19</f>
        <v>109.61444895944436</v>
      </c>
      <c r="J11" s="183">
        <f>'Cashflow Option 1'!P19</f>
        <v>114.54709916261932</v>
      </c>
      <c r="K11" s="772">
        <f>'Cashflow Option 1'!Q19</f>
        <v>119.70171862493719</v>
      </c>
      <c r="L11" s="179"/>
    </row>
    <row r="12" spans="1:12" ht="12.95" customHeight="1">
      <c r="A12" s="760" t="s">
        <v>32</v>
      </c>
      <c r="B12" s="184">
        <f t="shared" ref="B12:K12" si="0">B5-B6</f>
        <v>433.86050668781263</v>
      </c>
      <c r="C12" s="184">
        <f t="shared" si="0"/>
        <v>619.27964583069706</v>
      </c>
      <c r="D12" s="184">
        <f t="shared" si="0"/>
        <v>661.03450482163021</v>
      </c>
      <c r="E12" s="184">
        <f t="shared" si="0"/>
        <v>705.4905609510954</v>
      </c>
      <c r="F12" s="184">
        <f t="shared" si="0"/>
        <v>752.81803563448739</v>
      </c>
      <c r="G12" s="184">
        <f t="shared" si="0"/>
        <v>803.19769005294393</v>
      </c>
      <c r="H12" s="184">
        <f t="shared" si="0"/>
        <v>856.82146980245579</v>
      </c>
      <c r="I12" s="184">
        <f t="shared" si="0"/>
        <v>913.8931886274454</v>
      </c>
      <c r="J12" s="184">
        <f t="shared" si="0"/>
        <v>974.62925359331666</v>
      </c>
      <c r="K12" s="766">
        <f t="shared" si="0"/>
        <v>1039.2594341936701</v>
      </c>
      <c r="L12" s="180"/>
    </row>
    <row r="13" spans="1:12" s="162" customFormat="1" ht="26.25" customHeight="1">
      <c r="A13" s="760" t="s">
        <v>531</v>
      </c>
      <c r="B13" s="184">
        <f>' Break Evenpoint Current'!$B$14</f>
        <v>176.86750000000001</v>
      </c>
      <c r="C13" s="184">
        <f>' Break Evenpoint Current'!$B$14</f>
        <v>176.86750000000001</v>
      </c>
      <c r="D13" s="184">
        <f>' Break Evenpoint Current'!$B$14</f>
        <v>176.86750000000001</v>
      </c>
      <c r="E13" s="184">
        <f>' Break Evenpoint Current'!$B$14</f>
        <v>176.86750000000001</v>
      </c>
      <c r="F13" s="184">
        <f>' Break Evenpoint Current'!$B$14</f>
        <v>176.86750000000001</v>
      </c>
      <c r="G13" s="184">
        <f>' Break Evenpoint Current'!$B$14</f>
        <v>176.86750000000001</v>
      </c>
      <c r="H13" s="184">
        <f>' Break Evenpoint Current'!$B$14</f>
        <v>176.86750000000001</v>
      </c>
      <c r="I13" s="184">
        <f>' Break Evenpoint Current'!$B$14</f>
        <v>176.86750000000001</v>
      </c>
      <c r="J13" s="184">
        <f>' Break Evenpoint Current'!$B$14</f>
        <v>176.86750000000001</v>
      </c>
      <c r="K13" s="766">
        <f>' Break Evenpoint Current'!$B$14</f>
        <v>176.86750000000001</v>
      </c>
      <c r="L13" s="179"/>
    </row>
    <row r="14" spans="1:12" s="162" customFormat="1" ht="19.5" customHeight="1">
      <c r="A14" s="760" t="s">
        <v>532</v>
      </c>
      <c r="B14" s="184">
        <f>B12-B13</f>
        <v>256.99300668781262</v>
      </c>
      <c r="C14" s="184">
        <f t="shared" ref="C14:K14" si="1">C12-C13</f>
        <v>442.41214583069706</v>
      </c>
      <c r="D14" s="184">
        <f t="shared" si="1"/>
        <v>484.1670048216302</v>
      </c>
      <c r="E14" s="184">
        <f t="shared" si="1"/>
        <v>528.62306095109534</v>
      </c>
      <c r="F14" s="184">
        <f t="shared" si="1"/>
        <v>575.95053563448732</v>
      </c>
      <c r="G14" s="184">
        <f t="shared" si="1"/>
        <v>626.33019005294386</v>
      </c>
      <c r="H14" s="184">
        <f t="shared" si="1"/>
        <v>679.95396980245573</v>
      </c>
      <c r="I14" s="184">
        <f t="shared" si="1"/>
        <v>737.02568862744533</v>
      </c>
      <c r="J14" s="184">
        <f t="shared" si="1"/>
        <v>797.7617535933166</v>
      </c>
      <c r="K14" s="766">
        <f t="shared" si="1"/>
        <v>862.39193419367007</v>
      </c>
      <c r="L14" s="179"/>
    </row>
    <row r="15" spans="1:12" s="162" customFormat="1" ht="20.25" customHeight="1">
      <c r="A15" s="760" t="s">
        <v>326</v>
      </c>
      <c r="B15" s="767">
        <f>B14*0.2517</f>
        <v>64.685139783322427</v>
      </c>
      <c r="C15" s="767">
        <f t="shared" ref="C15:K15" si="2">C14*0.2517</f>
        <v>111.35513710558644</v>
      </c>
      <c r="D15" s="767">
        <f t="shared" si="2"/>
        <v>121.86483511360431</v>
      </c>
      <c r="E15" s="767">
        <f t="shared" si="2"/>
        <v>133.05442444139069</v>
      </c>
      <c r="F15" s="767">
        <f t="shared" si="2"/>
        <v>144.96674981920046</v>
      </c>
      <c r="G15" s="767">
        <f t="shared" si="2"/>
        <v>157.64730883632595</v>
      </c>
      <c r="H15" s="767">
        <f t="shared" si="2"/>
        <v>171.14441419927809</v>
      </c>
      <c r="I15" s="767">
        <f t="shared" si="2"/>
        <v>185.50936582752797</v>
      </c>
      <c r="J15" s="767">
        <f t="shared" si="2"/>
        <v>200.79663337943776</v>
      </c>
      <c r="K15" s="762">
        <f t="shared" si="2"/>
        <v>217.06404983654673</v>
      </c>
      <c r="L15" s="179"/>
    </row>
    <row r="16" spans="1:12">
      <c r="A16" s="761" t="s">
        <v>327</v>
      </c>
      <c r="B16" s="763">
        <f>B14-B15</f>
        <v>192.3078669044902</v>
      </c>
      <c r="C16" s="763">
        <f t="shared" ref="C16:K16" si="3">C14-C15</f>
        <v>331.05700872511062</v>
      </c>
      <c r="D16" s="763">
        <f t="shared" si="3"/>
        <v>362.30216970802587</v>
      </c>
      <c r="E16" s="763">
        <f t="shared" si="3"/>
        <v>395.56863650970467</v>
      </c>
      <c r="F16" s="763">
        <f t="shared" si="3"/>
        <v>430.98378581528686</v>
      </c>
      <c r="G16" s="763">
        <f t="shared" si="3"/>
        <v>468.68288121661794</v>
      </c>
      <c r="H16" s="763">
        <f t="shared" si="3"/>
        <v>508.80955560317761</v>
      </c>
      <c r="I16" s="763">
        <f t="shared" si="3"/>
        <v>551.51632279991736</v>
      </c>
      <c r="J16" s="763">
        <f t="shared" si="3"/>
        <v>596.96512021387889</v>
      </c>
      <c r="K16" s="768">
        <f t="shared" si="3"/>
        <v>645.32788435712337</v>
      </c>
    </row>
    <row r="17" spans="1:11">
      <c r="A17" s="180"/>
      <c r="B17" s="180"/>
      <c r="C17" s="180"/>
      <c r="D17" s="181"/>
      <c r="E17" s="181"/>
      <c r="F17" s="181"/>
      <c r="G17" s="181"/>
      <c r="H17" s="181"/>
      <c r="I17" s="181"/>
      <c r="J17" s="181"/>
      <c r="K17" s="181"/>
    </row>
    <row r="18" spans="1:11">
      <c r="A18" s="180"/>
      <c r="B18" s="180"/>
      <c r="C18" s="180"/>
      <c r="D18" s="181"/>
      <c r="E18" s="181"/>
      <c r="F18" s="181"/>
      <c r="G18" s="181"/>
      <c r="H18" s="181"/>
      <c r="I18" s="181"/>
      <c r="J18" s="181"/>
      <c r="K18" s="181"/>
    </row>
    <row r="19" spans="1:11">
      <c r="A19" s="180"/>
      <c r="B19" s="180"/>
      <c r="C19" s="180"/>
      <c r="D19" s="181"/>
      <c r="E19" s="181"/>
      <c r="F19" s="181"/>
      <c r="G19" s="181"/>
      <c r="H19" s="181"/>
      <c r="I19" s="181"/>
      <c r="J19" s="181"/>
      <c r="K19" s="181"/>
    </row>
    <row r="20" spans="1:11">
      <c r="A20" s="180"/>
      <c r="B20" s="180"/>
      <c r="C20" s="180"/>
      <c r="D20" s="181"/>
      <c r="E20" s="181"/>
      <c r="F20" s="181"/>
      <c r="G20" s="181"/>
      <c r="H20" s="181"/>
      <c r="I20" s="181"/>
      <c r="J20" s="181"/>
      <c r="K20" s="181"/>
    </row>
    <row r="21" spans="1:11">
      <c r="A21" s="180"/>
      <c r="B21" s="180"/>
      <c r="C21" s="180"/>
      <c r="D21" s="181"/>
      <c r="E21" s="181"/>
      <c r="F21" s="181"/>
      <c r="G21" s="181"/>
      <c r="H21" s="181"/>
      <c r="I21" s="181"/>
      <c r="J21" s="181"/>
      <c r="K21" s="181"/>
    </row>
    <row r="22" spans="1:11">
      <c r="A22" s="180"/>
      <c r="B22" s="180"/>
      <c r="C22" s="180"/>
      <c r="D22" s="181"/>
      <c r="E22" s="181"/>
      <c r="F22" s="181"/>
      <c r="G22" s="181"/>
      <c r="H22" s="181"/>
      <c r="I22" s="181"/>
      <c r="J22" s="181"/>
      <c r="K22" s="181"/>
    </row>
    <row r="23" spans="1:11">
      <c r="A23" s="180"/>
      <c r="B23" s="180"/>
      <c r="C23" s="180"/>
      <c r="D23" s="181"/>
      <c r="E23" s="181"/>
      <c r="F23" s="181"/>
      <c r="G23" s="181"/>
      <c r="H23" s="181"/>
      <c r="I23" s="181"/>
      <c r="J23" s="181"/>
      <c r="K23" s="181"/>
    </row>
    <row r="24" spans="1:11">
      <c r="A24" s="180"/>
      <c r="B24" s="180"/>
      <c r="C24" s="180"/>
      <c r="D24" s="181"/>
      <c r="E24" s="181"/>
      <c r="F24" s="181"/>
      <c r="G24" s="181"/>
      <c r="H24" s="181"/>
      <c r="I24" s="181"/>
      <c r="J24" s="181"/>
      <c r="K24" s="181"/>
    </row>
    <row r="25" spans="1:11">
      <c r="A25" s="180"/>
      <c r="B25" s="180"/>
      <c r="C25" s="180"/>
      <c r="D25" s="181"/>
      <c r="E25" s="181"/>
      <c r="F25" s="181"/>
      <c r="G25" s="181"/>
      <c r="H25" s="181"/>
      <c r="I25" s="181"/>
      <c r="J25" s="181"/>
      <c r="K25" s="181"/>
    </row>
    <row r="26" spans="1:11">
      <c r="A26" s="180" t="s">
        <v>297</v>
      </c>
      <c r="B26" s="180"/>
      <c r="C26" s="180"/>
      <c r="D26" s="181"/>
      <c r="E26" s="181"/>
      <c r="F26" s="181"/>
      <c r="G26" s="181"/>
      <c r="H26" s="181"/>
      <c r="I26" s="181"/>
      <c r="J26" s="181"/>
      <c r="K26" s="181"/>
    </row>
    <row r="27" spans="1:11">
      <c r="A27" s="180"/>
      <c r="B27" s="180"/>
      <c r="C27" s="180"/>
      <c r="D27" s="181"/>
      <c r="E27" s="181"/>
      <c r="F27" s="181"/>
      <c r="G27" s="181"/>
      <c r="H27" s="181"/>
      <c r="I27" s="181"/>
      <c r="J27" s="181"/>
      <c r="K27" s="181"/>
    </row>
    <row r="28" spans="1:11">
      <c r="A28" s="180"/>
      <c r="B28" s="180"/>
      <c r="C28" s="180"/>
      <c r="D28" s="181"/>
      <c r="E28" s="181"/>
      <c r="F28" s="181"/>
      <c r="G28" s="181"/>
      <c r="H28" s="181"/>
      <c r="I28" s="181"/>
      <c r="J28" s="181"/>
      <c r="K28" s="181"/>
    </row>
    <row r="29" spans="1:11">
      <c r="A29" s="180"/>
      <c r="B29" s="180"/>
      <c r="C29" s="180"/>
      <c r="D29" s="181"/>
      <c r="E29" s="181"/>
      <c r="F29" s="181"/>
      <c r="G29" s="181"/>
      <c r="H29" s="181"/>
      <c r="I29" s="181"/>
      <c r="J29" s="181"/>
      <c r="K29" s="181"/>
    </row>
    <row r="30" spans="1:11">
      <c r="A30" s="180"/>
      <c r="B30" s="180"/>
      <c r="C30" s="180"/>
      <c r="D30" s="181"/>
      <c r="E30" s="181"/>
      <c r="F30" s="181"/>
      <c r="G30" s="181"/>
      <c r="H30" s="181"/>
      <c r="I30" s="181"/>
      <c r="J30" s="181"/>
      <c r="K30" s="181"/>
    </row>
    <row r="31" spans="1:11">
      <c r="A31" s="180"/>
      <c r="B31" s="180"/>
      <c r="C31" s="180"/>
      <c r="D31" s="181"/>
      <c r="E31" s="181"/>
      <c r="F31" s="181"/>
      <c r="G31" s="181"/>
      <c r="H31" s="181"/>
      <c r="I31" s="181"/>
      <c r="J31" s="181"/>
      <c r="K31" s="181"/>
    </row>
    <row r="32" spans="1:11">
      <c r="A32" s="180"/>
      <c r="B32" s="180"/>
      <c r="C32" s="180"/>
      <c r="D32" s="181"/>
      <c r="E32" s="181"/>
      <c r="F32" s="181"/>
      <c r="G32" s="181"/>
      <c r="H32" s="181"/>
      <c r="I32" s="181"/>
      <c r="J32" s="181"/>
      <c r="K32" s="181"/>
    </row>
    <row r="33" spans="1:11">
      <c r="A33" s="180"/>
      <c r="B33" s="180"/>
      <c r="C33" s="180"/>
      <c r="D33" s="181"/>
      <c r="E33" s="181"/>
      <c r="F33" s="181"/>
      <c r="G33" s="181"/>
      <c r="H33" s="181"/>
      <c r="I33" s="181"/>
      <c r="J33" s="181"/>
      <c r="K33" s="181"/>
    </row>
    <row r="34" spans="1:11">
      <c r="D34" s="182"/>
      <c r="E34" s="182"/>
      <c r="F34" s="182"/>
      <c r="G34" s="182"/>
      <c r="H34" s="182"/>
      <c r="I34" s="182"/>
      <c r="J34" s="182"/>
      <c r="K34" s="182"/>
    </row>
  </sheetData>
  <mergeCells count="2">
    <mergeCell ref="A1:K1"/>
    <mergeCell ref="A3:K3"/>
  </mergeCells>
  <printOptions horizontalCentered="1" gridLines="1"/>
  <pageMargins left="0.75" right="0.75" top="0.66" bottom="0.28999999999999998" header="0.23" footer="0.44"/>
  <pageSetup paperSize="9" scale="78" orientation="landscape"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BD15D-7998-4A27-B717-C53D0E293301}">
  <sheetPr codeName="Sheet34"/>
  <dimension ref="A1:G24"/>
  <sheetViews>
    <sheetView showGridLines="0" workbookViewId="0">
      <selection activeCell="D13" sqref="D13"/>
    </sheetView>
  </sheetViews>
  <sheetFormatPr defaultRowHeight="15"/>
  <cols>
    <col min="1" max="1" width="9.140625" style="5"/>
    <col min="2" max="2" width="63.7109375" style="5" bestFit="1" customWidth="1"/>
    <col min="3" max="3" width="14.85546875" style="5" bestFit="1" customWidth="1"/>
    <col min="4" max="4" width="19.28515625" style="5" bestFit="1" customWidth="1"/>
    <col min="5" max="16384" width="9.140625" style="5"/>
  </cols>
  <sheetData>
    <row r="1" spans="2:7">
      <c r="B1" s="1479" t="s">
        <v>664</v>
      </c>
      <c r="C1" s="1480"/>
      <c r="D1" s="1480"/>
      <c r="E1" s="1480"/>
      <c r="F1" s="1480"/>
      <c r="G1" s="1481"/>
    </row>
    <row r="2" spans="2:7">
      <c r="B2" s="760" t="s">
        <v>286</v>
      </c>
      <c r="C2" s="3"/>
      <c r="D2" s="206">
        <v>1</v>
      </c>
      <c r="E2" s="206">
        <v>1</v>
      </c>
      <c r="F2" s="206">
        <v>1</v>
      </c>
      <c r="G2" s="764">
        <v>1</v>
      </c>
    </row>
    <row r="3" spans="2:7">
      <c r="B3" s="1482" t="s">
        <v>298</v>
      </c>
      <c r="C3" s="1483"/>
      <c r="D3" s="1483"/>
      <c r="E3" s="1483"/>
      <c r="F3" s="1483"/>
      <c r="G3" s="1484"/>
    </row>
    <row r="4" spans="2:7">
      <c r="B4" s="760"/>
      <c r="C4" s="170" t="s">
        <v>287</v>
      </c>
      <c r="D4" s="785">
        <v>1</v>
      </c>
      <c r="E4" s="785">
        <v>2</v>
      </c>
      <c r="F4" s="785">
        <v>3</v>
      </c>
      <c r="G4" s="588">
        <v>4</v>
      </c>
    </row>
    <row r="5" spans="2:7">
      <c r="B5" s="760" t="s">
        <v>527</v>
      </c>
      <c r="C5" s="184">
        <f>'Profitability Current'!B5</f>
        <v>3256.79</v>
      </c>
      <c r="D5" s="184">
        <f>C5-C5*0.11</f>
        <v>2898.5430999999999</v>
      </c>
      <c r="E5" s="184">
        <f>'Cashflow Option 1'!K11</f>
        <v>2680.0928041001916</v>
      </c>
      <c r="F5" s="184">
        <f>C5-C5*0.05</f>
        <v>3093.9504999999999</v>
      </c>
      <c r="G5" s="766">
        <f>'Cashflow Option 1'!K11</f>
        <v>2680.0928041001916</v>
      </c>
    </row>
    <row r="6" spans="2:7">
      <c r="B6" s="760" t="s">
        <v>530</v>
      </c>
      <c r="C6" s="184">
        <f>'Profitability Current'!B6</f>
        <v>2822.9294933121873</v>
      </c>
      <c r="D6" s="184">
        <f>SUM(D7:D11)</f>
        <v>2822.9294933121873</v>
      </c>
      <c r="E6" s="184">
        <f>SUM(E7:E11)</f>
        <v>3222.1771541571875</v>
      </c>
      <c r="F6" s="184">
        <f>SUM(F7:F11)</f>
        <v>3040.7009446821871</v>
      </c>
      <c r="G6" s="766">
        <f>C6+C6*0.145</f>
        <v>3232.2542698424545</v>
      </c>
    </row>
    <row r="7" spans="2:7">
      <c r="B7" s="1142" t="s">
        <v>524</v>
      </c>
      <c r="C7" s="184">
        <f>'Profitability Current'!B7</f>
        <v>2419.6827929999999</v>
      </c>
      <c r="D7" s="183">
        <f>C7</f>
        <v>2419.6827929999999</v>
      </c>
      <c r="E7" s="183">
        <f>C7+C7*0.165</f>
        <v>2818.9304538450001</v>
      </c>
      <c r="F7" s="183">
        <f>C7+C7*0.09</f>
        <v>2637.4542443699997</v>
      </c>
      <c r="G7" s="772">
        <f>C7</f>
        <v>2419.6827929999999</v>
      </c>
    </row>
    <row r="8" spans="2:7">
      <c r="B8" s="1142" t="s">
        <v>33</v>
      </c>
      <c r="C8" s="184">
        <f>'Profitability Current'!B8</f>
        <v>26.91</v>
      </c>
      <c r="D8" s="183">
        <f>C8</f>
        <v>26.91</v>
      </c>
      <c r="E8" s="183">
        <f t="shared" ref="E8:G8" si="0">D8</f>
        <v>26.91</v>
      </c>
      <c r="F8" s="183">
        <f t="shared" si="0"/>
        <v>26.91</v>
      </c>
      <c r="G8" s="772">
        <f t="shared" si="0"/>
        <v>26.91</v>
      </c>
    </row>
    <row r="9" spans="2:7">
      <c r="B9" s="1142" t="s">
        <v>20</v>
      </c>
      <c r="C9" s="184">
        <f>'Profitability Current'!B9</f>
        <v>232.72729202000002</v>
      </c>
      <c r="D9" s="183">
        <f>C9</f>
        <v>232.72729202000002</v>
      </c>
      <c r="E9" s="183">
        <f t="shared" ref="E9:G9" si="1">D9</f>
        <v>232.72729202000002</v>
      </c>
      <c r="F9" s="183">
        <f t="shared" si="1"/>
        <v>232.72729202000002</v>
      </c>
      <c r="G9" s="772">
        <f t="shared" si="1"/>
        <v>232.72729202000002</v>
      </c>
    </row>
    <row r="10" spans="2:7">
      <c r="B10" s="1142" t="s">
        <v>23</v>
      </c>
      <c r="C10" s="184">
        <f>'Profitability Current'!B10</f>
        <v>30.538134374999998</v>
      </c>
      <c r="D10" s="183">
        <f>C10</f>
        <v>30.538134374999998</v>
      </c>
      <c r="E10" s="183">
        <f t="shared" ref="E10:G10" si="2">D10</f>
        <v>30.538134374999998</v>
      </c>
      <c r="F10" s="183">
        <f t="shared" si="2"/>
        <v>30.538134374999998</v>
      </c>
      <c r="G10" s="772">
        <f t="shared" si="2"/>
        <v>30.538134374999998</v>
      </c>
    </row>
    <row r="11" spans="2:7">
      <c r="B11" s="1142" t="s">
        <v>25</v>
      </c>
      <c r="C11" s="184">
        <f>'Profitability Current'!B11</f>
        <v>113.07127391718751</v>
      </c>
      <c r="D11" s="183">
        <f>C11</f>
        <v>113.07127391718751</v>
      </c>
      <c r="E11" s="183">
        <f t="shared" ref="E11:G11" si="3">D11</f>
        <v>113.07127391718751</v>
      </c>
      <c r="F11" s="183">
        <f t="shared" si="3"/>
        <v>113.07127391718751</v>
      </c>
      <c r="G11" s="772">
        <f t="shared" si="3"/>
        <v>113.07127391718751</v>
      </c>
    </row>
    <row r="12" spans="2:7">
      <c r="B12" s="760" t="s">
        <v>32</v>
      </c>
      <c r="C12" s="184">
        <f>'Profitability Current'!B12</f>
        <v>433.86050668781263</v>
      </c>
      <c r="D12" s="184">
        <f>D5-D6</f>
        <v>75.613606687812535</v>
      </c>
      <c r="E12" s="184">
        <f>E5-E6</f>
        <v>-542.08435005699585</v>
      </c>
      <c r="F12" s="184">
        <f>F5-F6</f>
        <v>53.249555317812792</v>
      </c>
      <c r="G12" s="766">
        <f>G5-G6</f>
        <v>-552.16146574226286</v>
      </c>
    </row>
    <row r="13" spans="2:7">
      <c r="B13" s="760" t="s">
        <v>531</v>
      </c>
      <c r="C13" s="184">
        <f>'Profitability Current'!B13</f>
        <v>176.86750000000001</v>
      </c>
      <c r="D13" s="184">
        <f>' Break Evenpoint Current'!$B$14</f>
        <v>176.86750000000001</v>
      </c>
      <c r="E13" s="184">
        <f>' Break Evenpoint Current'!$B$14</f>
        <v>176.86750000000001</v>
      </c>
      <c r="F13" s="184">
        <f>' Break Evenpoint Current'!$B$14</f>
        <v>176.86750000000001</v>
      </c>
      <c r="G13" s="766">
        <f>' Break Evenpoint Current'!$B$14</f>
        <v>176.86750000000001</v>
      </c>
    </row>
    <row r="14" spans="2:7">
      <c r="B14" s="760" t="s">
        <v>532</v>
      </c>
      <c r="C14" s="184">
        <f>'Profitability Current'!B14</f>
        <v>256.99300668781262</v>
      </c>
      <c r="D14" s="184">
        <f>D12-D13</f>
        <v>-101.25389331218747</v>
      </c>
      <c r="E14" s="184">
        <f>E12-E13</f>
        <v>-718.95185005699591</v>
      </c>
      <c r="F14" s="184">
        <f>F12-F13</f>
        <v>-123.61794468218721</v>
      </c>
      <c r="G14" s="766">
        <f>G12-G13</f>
        <v>-729.02896574226293</v>
      </c>
    </row>
    <row r="15" spans="2:7">
      <c r="B15" s="760" t="s">
        <v>326</v>
      </c>
      <c r="C15" s="184">
        <f>'Profitability Current'!B15</f>
        <v>64.685139783322427</v>
      </c>
      <c r="D15" s="767">
        <f>D14*0.2517</f>
        <v>-25.485604946677583</v>
      </c>
      <c r="E15" s="767">
        <f>E14*0.2517</f>
        <v>-180.96018065934587</v>
      </c>
      <c r="F15" s="767">
        <f>F14*0.2517</f>
        <v>-31.114636676506521</v>
      </c>
      <c r="G15" s="762">
        <f>G14*0.2517</f>
        <v>-183.49659067732756</v>
      </c>
    </row>
    <row r="16" spans="2:7">
      <c r="B16" s="761" t="s">
        <v>327</v>
      </c>
      <c r="C16" s="829">
        <f>'Profitability Current'!B16</f>
        <v>192.3078669044902</v>
      </c>
      <c r="D16" s="763">
        <f t="shared" ref="D16:G16" si="4">D14-D15</f>
        <v>-75.768288365509889</v>
      </c>
      <c r="E16" s="763">
        <f t="shared" si="4"/>
        <v>-537.99166939765007</v>
      </c>
      <c r="F16" s="763">
        <f t="shared" si="4"/>
        <v>-92.503308005680694</v>
      </c>
      <c r="G16" s="768">
        <f t="shared" si="4"/>
        <v>-545.53237506493542</v>
      </c>
    </row>
    <row r="17" spans="1:7">
      <c r="D17" s="786"/>
      <c r="E17" s="786"/>
      <c r="F17" s="786"/>
      <c r="G17" s="786"/>
    </row>
    <row r="18" spans="1:7">
      <c r="A18" s="773" t="s">
        <v>122</v>
      </c>
      <c r="B18" s="1485" t="s">
        <v>480</v>
      </c>
      <c r="C18" s="1486"/>
      <c r="D18" s="1486"/>
    </row>
    <row r="19" spans="1:7">
      <c r="A19" s="774"/>
      <c r="B19" s="775" t="s">
        <v>481</v>
      </c>
      <c r="C19" s="776" t="s">
        <v>327</v>
      </c>
      <c r="D19" s="777" t="s">
        <v>537</v>
      </c>
    </row>
    <row r="20" spans="1:7">
      <c r="A20" s="778"/>
      <c r="B20" s="779" t="s">
        <v>538</v>
      </c>
      <c r="C20" s="780">
        <f>C16</f>
        <v>192.3078669044902</v>
      </c>
      <c r="D20" s="781" t="s">
        <v>539</v>
      </c>
    </row>
    <row r="21" spans="1:7">
      <c r="A21" s="778">
        <v>1</v>
      </c>
      <c r="B21" s="779" t="s">
        <v>484</v>
      </c>
      <c r="C21" s="782">
        <f>D16</f>
        <v>-75.768288365509889</v>
      </c>
      <c r="D21" s="1143">
        <f>(C21-$C$20)/$C$20</f>
        <v>-1.3939947417915057</v>
      </c>
    </row>
    <row r="22" spans="1:7">
      <c r="A22" s="778">
        <v>2</v>
      </c>
      <c r="B22" s="779" t="s">
        <v>485</v>
      </c>
      <c r="C22" s="782">
        <f>E16</f>
        <v>-537.99166939765007</v>
      </c>
      <c r="D22" s="1143">
        <f t="shared" ref="D22:D24" si="5">(C22-$C$20)/$C$20</f>
        <v>-3.7975541409590066</v>
      </c>
    </row>
    <row r="23" spans="1:7">
      <c r="A23" s="778">
        <v>3</v>
      </c>
      <c r="B23" s="779" t="s">
        <v>486</v>
      </c>
      <c r="C23" s="782">
        <f>F16</f>
        <v>-92.503308005680694</v>
      </c>
      <c r="D23" s="1143">
        <f t="shared" si="5"/>
        <v>-1.4810167649128079</v>
      </c>
    </row>
    <row r="24" spans="1:7">
      <c r="A24" s="783">
        <v>4</v>
      </c>
      <c r="B24" s="784" t="s">
        <v>487</v>
      </c>
      <c r="C24" s="719">
        <f>G16</f>
        <v>-545.53237506493542</v>
      </c>
      <c r="D24" s="1144">
        <f t="shared" si="5"/>
        <v>-3.8367657748285167</v>
      </c>
    </row>
  </sheetData>
  <mergeCells count="3">
    <mergeCell ref="B1:G1"/>
    <mergeCell ref="B3:G3"/>
    <mergeCell ref="B18:D1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AFF08-9BE7-4339-9CD7-3B329C069257}">
  <sheetPr codeName="Sheet35"/>
  <dimension ref="A1:L18"/>
  <sheetViews>
    <sheetView showGridLines="0" showRowColHeaders="0" zoomScaleNormal="100" zoomScaleSheetLayoutView="100" workbookViewId="0">
      <selection activeCell="C6" sqref="C6"/>
    </sheetView>
  </sheetViews>
  <sheetFormatPr defaultRowHeight="12.75"/>
  <cols>
    <col min="1" max="1" width="49.140625" style="147" customWidth="1"/>
    <col min="2" max="2" width="20.7109375" style="147" customWidth="1"/>
    <col min="3" max="3" width="9.140625" style="147"/>
    <col min="4" max="4" width="11.85546875" style="147" customWidth="1"/>
    <col min="5" max="5" width="11.7109375" style="147" customWidth="1"/>
    <col min="6" max="6" width="12.42578125" style="147" customWidth="1"/>
    <col min="7" max="7" width="13.42578125" style="147" customWidth="1"/>
    <col min="8" max="256" width="9.140625" style="147"/>
    <col min="257" max="257" width="49.140625" style="147" customWidth="1"/>
    <col min="258" max="258" width="20.7109375" style="147" customWidth="1"/>
    <col min="259" max="259" width="9.140625" style="147"/>
    <col min="260" max="260" width="11.85546875" style="147" customWidth="1"/>
    <col min="261" max="261" width="11.7109375" style="147" customWidth="1"/>
    <col min="262" max="262" width="12.42578125" style="147" customWidth="1"/>
    <col min="263" max="263" width="13.42578125" style="147" customWidth="1"/>
    <col min="264" max="512" width="9.140625" style="147"/>
    <col min="513" max="513" width="49.140625" style="147" customWidth="1"/>
    <col min="514" max="514" width="20.7109375" style="147" customWidth="1"/>
    <col min="515" max="515" width="9.140625" style="147"/>
    <col min="516" max="516" width="11.85546875" style="147" customWidth="1"/>
    <col min="517" max="517" width="11.7109375" style="147" customWidth="1"/>
    <col min="518" max="518" width="12.42578125" style="147" customWidth="1"/>
    <col min="519" max="519" width="13.42578125" style="147" customWidth="1"/>
    <col min="520" max="768" width="9.140625" style="147"/>
    <col min="769" max="769" width="49.140625" style="147" customWidth="1"/>
    <col min="770" max="770" width="20.7109375" style="147" customWidth="1"/>
    <col min="771" max="771" width="9.140625" style="147"/>
    <col min="772" max="772" width="11.85546875" style="147" customWidth="1"/>
    <col min="773" max="773" width="11.7109375" style="147" customWidth="1"/>
    <col min="774" max="774" width="12.42578125" style="147" customWidth="1"/>
    <col min="775" max="775" width="13.42578125" style="147" customWidth="1"/>
    <col min="776" max="1024" width="9.140625" style="147"/>
    <col min="1025" max="1025" width="49.140625" style="147" customWidth="1"/>
    <col min="1026" max="1026" width="20.7109375" style="147" customWidth="1"/>
    <col min="1027" max="1027" width="9.140625" style="147"/>
    <col min="1028" max="1028" width="11.85546875" style="147" customWidth="1"/>
    <col min="1029" max="1029" width="11.7109375" style="147" customWidth="1"/>
    <col min="1030" max="1030" width="12.42578125" style="147" customWidth="1"/>
    <col min="1031" max="1031" width="13.42578125" style="147" customWidth="1"/>
    <col min="1032" max="1280" width="9.140625" style="147"/>
    <col min="1281" max="1281" width="49.140625" style="147" customWidth="1"/>
    <col min="1282" max="1282" width="20.7109375" style="147" customWidth="1"/>
    <col min="1283" max="1283" width="9.140625" style="147"/>
    <col min="1284" max="1284" width="11.85546875" style="147" customWidth="1"/>
    <col min="1285" max="1285" width="11.7109375" style="147" customWidth="1"/>
    <col min="1286" max="1286" width="12.42578125" style="147" customWidth="1"/>
    <col min="1287" max="1287" width="13.42578125" style="147" customWidth="1"/>
    <col min="1288" max="1536" width="9.140625" style="147"/>
    <col min="1537" max="1537" width="49.140625" style="147" customWidth="1"/>
    <col min="1538" max="1538" width="20.7109375" style="147" customWidth="1"/>
    <col min="1539" max="1539" width="9.140625" style="147"/>
    <col min="1540" max="1540" width="11.85546875" style="147" customWidth="1"/>
    <col min="1541" max="1541" width="11.7109375" style="147" customWidth="1"/>
    <col min="1542" max="1542" width="12.42578125" style="147" customWidth="1"/>
    <col min="1543" max="1543" width="13.42578125" style="147" customWidth="1"/>
    <col min="1544" max="1792" width="9.140625" style="147"/>
    <col min="1793" max="1793" width="49.140625" style="147" customWidth="1"/>
    <col min="1794" max="1794" width="20.7109375" style="147" customWidth="1"/>
    <col min="1795" max="1795" width="9.140625" style="147"/>
    <col min="1796" max="1796" width="11.85546875" style="147" customWidth="1"/>
    <col min="1797" max="1797" width="11.7109375" style="147" customWidth="1"/>
    <col min="1798" max="1798" width="12.42578125" style="147" customWidth="1"/>
    <col min="1799" max="1799" width="13.42578125" style="147" customWidth="1"/>
    <col min="1800" max="2048" width="9.140625" style="147"/>
    <col min="2049" max="2049" width="49.140625" style="147" customWidth="1"/>
    <col min="2050" max="2050" width="20.7109375" style="147" customWidth="1"/>
    <col min="2051" max="2051" width="9.140625" style="147"/>
    <col min="2052" max="2052" width="11.85546875" style="147" customWidth="1"/>
    <col min="2053" max="2053" width="11.7109375" style="147" customWidth="1"/>
    <col min="2054" max="2054" width="12.42578125" style="147" customWidth="1"/>
    <col min="2055" max="2055" width="13.42578125" style="147" customWidth="1"/>
    <col min="2056" max="2304" width="9.140625" style="147"/>
    <col min="2305" max="2305" width="49.140625" style="147" customWidth="1"/>
    <col min="2306" max="2306" width="20.7109375" style="147" customWidth="1"/>
    <col min="2307" max="2307" width="9.140625" style="147"/>
    <col min="2308" max="2308" width="11.85546875" style="147" customWidth="1"/>
    <col min="2309" max="2309" width="11.7109375" style="147" customWidth="1"/>
    <col min="2310" max="2310" width="12.42578125" style="147" customWidth="1"/>
    <col min="2311" max="2311" width="13.42578125" style="147" customWidth="1"/>
    <col min="2312" max="2560" width="9.140625" style="147"/>
    <col min="2561" max="2561" width="49.140625" style="147" customWidth="1"/>
    <col min="2562" max="2562" width="20.7109375" style="147" customWidth="1"/>
    <col min="2563" max="2563" width="9.140625" style="147"/>
    <col min="2564" max="2564" width="11.85546875" style="147" customWidth="1"/>
    <col min="2565" max="2565" width="11.7109375" style="147" customWidth="1"/>
    <col min="2566" max="2566" width="12.42578125" style="147" customWidth="1"/>
    <col min="2567" max="2567" width="13.42578125" style="147" customWidth="1"/>
    <col min="2568" max="2816" width="9.140625" style="147"/>
    <col min="2817" max="2817" width="49.140625" style="147" customWidth="1"/>
    <col min="2818" max="2818" width="20.7109375" style="147" customWidth="1"/>
    <col min="2819" max="2819" width="9.140625" style="147"/>
    <col min="2820" max="2820" width="11.85546875" style="147" customWidth="1"/>
    <col min="2821" max="2821" width="11.7109375" style="147" customWidth="1"/>
    <col min="2822" max="2822" width="12.42578125" style="147" customWidth="1"/>
    <col min="2823" max="2823" width="13.42578125" style="147" customWidth="1"/>
    <col min="2824" max="3072" width="9.140625" style="147"/>
    <col min="3073" max="3073" width="49.140625" style="147" customWidth="1"/>
    <col min="3074" max="3074" width="20.7109375" style="147" customWidth="1"/>
    <col min="3075" max="3075" width="9.140625" style="147"/>
    <col min="3076" max="3076" width="11.85546875" style="147" customWidth="1"/>
    <col min="3077" max="3077" width="11.7109375" style="147" customWidth="1"/>
    <col min="3078" max="3078" width="12.42578125" style="147" customWidth="1"/>
    <col min="3079" max="3079" width="13.42578125" style="147" customWidth="1"/>
    <col min="3080" max="3328" width="9.140625" style="147"/>
    <col min="3329" max="3329" width="49.140625" style="147" customWidth="1"/>
    <col min="3330" max="3330" width="20.7109375" style="147" customWidth="1"/>
    <col min="3331" max="3331" width="9.140625" style="147"/>
    <col min="3332" max="3332" width="11.85546875" style="147" customWidth="1"/>
    <col min="3333" max="3333" width="11.7109375" style="147" customWidth="1"/>
    <col min="3334" max="3334" width="12.42578125" style="147" customWidth="1"/>
    <col min="3335" max="3335" width="13.42578125" style="147" customWidth="1"/>
    <col min="3336" max="3584" width="9.140625" style="147"/>
    <col min="3585" max="3585" width="49.140625" style="147" customWidth="1"/>
    <col min="3586" max="3586" width="20.7109375" style="147" customWidth="1"/>
    <col min="3587" max="3587" width="9.140625" style="147"/>
    <col min="3588" max="3588" width="11.85546875" style="147" customWidth="1"/>
    <col min="3589" max="3589" width="11.7109375" style="147" customWidth="1"/>
    <col min="3590" max="3590" width="12.42578125" style="147" customWidth="1"/>
    <col min="3591" max="3591" width="13.42578125" style="147" customWidth="1"/>
    <col min="3592" max="3840" width="9.140625" style="147"/>
    <col min="3841" max="3841" width="49.140625" style="147" customWidth="1"/>
    <col min="3842" max="3842" width="20.7109375" style="147" customWidth="1"/>
    <col min="3843" max="3843" width="9.140625" style="147"/>
    <col min="3844" max="3844" width="11.85546875" style="147" customWidth="1"/>
    <col min="3845" max="3845" width="11.7109375" style="147" customWidth="1"/>
    <col min="3846" max="3846" width="12.42578125" style="147" customWidth="1"/>
    <col min="3847" max="3847" width="13.42578125" style="147" customWidth="1"/>
    <col min="3848" max="4096" width="9.140625" style="147"/>
    <col min="4097" max="4097" width="49.140625" style="147" customWidth="1"/>
    <col min="4098" max="4098" width="20.7109375" style="147" customWidth="1"/>
    <col min="4099" max="4099" width="9.140625" style="147"/>
    <col min="4100" max="4100" width="11.85546875" style="147" customWidth="1"/>
    <col min="4101" max="4101" width="11.7109375" style="147" customWidth="1"/>
    <col min="4102" max="4102" width="12.42578125" style="147" customWidth="1"/>
    <col min="4103" max="4103" width="13.42578125" style="147" customWidth="1"/>
    <col min="4104" max="4352" width="9.140625" style="147"/>
    <col min="4353" max="4353" width="49.140625" style="147" customWidth="1"/>
    <col min="4354" max="4354" width="20.7109375" style="147" customWidth="1"/>
    <col min="4355" max="4355" width="9.140625" style="147"/>
    <col min="4356" max="4356" width="11.85546875" style="147" customWidth="1"/>
    <col min="4357" max="4357" width="11.7109375" style="147" customWidth="1"/>
    <col min="4358" max="4358" width="12.42578125" style="147" customWidth="1"/>
    <col min="4359" max="4359" width="13.42578125" style="147" customWidth="1"/>
    <col min="4360" max="4608" width="9.140625" style="147"/>
    <col min="4609" max="4609" width="49.140625" style="147" customWidth="1"/>
    <col min="4610" max="4610" width="20.7109375" style="147" customWidth="1"/>
    <col min="4611" max="4611" width="9.140625" style="147"/>
    <col min="4612" max="4612" width="11.85546875" style="147" customWidth="1"/>
    <col min="4613" max="4613" width="11.7109375" style="147" customWidth="1"/>
    <col min="4614" max="4614" width="12.42578125" style="147" customWidth="1"/>
    <col min="4615" max="4615" width="13.42578125" style="147" customWidth="1"/>
    <col min="4616" max="4864" width="9.140625" style="147"/>
    <col min="4865" max="4865" width="49.140625" style="147" customWidth="1"/>
    <col min="4866" max="4866" width="20.7109375" style="147" customWidth="1"/>
    <col min="4867" max="4867" width="9.140625" style="147"/>
    <col min="4868" max="4868" width="11.85546875" style="147" customWidth="1"/>
    <col min="4869" max="4869" width="11.7109375" style="147" customWidth="1"/>
    <col min="4870" max="4870" width="12.42578125" style="147" customWidth="1"/>
    <col min="4871" max="4871" width="13.42578125" style="147" customWidth="1"/>
    <col min="4872" max="5120" width="9.140625" style="147"/>
    <col min="5121" max="5121" width="49.140625" style="147" customWidth="1"/>
    <col min="5122" max="5122" width="20.7109375" style="147" customWidth="1"/>
    <col min="5123" max="5123" width="9.140625" style="147"/>
    <col min="5124" max="5124" width="11.85546875" style="147" customWidth="1"/>
    <col min="5125" max="5125" width="11.7109375" style="147" customWidth="1"/>
    <col min="5126" max="5126" width="12.42578125" style="147" customWidth="1"/>
    <col min="5127" max="5127" width="13.42578125" style="147" customWidth="1"/>
    <col min="5128" max="5376" width="9.140625" style="147"/>
    <col min="5377" max="5377" width="49.140625" style="147" customWidth="1"/>
    <col min="5378" max="5378" width="20.7109375" style="147" customWidth="1"/>
    <col min="5379" max="5379" width="9.140625" style="147"/>
    <col min="5380" max="5380" width="11.85546875" style="147" customWidth="1"/>
    <col min="5381" max="5381" width="11.7109375" style="147" customWidth="1"/>
    <col min="5382" max="5382" width="12.42578125" style="147" customWidth="1"/>
    <col min="5383" max="5383" width="13.42578125" style="147" customWidth="1"/>
    <col min="5384" max="5632" width="9.140625" style="147"/>
    <col min="5633" max="5633" width="49.140625" style="147" customWidth="1"/>
    <col min="5634" max="5634" width="20.7109375" style="147" customWidth="1"/>
    <col min="5635" max="5635" width="9.140625" style="147"/>
    <col min="5636" max="5636" width="11.85546875" style="147" customWidth="1"/>
    <col min="5637" max="5637" width="11.7109375" style="147" customWidth="1"/>
    <col min="5638" max="5638" width="12.42578125" style="147" customWidth="1"/>
    <col min="5639" max="5639" width="13.42578125" style="147" customWidth="1"/>
    <col min="5640" max="5888" width="9.140625" style="147"/>
    <col min="5889" max="5889" width="49.140625" style="147" customWidth="1"/>
    <col min="5890" max="5890" width="20.7109375" style="147" customWidth="1"/>
    <col min="5891" max="5891" width="9.140625" style="147"/>
    <col min="5892" max="5892" width="11.85546875" style="147" customWidth="1"/>
    <col min="5893" max="5893" width="11.7109375" style="147" customWidth="1"/>
    <col min="5894" max="5894" width="12.42578125" style="147" customWidth="1"/>
    <col min="5895" max="5895" width="13.42578125" style="147" customWidth="1"/>
    <col min="5896" max="6144" width="9.140625" style="147"/>
    <col min="6145" max="6145" width="49.140625" style="147" customWidth="1"/>
    <col min="6146" max="6146" width="20.7109375" style="147" customWidth="1"/>
    <col min="6147" max="6147" width="9.140625" style="147"/>
    <col min="6148" max="6148" width="11.85546875" style="147" customWidth="1"/>
    <col min="6149" max="6149" width="11.7109375" style="147" customWidth="1"/>
    <col min="6150" max="6150" width="12.42578125" style="147" customWidth="1"/>
    <col min="6151" max="6151" width="13.42578125" style="147" customWidth="1"/>
    <col min="6152" max="6400" width="9.140625" style="147"/>
    <col min="6401" max="6401" width="49.140625" style="147" customWidth="1"/>
    <col min="6402" max="6402" width="20.7109375" style="147" customWidth="1"/>
    <col min="6403" max="6403" width="9.140625" style="147"/>
    <col min="6404" max="6404" width="11.85546875" style="147" customWidth="1"/>
    <col min="6405" max="6405" width="11.7109375" style="147" customWidth="1"/>
    <col min="6406" max="6406" width="12.42578125" style="147" customWidth="1"/>
    <col min="6407" max="6407" width="13.42578125" style="147" customWidth="1"/>
    <col min="6408" max="6656" width="9.140625" style="147"/>
    <col min="6657" max="6657" width="49.140625" style="147" customWidth="1"/>
    <col min="6658" max="6658" width="20.7109375" style="147" customWidth="1"/>
    <col min="6659" max="6659" width="9.140625" style="147"/>
    <col min="6660" max="6660" width="11.85546875" style="147" customWidth="1"/>
    <col min="6661" max="6661" width="11.7109375" style="147" customWidth="1"/>
    <col min="6662" max="6662" width="12.42578125" style="147" customWidth="1"/>
    <col min="6663" max="6663" width="13.42578125" style="147" customWidth="1"/>
    <col min="6664" max="6912" width="9.140625" style="147"/>
    <col min="6913" max="6913" width="49.140625" style="147" customWidth="1"/>
    <col min="6914" max="6914" width="20.7109375" style="147" customWidth="1"/>
    <col min="6915" max="6915" width="9.140625" style="147"/>
    <col min="6916" max="6916" width="11.85546875" style="147" customWidth="1"/>
    <col min="6917" max="6917" width="11.7109375" style="147" customWidth="1"/>
    <col min="6918" max="6918" width="12.42578125" style="147" customWidth="1"/>
    <col min="6919" max="6919" width="13.42578125" style="147" customWidth="1"/>
    <col min="6920" max="7168" width="9.140625" style="147"/>
    <col min="7169" max="7169" width="49.140625" style="147" customWidth="1"/>
    <col min="7170" max="7170" width="20.7109375" style="147" customWidth="1"/>
    <col min="7171" max="7171" width="9.140625" style="147"/>
    <col min="7172" max="7172" width="11.85546875" style="147" customWidth="1"/>
    <col min="7173" max="7173" width="11.7109375" style="147" customWidth="1"/>
    <col min="7174" max="7174" width="12.42578125" style="147" customWidth="1"/>
    <col min="7175" max="7175" width="13.42578125" style="147" customWidth="1"/>
    <col min="7176" max="7424" width="9.140625" style="147"/>
    <col min="7425" max="7425" width="49.140625" style="147" customWidth="1"/>
    <col min="7426" max="7426" width="20.7109375" style="147" customWidth="1"/>
    <col min="7427" max="7427" width="9.140625" style="147"/>
    <col min="7428" max="7428" width="11.85546875" style="147" customWidth="1"/>
    <col min="7429" max="7429" width="11.7109375" style="147" customWidth="1"/>
    <col min="7430" max="7430" width="12.42578125" style="147" customWidth="1"/>
    <col min="7431" max="7431" width="13.42578125" style="147" customWidth="1"/>
    <col min="7432" max="7680" width="9.140625" style="147"/>
    <col min="7681" max="7681" width="49.140625" style="147" customWidth="1"/>
    <col min="7682" max="7682" width="20.7109375" style="147" customWidth="1"/>
    <col min="7683" max="7683" width="9.140625" style="147"/>
    <col min="7684" max="7684" width="11.85546875" style="147" customWidth="1"/>
    <col min="7685" max="7685" width="11.7109375" style="147" customWidth="1"/>
    <col min="7686" max="7686" width="12.42578125" style="147" customWidth="1"/>
    <col min="7687" max="7687" width="13.42578125" style="147" customWidth="1"/>
    <col min="7688" max="7936" width="9.140625" style="147"/>
    <col min="7937" max="7937" width="49.140625" style="147" customWidth="1"/>
    <col min="7938" max="7938" width="20.7109375" style="147" customWidth="1"/>
    <col min="7939" max="7939" width="9.140625" style="147"/>
    <col min="7940" max="7940" width="11.85546875" style="147" customWidth="1"/>
    <col min="7941" max="7941" width="11.7109375" style="147" customWidth="1"/>
    <col min="7942" max="7942" width="12.42578125" style="147" customWidth="1"/>
    <col min="7943" max="7943" width="13.42578125" style="147" customWidth="1"/>
    <col min="7944" max="8192" width="9.140625" style="147"/>
    <col min="8193" max="8193" width="49.140625" style="147" customWidth="1"/>
    <col min="8194" max="8194" width="20.7109375" style="147" customWidth="1"/>
    <col min="8195" max="8195" width="9.140625" style="147"/>
    <col min="8196" max="8196" width="11.85546875" style="147" customWidth="1"/>
    <col min="8197" max="8197" width="11.7109375" style="147" customWidth="1"/>
    <col min="8198" max="8198" width="12.42578125" style="147" customWidth="1"/>
    <col min="8199" max="8199" width="13.42578125" style="147" customWidth="1"/>
    <col min="8200" max="8448" width="9.140625" style="147"/>
    <col min="8449" max="8449" width="49.140625" style="147" customWidth="1"/>
    <col min="8450" max="8450" width="20.7109375" style="147" customWidth="1"/>
    <col min="8451" max="8451" width="9.140625" style="147"/>
    <col min="8452" max="8452" width="11.85546875" style="147" customWidth="1"/>
    <col min="8453" max="8453" width="11.7109375" style="147" customWidth="1"/>
    <col min="8454" max="8454" width="12.42578125" style="147" customWidth="1"/>
    <col min="8455" max="8455" width="13.42578125" style="147" customWidth="1"/>
    <col min="8456" max="8704" width="9.140625" style="147"/>
    <col min="8705" max="8705" width="49.140625" style="147" customWidth="1"/>
    <col min="8706" max="8706" width="20.7109375" style="147" customWidth="1"/>
    <col min="8707" max="8707" width="9.140625" style="147"/>
    <col min="8708" max="8708" width="11.85546875" style="147" customWidth="1"/>
    <col min="8709" max="8709" width="11.7109375" style="147" customWidth="1"/>
    <col min="8710" max="8710" width="12.42578125" style="147" customWidth="1"/>
    <col min="8711" max="8711" width="13.42578125" style="147" customWidth="1"/>
    <col min="8712" max="8960" width="9.140625" style="147"/>
    <col min="8961" max="8961" width="49.140625" style="147" customWidth="1"/>
    <col min="8962" max="8962" width="20.7109375" style="147" customWidth="1"/>
    <col min="8963" max="8963" width="9.140625" style="147"/>
    <col min="8964" max="8964" width="11.85546875" style="147" customWidth="1"/>
    <col min="8965" max="8965" width="11.7109375" style="147" customWidth="1"/>
    <col min="8966" max="8966" width="12.42578125" style="147" customWidth="1"/>
    <col min="8967" max="8967" width="13.42578125" style="147" customWidth="1"/>
    <col min="8968" max="9216" width="9.140625" style="147"/>
    <col min="9217" max="9217" width="49.140625" style="147" customWidth="1"/>
    <col min="9218" max="9218" width="20.7109375" style="147" customWidth="1"/>
    <col min="9219" max="9219" width="9.140625" style="147"/>
    <col min="9220" max="9220" width="11.85546875" style="147" customWidth="1"/>
    <col min="9221" max="9221" width="11.7109375" style="147" customWidth="1"/>
    <col min="9222" max="9222" width="12.42578125" style="147" customWidth="1"/>
    <col min="9223" max="9223" width="13.42578125" style="147" customWidth="1"/>
    <col min="9224" max="9472" width="9.140625" style="147"/>
    <col min="9473" max="9473" width="49.140625" style="147" customWidth="1"/>
    <col min="9474" max="9474" width="20.7109375" style="147" customWidth="1"/>
    <col min="9475" max="9475" width="9.140625" style="147"/>
    <col min="9476" max="9476" width="11.85546875" style="147" customWidth="1"/>
    <col min="9477" max="9477" width="11.7109375" style="147" customWidth="1"/>
    <col min="9478" max="9478" width="12.42578125" style="147" customWidth="1"/>
    <col min="9479" max="9479" width="13.42578125" style="147" customWidth="1"/>
    <col min="9480" max="9728" width="9.140625" style="147"/>
    <col min="9729" max="9729" width="49.140625" style="147" customWidth="1"/>
    <col min="9730" max="9730" width="20.7109375" style="147" customWidth="1"/>
    <col min="9731" max="9731" width="9.140625" style="147"/>
    <col min="9732" max="9732" width="11.85546875" style="147" customWidth="1"/>
    <col min="9733" max="9733" width="11.7109375" style="147" customWidth="1"/>
    <col min="9734" max="9734" width="12.42578125" style="147" customWidth="1"/>
    <col min="9735" max="9735" width="13.42578125" style="147" customWidth="1"/>
    <col min="9736" max="9984" width="9.140625" style="147"/>
    <col min="9985" max="9985" width="49.140625" style="147" customWidth="1"/>
    <col min="9986" max="9986" width="20.7109375" style="147" customWidth="1"/>
    <col min="9987" max="9987" width="9.140625" style="147"/>
    <col min="9988" max="9988" width="11.85546875" style="147" customWidth="1"/>
    <col min="9989" max="9989" width="11.7109375" style="147" customWidth="1"/>
    <col min="9990" max="9990" width="12.42578125" style="147" customWidth="1"/>
    <col min="9991" max="9991" width="13.42578125" style="147" customWidth="1"/>
    <col min="9992" max="10240" width="9.140625" style="147"/>
    <col min="10241" max="10241" width="49.140625" style="147" customWidth="1"/>
    <col min="10242" max="10242" width="20.7109375" style="147" customWidth="1"/>
    <col min="10243" max="10243" width="9.140625" style="147"/>
    <col min="10244" max="10244" width="11.85546875" style="147" customWidth="1"/>
    <col min="10245" max="10245" width="11.7109375" style="147" customWidth="1"/>
    <col min="10246" max="10246" width="12.42578125" style="147" customWidth="1"/>
    <col min="10247" max="10247" width="13.42578125" style="147" customWidth="1"/>
    <col min="10248" max="10496" width="9.140625" style="147"/>
    <col min="10497" max="10497" width="49.140625" style="147" customWidth="1"/>
    <col min="10498" max="10498" width="20.7109375" style="147" customWidth="1"/>
    <col min="10499" max="10499" width="9.140625" style="147"/>
    <col min="10500" max="10500" width="11.85546875" style="147" customWidth="1"/>
    <col min="10501" max="10501" width="11.7109375" style="147" customWidth="1"/>
    <col min="10502" max="10502" width="12.42578125" style="147" customWidth="1"/>
    <col min="10503" max="10503" width="13.42578125" style="147" customWidth="1"/>
    <col min="10504" max="10752" width="9.140625" style="147"/>
    <col min="10753" max="10753" width="49.140625" style="147" customWidth="1"/>
    <col min="10754" max="10754" width="20.7109375" style="147" customWidth="1"/>
    <col min="10755" max="10755" width="9.140625" style="147"/>
    <col min="10756" max="10756" width="11.85546875" style="147" customWidth="1"/>
    <col min="10757" max="10757" width="11.7109375" style="147" customWidth="1"/>
    <col min="10758" max="10758" width="12.42578125" style="147" customWidth="1"/>
    <col min="10759" max="10759" width="13.42578125" style="147" customWidth="1"/>
    <col min="10760" max="11008" width="9.140625" style="147"/>
    <col min="11009" max="11009" width="49.140625" style="147" customWidth="1"/>
    <col min="11010" max="11010" width="20.7109375" style="147" customWidth="1"/>
    <col min="11011" max="11011" width="9.140625" style="147"/>
    <col min="11012" max="11012" width="11.85546875" style="147" customWidth="1"/>
    <col min="11013" max="11013" width="11.7109375" style="147" customWidth="1"/>
    <col min="11014" max="11014" width="12.42578125" style="147" customWidth="1"/>
    <col min="11015" max="11015" width="13.42578125" style="147" customWidth="1"/>
    <col min="11016" max="11264" width="9.140625" style="147"/>
    <col min="11265" max="11265" width="49.140625" style="147" customWidth="1"/>
    <col min="11266" max="11266" width="20.7109375" style="147" customWidth="1"/>
    <col min="11267" max="11267" width="9.140625" style="147"/>
    <col min="11268" max="11268" width="11.85546875" style="147" customWidth="1"/>
    <col min="11269" max="11269" width="11.7109375" style="147" customWidth="1"/>
    <col min="11270" max="11270" width="12.42578125" style="147" customWidth="1"/>
    <col min="11271" max="11271" width="13.42578125" style="147" customWidth="1"/>
    <col min="11272" max="11520" width="9.140625" style="147"/>
    <col min="11521" max="11521" width="49.140625" style="147" customWidth="1"/>
    <col min="11522" max="11522" width="20.7109375" style="147" customWidth="1"/>
    <col min="11523" max="11523" width="9.140625" style="147"/>
    <col min="11524" max="11524" width="11.85546875" style="147" customWidth="1"/>
    <col min="11525" max="11525" width="11.7109375" style="147" customWidth="1"/>
    <col min="11526" max="11526" width="12.42578125" style="147" customWidth="1"/>
    <col min="11527" max="11527" width="13.42578125" style="147" customWidth="1"/>
    <col min="11528" max="11776" width="9.140625" style="147"/>
    <col min="11777" max="11777" width="49.140625" style="147" customWidth="1"/>
    <col min="11778" max="11778" width="20.7109375" style="147" customWidth="1"/>
    <col min="11779" max="11779" width="9.140625" style="147"/>
    <col min="11780" max="11780" width="11.85546875" style="147" customWidth="1"/>
    <col min="11781" max="11781" width="11.7109375" style="147" customWidth="1"/>
    <col min="11782" max="11782" width="12.42578125" style="147" customWidth="1"/>
    <col min="11783" max="11783" width="13.42578125" style="147" customWidth="1"/>
    <col min="11784" max="12032" width="9.140625" style="147"/>
    <col min="12033" max="12033" width="49.140625" style="147" customWidth="1"/>
    <col min="12034" max="12034" width="20.7109375" style="147" customWidth="1"/>
    <col min="12035" max="12035" width="9.140625" style="147"/>
    <col min="12036" max="12036" width="11.85546875" style="147" customWidth="1"/>
    <col min="12037" max="12037" width="11.7109375" style="147" customWidth="1"/>
    <col min="12038" max="12038" width="12.42578125" style="147" customWidth="1"/>
    <col min="12039" max="12039" width="13.42578125" style="147" customWidth="1"/>
    <col min="12040" max="12288" width="9.140625" style="147"/>
    <col min="12289" max="12289" width="49.140625" style="147" customWidth="1"/>
    <col min="12290" max="12290" width="20.7109375" style="147" customWidth="1"/>
    <col min="12291" max="12291" width="9.140625" style="147"/>
    <col min="12292" max="12292" width="11.85546875" style="147" customWidth="1"/>
    <col min="12293" max="12293" width="11.7109375" style="147" customWidth="1"/>
    <col min="12294" max="12294" width="12.42578125" style="147" customWidth="1"/>
    <col min="12295" max="12295" width="13.42578125" style="147" customWidth="1"/>
    <col min="12296" max="12544" width="9.140625" style="147"/>
    <col min="12545" max="12545" width="49.140625" style="147" customWidth="1"/>
    <col min="12546" max="12546" width="20.7109375" style="147" customWidth="1"/>
    <col min="12547" max="12547" width="9.140625" style="147"/>
    <col min="12548" max="12548" width="11.85546875" style="147" customWidth="1"/>
    <col min="12549" max="12549" width="11.7109375" style="147" customWidth="1"/>
    <col min="12550" max="12550" width="12.42578125" style="147" customWidth="1"/>
    <col min="12551" max="12551" width="13.42578125" style="147" customWidth="1"/>
    <col min="12552" max="12800" width="9.140625" style="147"/>
    <col min="12801" max="12801" width="49.140625" style="147" customWidth="1"/>
    <col min="12802" max="12802" width="20.7109375" style="147" customWidth="1"/>
    <col min="12803" max="12803" width="9.140625" style="147"/>
    <col min="12804" max="12804" width="11.85546875" style="147" customWidth="1"/>
    <col min="12805" max="12805" width="11.7109375" style="147" customWidth="1"/>
    <col min="12806" max="12806" width="12.42578125" style="147" customWidth="1"/>
    <col min="12807" max="12807" width="13.42578125" style="147" customWidth="1"/>
    <col min="12808" max="13056" width="9.140625" style="147"/>
    <col min="13057" max="13057" width="49.140625" style="147" customWidth="1"/>
    <col min="13058" max="13058" width="20.7109375" style="147" customWidth="1"/>
    <col min="13059" max="13059" width="9.140625" style="147"/>
    <col min="13060" max="13060" width="11.85546875" style="147" customWidth="1"/>
    <col min="13061" max="13061" width="11.7109375" style="147" customWidth="1"/>
    <col min="13062" max="13062" width="12.42578125" style="147" customWidth="1"/>
    <col min="13063" max="13063" width="13.42578125" style="147" customWidth="1"/>
    <col min="13064" max="13312" width="9.140625" style="147"/>
    <col min="13313" max="13313" width="49.140625" style="147" customWidth="1"/>
    <col min="13314" max="13314" width="20.7109375" style="147" customWidth="1"/>
    <col min="13315" max="13315" width="9.140625" style="147"/>
    <col min="13316" max="13316" width="11.85546875" style="147" customWidth="1"/>
    <col min="13317" max="13317" width="11.7109375" style="147" customWidth="1"/>
    <col min="13318" max="13318" width="12.42578125" style="147" customWidth="1"/>
    <col min="13319" max="13319" width="13.42578125" style="147" customWidth="1"/>
    <col min="13320" max="13568" width="9.140625" style="147"/>
    <col min="13569" max="13569" width="49.140625" style="147" customWidth="1"/>
    <col min="13570" max="13570" width="20.7109375" style="147" customWidth="1"/>
    <col min="13571" max="13571" width="9.140625" style="147"/>
    <col min="13572" max="13572" width="11.85546875" style="147" customWidth="1"/>
    <col min="13573" max="13573" width="11.7109375" style="147" customWidth="1"/>
    <col min="13574" max="13574" width="12.42578125" style="147" customWidth="1"/>
    <col min="13575" max="13575" width="13.42578125" style="147" customWidth="1"/>
    <col min="13576" max="13824" width="9.140625" style="147"/>
    <col min="13825" max="13825" width="49.140625" style="147" customWidth="1"/>
    <col min="13826" max="13826" width="20.7109375" style="147" customWidth="1"/>
    <col min="13827" max="13827" width="9.140625" style="147"/>
    <col min="13828" max="13828" width="11.85546875" style="147" customWidth="1"/>
    <col min="13829" max="13829" width="11.7109375" style="147" customWidth="1"/>
    <col min="13830" max="13830" width="12.42578125" style="147" customWidth="1"/>
    <col min="13831" max="13831" width="13.42578125" style="147" customWidth="1"/>
    <col min="13832" max="14080" width="9.140625" style="147"/>
    <col min="14081" max="14081" width="49.140625" style="147" customWidth="1"/>
    <col min="14082" max="14082" width="20.7109375" style="147" customWidth="1"/>
    <col min="14083" max="14083" width="9.140625" style="147"/>
    <col min="14084" max="14084" width="11.85546875" style="147" customWidth="1"/>
    <col min="14085" max="14085" width="11.7109375" style="147" customWidth="1"/>
    <col min="14086" max="14086" width="12.42578125" style="147" customWidth="1"/>
    <col min="14087" max="14087" width="13.42578125" style="147" customWidth="1"/>
    <col min="14088" max="14336" width="9.140625" style="147"/>
    <col min="14337" max="14337" width="49.140625" style="147" customWidth="1"/>
    <col min="14338" max="14338" width="20.7109375" style="147" customWidth="1"/>
    <col min="14339" max="14339" width="9.140625" style="147"/>
    <col min="14340" max="14340" width="11.85546875" style="147" customWidth="1"/>
    <col min="14341" max="14341" width="11.7109375" style="147" customWidth="1"/>
    <col min="14342" max="14342" width="12.42578125" style="147" customWidth="1"/>
    <col min="14343" max="14343" width="13.42578125" style="147" customWidth="1"/>
    <col min="14344" max="14592" width="9.140625" style="147"/>
    <col min="14593" max="14593" width="49.140625" style="147" customWidth="1"/>
    <col min="14594" max="14594" width="20.7109375" style="147" customWidth="1"/>
    <col min="14595" max="14595" width="9.140625" style="147"/>
    <col min="14596" max="14596" width="11.85546875" style="147" customWidth="1"/>
    <col min="14597" max="14597" width="11.7109375" style="147" customWidth="1"/>
    <col min="14598" max="14598" width="12.42578125" style="147" customWidth="1"/>
    <col min="14599" max="14599" width="13.42578125" style="147" customWidth="1"/>
    <col min="14600" max="14848" width="9.140625" style="147"/>
    <col min="14849" max="14849" width="49.140625" style="147" customWidth="1"/>
    <col min="14850" max="14850" width="20.7109375" style="147" customWidth="1"/>
    <col min="14851" max="14851" width="9.140625" style="147"/>
    <col min="14852" max="14852" width="11.85546875" style="147" customWidth="1"/>
    <col min="14853" max="14853" width="11.7109375" style="147" customWidth="1"/>
    <col min="14854" max="14854" width="12.42578125" style="147" customWidth="1"/>
    <col min="14855" max="14855" width="13.42578125" style="147" customWidth="1"/>
    <col min="14856" max="15104" width="9.140625" style="147"/>
    <col min="15105" max="15105" width="49.140625" style="147" customWidth="1"/>
    <col min="15106" max="15106" width="20.7109375" style="147" customWidth="1"/>
    <col min="15107" max="15107" width="9.140625" style="147"/>
    <col min="15108" max="15108" width="11.85546875" style="147" customWidth="1"/>
    <col min="15109" max="15109" width="11.7109375" style="147" customWidth="1"/>
    <col min="15110" max="15110" width="12.42578125" style="147" customWidth="1"/>
    <col min="15111" max="15111" width="13.42578125" style="147" customWidth="1"/>
    <col min="15112" max="15360" width="9.140625" style="147"/>
    <col min="15361" max="15361" width="49.140625" style="147" customWidth="1"/>
    <col min="15362" max="15362" width="20.7109375" style="147" customWidth="1"/>
    <col min="15363" max="15363" width="9.140625" style="147"/>
    <col min="15364" max="15364" width="11.85546875" style="147" customWidth="1"/>
    <col min="15365" max="15365" width="11.7109375" style="147" customWidth="1"/>
    <col min="15366" max="15366" width="12.42578125" style="147" customWidth="1"/>
    <col min="15367" max="15367" width="13.42578125" style="147" customWidth="1"/>
    <col min="15368" max="15616" width="9.140625" style="147"/>
    <col min="15617" max="15617" width="49.140625" style="147" customWidth="1"/>
    <col min="15618" max="15618" width="20.7109375" style="147" customWidth="1"/>
    <col min="15619" max="15619" width="9.140625" style="147"/>
    <col min="15620" max="15620" width="11.85546875" style="147" customWidth="1"/>
    <col min="15621" max="15621" width="11.7109375" style="147" customWidth="1"/>
    <col min="15622" max="15622" width="12.42578125" style="147" customWidth="1"/>
    <col min="15623" max="15623" width="13.42578125" style="147" customWidth="1"/>
    <col min="15624" max="15872" width="9.140625" style="147"/>
    <col min="15873" max="15873" width="49.140625" style="147" customWidth="1"/>
    <col min="15874" max="15874" width="20.7109375" style="147" customWidth="1"/>
    <col min="15875" max="15875" width="9.140625" style="147"/>
    <col min="15876" max="15876" width="11.85546875" style="147" customWidth="1"/>
    <col min="15877" max="15877" width="11.7109375" style="147" customWidth="1"/>
    <col min="15878" max="15878" width="12.42578125" style="147" customWidth="1"/>
    <col min="15879" max="15879" width="13.42578125" style="147" customWidth="1"/>
    <col min="15880" max="16128" width="9.140625" style="147"/>
    <col min="16129" max="16129" width="49.140625" style="147" customWidth="1"/>
    <col min="16130" max="16130" width="20.7109375" style="147" customWidth="1"/>
    <col min="16131" max="16131" width="9.140625" style="147"/>
    <col min="16132" max="16132" width="11.85546875" style="147" customWidth="1"/>
    <col min="16133" max="16133" width="11.7109375" style="147" customWidth="1"/>
    <col min="16134" max="16134" width="12.42578125" style="147" customWidth="1"/>
    <col min="16135" max="16135" width="13.42578125" style="147" customWidth="1"/>
    <col min="16136" max="16384" width="9.140625" style="147"/>
  </cols>
  <sheetData>
    <row r="1" spans="1:12" ht="20.100000000000001" customHeight="1">
      <c r="A1" s="1479" t="s">
        <v>665</v>
      </c>
      <c r="B1" s="1480"/>
      <c r="C1" s="159"/>
      <c r="D1" s="148"/>
      <c r="E1" s="148"/>
      <c r="F1" s="148"/>
      <c r="G1" s="148"/>
      <c r="H1" s="148"/>
      <c r="I1" s="148"/>
      <c r="J1" s="148"/>
      <c r="K1" s="148"/>
      <c r="L1" s="148"/>
    </row>
    <row r="2" spans="1:12" ht="20.100000000000001" customHeight="1">
      <c r="A2" s="1487" t="s">
        <v>285</v>
      </c>
      <c r="B2" s="1488"/>
      <c r="C2" s="159"/>
    </row>
    <row r="3" spans="1:12" ht="20.100000000000001" customHeight="1">
      <c r="A3" s="787" t="s">
        <v>279</v>
      </c>
      <c r="B3" s="788">
        <f>'Cashflow Current'!H11</f>
        <v>3256.79</v>
      </c>
      <c r="C3" s="159"/>
      <c r="D3" s="150"/>
      <c r="E3" s="151"/>
      <c r="F3" s="152"/>
      <c r="G3" s="151"/>
    </row>
    <row r="4" spans="1:12" ht="20.100000000000001" customHeight="1">
      <c r="A4" s="787" t="s">
        <v>280</v>
      </c>
      <c r="B4" s="789"/>
      <c r="C4" s="159"/>
      <c r="D4" s="151"/>
      <c r="E4" s="151"/>
      <c r="F4" s="153"/>
      <c r="G4" s="153"/>
    </row>
    <row r="5" spans="1:12" ht="20.100000000000001" customHeight="1">
      <c r="A5" s="759" t="s">
        <v>529</v>
      </c>
      <c r="B5" s="790">
        <f>'Cashflow Current'!H15</f>
        <v>2419.6827929999999</v>
      </c>
      <c r="C5" s="159"/>
      <c r="D5" s="151"/>
      <c r="E5" s="152"/>
      <c r="F5" s="155"/>
      <c r="G5" s="154"/>
    </row>
    <row r="6" spans="1:12" ht="20.100000000000001" customHeight="1">
      <c r="A6" s="759" t="s">
        <v>20</v>
      </c>
      <c r="B6" s="790">
        <f>'Cashflow Current'!H17</f>
        <v>232.72729202000002</v>
      </c>
      <c r="C6" s="159"/>
      <c r="D6" s="151"/>
      <c r="E6" s="156"/>
      <c r="F6" s="154"/>
      <c r="G6" s="154"/>
    </row>
    <row r="7" spans="1:12" ht="20.100000000000001" customHeight="1">
      <c r="A7" s="759" t="s">
        <v>18</v>
      </c>
      <c r="B7" s="790">
        <f>'Cashflow Current'!H16</f>
        <v>26.91</v>
      </c>
      <c r="C7" s="159"/>
      <c r="D7" s="151"/>
      <c r="E7" s="156"/>
      <c r="F7" s="154"/>
      <c r="G7" s="154"/>
    </row>
    <row r="8" spans="1:12" ht="20.100000000000001" customHeight="1">
      <c r="A8" s="759" t="s">
        <v>25</v>
      </c>
      <c r="B8" s="790">
        <f>'Cashflow Current'!H19</f>
        <v>113.07127391718751</v>
      </c>
      <c r="C8" s="159"/>
      <c r="D8" s="151"/>
      <c r="E8" s="156"/>
      <c r="F8" s="154"/>
      <c r="G8" s="154"/>
    </row>
    <row r="9" spans="1:12" ht="20.100000000000001" customHeight="1">
      <c r="A9" s="791" t="s">
        <v>281</v>
      </c>
      <c r="B9" s="788">
        <f>SUM(B5:B8)</f>
        <v>2792.3913589371873</v>
      </c>
      <c r="C9" s="160"/>
      <c r="D9" s="149"/>
      <c r="E9" s="149"/>
      <c r="F9" s="149"/>
      <c r="G9" s="149"/>
    </row>
    <row r="10" spans="1:12" ht="20.100000000000001" customHeight="1">
      <c r="A10" s="787" t="s">
        <v>282</v>
      </c>
      <c r="B10" s="788">
        <f>+B3-B9</f>
        <v>464.39864106281266</v>
      </c>
      <c r="C10" s="159"/>
      <c r="D10" s="149"/>
      <c r="E10" s="149"/>
      <c r="F10" s="149"/>
      <c r="G10" s="149"/>
      <c r="H10" s="151"/>
    </row>
    <row r="11" spans="1:12" ht="20.100000000000001" customHeight="1">
      <c r="A11" s="787" t="s">
        <v>283</v>
      </c>
      <c r="B11" s="789"/>
      <c r="C11" s="159"/>
      <c r="D11" s="151"/>
      <c r="E11" s="151"/>
      <c r="F11" s="153"/>
      <c r="G11" s="153"/>
      <c r="H11" s="151"/>
    </row>
    <row r="12" spans="1:12" ht="20.100000000000001" customHeight="1">
      <c r="A12" s="759" t="s">
        <v>23</v>
      </c>
      <c r="B12" s="790">
        <f>'Cashflow Current'!H18</f>
        <v>30.538134374999998</v>
      </c>
      <c r="C12" s="159"/>
      <c r="D12" s="151"/>
      <c r="E12" s="151"/>
      <c r="F12" s="151"/>
      <c r="G12" s="151"/>
      <c r="H12" s="151"/>
    </row>
    <row r="13" spans="1:12" ht="20.100000000000001" customHeight="1">
      <c r="A13" s="759" t="s">
        <v>536</v>
      </c>
      <c r="B13" s="790">
        <f>'BEP Sensitivity'!B14</f>
        <v>132.65062499999999</v>
      </c>
      <c r="C13" s="159"/>
      <c r="D13" s="151"/>
      <c r="E13" s="151"/>
      <c r="F13" s="151"/>
      <c r="G13" s="151"/>
      <c r="H13" s="157"/>
    </row>
    <row r="14" spans="1:12" ht="20.100000000000001" customHeight="1">
      <c r="A14" s="759" t="s">
        <v>35</v>
      </c>
      <c r="B14" s="790">
        <f>-'Cashflow Option 1'!G8/10</f>
        <v>176.86750000000001</v>
      </c>
      <c r="C14" s="159"/>
      <c r="D14" s="149"/>
      <c r="E14" s="149"/>
      <c r="F14" s="149"/>
      <c r="G14" s="149"/>
      <c r="H14" s="157"/>
    </row>
    <row r="15" spans="1:12" ht="20.100000000000001" customHeight="1">
      <c r="A15" s="791" t="s">
        <v>161</v>
      </c>
      <c r="B15" s="788">
        <f>SUM(B12:B14)</f>
        <v>340.05625937499997</v>
      </c>
      <c r="C15" s="159"/>
      <c r="D15" s="158"/>
      <c r="E15" s="158"/>
      <c r="F15" s="158"/>
      <c r="G15" s="158"/>
      <c r="H15" s="157"/>
      <c r="I15" s="148"/>
    </row>
    <row r="16" spans="1:12" ht="20.100000000000001" customHeight="1">
      <c r="A16" s="792" t="s">
        <v>284</v>
      </c>
      <c r="B16" s="793">
        <f>+B15/B10</f>
        <v>0.73225076325967409</v>
      </c>
      <c r="G16" s="157"/>
      <c r="H16" s="157"/>
    </row>
    <row r="17" spans="1:2" ht="20.100000000000001" customHeight="1">
      <c r="A17" s="153"/>
      <c r="B17" s="153"/>
    </row>
    <row r="18" spans="1:2" ht="15.75">
      <c r="A18" s="153"/>
      <c r="B18" s="153"/>
    </row>
  </sheetData>
  <mergeCells count="2">
    <mergeCell ref="A1:B1"/>
    <mergeCell ref="A2:B2"/>
  </mergeCells>
  <printOptions horizontalCentered="1" gridLines="1"/>
  <pageMargins left="1"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4"/>
  <dimension ref="A1:D10"/>
  <sheetViews>
    <sheetView showGridLines="0" workbookViewId="0">
      <selection activeCell="F10" sqref="F10"/>
    </sheetView>
  </sheetViews>
  <sheetFormatPr defaultRowHeight="12.75"/>
  <cols>
    <col min="1" max="1" width="36.140625" style="1" customWidth="1"/>
    <col min="2" max="2" width="20.140625" style="1" customWidth="1"/>
    <col min="3" max="3" width="23.85546875" style="1" customWidth="1"/>
    <col min="4" max="4" width="11.5703125" style="1" customWidth="1"/>
    <col min="5" max="16384" width="9.140625" style="1"/>
  </cols>
  <sheetData>
    <row r="1" spans="1:4">
      <c r="A1" s="1344" t="s">
        <v>95</v>
      </c>
      <c r="B1" s="1345" t="s">
        <v>96</v>
      </c>
      <c r="C1" s="1345" t="s">
        <v>119</v>
      </c>
      <c r="D1" s="1346" t="s">
        <v>97</v>
      </c>
    </row>
    <row r="2" spans="1:4">
      <c r="A2" s="1496"/>
      <c r="B2" s="1497"/>
      <c r="C2" s="1497"/>
      <c r="D2" s="1498"/>
    </row>
    <row r="3" spans="1:4">
      <c r="A3" s="82" t="s">
        <v>98</v>
      </c>
      <c r="B3" s="722">
        <v>2</v>
      </c>
      <c r="C3" s="722">
        <v>35</v>
      </c>
      <c r="D3" s="586">
        <f t="shared" ref="D3:D8" si="0">B3*C3</f>
        <v>70</v>
      </c>
    </row>
    <row r="4" spans="1:4">
      <c r="A4" s="82" t="s">
        <v>99</v>
      </c>
      <c r="B4" s="722">
        <v>4</v>
      </c>
      <c r="C4" s="722">
        <v>25</v>
      </c>
      <c r="D4" s="586">
        <f t="shared" si="0"/>
        <v>100</v>
      </c>
    </row>
    <row r="5" spans="1:4">
      <c r="A5" s="82" t="s">
        <v>100</v>
      </c>
      <c r="B5" s="722">
        <v>8</v>
      </c>
      <c r="C5" s="722">
        <v>20</v>
      </c>
      <c r="D5" s="586">
        <f t="shared" si="0"/>
        <v>160</v>
      </c>
    </row>
    <row r="6" spans="1:4">
      <c r="A6" s="82" t="s">
        <v>101</v>
      </c>
      <c r="B6" s="722">
        <v>40</v>
      </c>
      <c r="C6" s="722">
        <v>8</v>
      </c>
      <c r="D6" s="586">
        <f t="shared" si="0"/>
        <v>320</v>
      </c>
    </row>
    <row r="7" spans="1:4">
      <c r="A7" s="82" t="s">
        <v>102</v>
      </c>
      <c r="B7" s="722">
        <v>120</v>
      </c>
      <c r="C7" s="722">
        <v>6.8</v>
      </c>
      <c r="D7" s="586">
        <f t="shared" si="0"/>
        <v>816</v>
      </c>
    </row>
    <row r="8" spans="1:4">
      <c r="A8" s="82" t="s">
        <v>103</v>
      </c>
      <c r="B8" s="722">
        <v>350</v>
      </c>
      <c r="C8" s="722">
        <v>3.5</v>
      </c>
      <c r="D8" s="586">
        <f t="shared" si="0"/>
        <v>1225</v>
      </c>
    </row>
    <row r="9" spans="1:4">
      <c r="A9" s="82"/>
      <c r="B9" s="722"/>
      <c r="C9" s="722"/>
      <c r="D9" s="586"/>
    </row>
    <row r="10" spans="1:4">
      <c r="A10" s="1347" t="s">
        <v>120</v>
      </c>
      <c r="B10" s="1348"/>
      <c r="C10" s="1348"/>
      <c r="D10" s="1349">
        <f>SUM(D3:D8)/100</f>
        <v>26.91</v>
      </c>
    </row>
  </sheetData>
  <mergeCells count="1">
    <mergeCell ref="A2:D2"/>
  </mergeCell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550B8-AE8C-4834-B5E0-3F8255FB1844}">
  <sheetPr codeName="Sheet44"/>
  <dimension ref="A1:X19"/>
  <sheetViews>
    <sheetView showGridLines="0" zoomScaleNormal="100" zoomScaleSheetLayoutView="118" workbookViewId="0">
      <selection activeCell="D4" sqref="D4"/>
    </sheetView>
  </sheetViews>
  <sheetFormatPr defaultRowHeight="15"/>
  <cols>
    <col min="1" max="1" width="8" style="104" customWidth="1"/>
    <col min="2" max="2" width="24.7109375" style="5" customWidth="1"/>
    <col min="3" max="3" width="18.28515625" style="5" bestFit="1" customWidth="1"/>
    <col min="4" max="4" width="18.140625" style="5" bestFit="1" customWidth="1"/>
    <col min="5" max="5" width="19.28515625" style="5" bestFit="1" customWidth="1"/>
    <col min="6" max="24" width="6.5703125" style="5" hidden="1" customWidth="1"/>
    <col min="25" max="26" width="9.140625" style="5" customWidth="1"/>
    <col min="27" max="16384" width="9.140625" style="5"/>
  </cols>
  <sheetData>
    <row r="1" spans="1:24">
      <c r="A1" s="1499" t="s">
        <v>635</v>
      </c>
      <c r="B1" s="1499"/>
      <c r="C1" s="1499"/>
      <c r="D1" s="1499"/>
      <c r="E1" s="1499"/>
    </row>
    <row r="2" spans="1:24">
      <c r="A2" s="1499" t="s">
        <v>635</v>
      </c>
      <c r="B2" s="1499"/>
      <c r="C2" s="1499"/>
      <c r="D2" s="1499"/>
      <c r="E2" s="1499"/>
    </row>
    <row r="3" spans="1:24" ht="21.75" customHeight="1">
      <c r="A3" s="1193" t="s">
        <v>122</v>
      </c>
      <c r="B3" s="1193" t="s">
        <v>226</v>
      </c>
      <c r="C3" s="107" t="s">
        <v>223</v>
      </c>
      <c r="D3" s="107" t="s">
        <v>224</v>
      </c>
      <c r="E3" s="1193" t="s">
        <v>225</v>
      </c>
      <c r="F3" s="711">
        <v>2028</v>
      </c>
      <c r="G3" s="711">
        <v>2029</v>
      </c>
      <c r="H3" s="711">
        <v>2030</v>
      </c>
      <c r="I3" s="711">
        <v>2031</v>
      </c>
      <c r="J3" s="711">
        <v>2032</v>
      </c>
      <c r="K3" s="711">
        <v>2033</v>
      </c>
      <c r="L3" s="711">
        <v>2034</v>
      </c>
      <c r="M3" s="711">
        <v>2035</v>
      </c>
      <c r="N3" s="711">
        <v>2036</v>
      </c>
      <c r="O3" s="711">
        <v>2037</v>
      </c>
      <c r="P3" s="711">
        <v>2038</v>
      </c>
      <c r="Q3" s="711">
        <v>2039</v>
      </c>
      <c r="R3" s="711">
        <v>2040</v>
      </c>
      <c r="S3" s="711">
        <v>2041</v>
      </c>
      <c r="T3" s="711">
        <v>2042</v>
      </c>
      <c r="U3" s="711">
        <v>2043</v>
      </c>
      <c r="V3" s="711">
        <v>2044</v>
      </c>
      <c r="W3" s="711">
        <v>2045</v>
      </c>
      <c r="X3" s="711">
        <v>2046</v>
      </c>
    </row>
    <row r="4" spans="1:24">
      <c r="A4" s="105">
        <v>1</v>
      </c>
      <c r="B4" s="1207" t="s">
        <v>91</v>
      </c>
      <c r="C4" s="1208">
        <f>'[8]Financial Model Prop. Fur. Add.'!CM57</f>
        <v>74749.509166666656</v>
      </c>
      <c r="D4" s="1209">
        <v>350000</v>
      </c>
      <c r="E4" s="1210">
        <f>D4*C4/10^7</f>
        <v>2616.2328208333329</v>
      </c>
    </row>
    <row r="5" spans="1:24">
      <c r="A5" s="109"/>
      <c r="B5" s="110" t="s">
        <v>221</v>
      </c>
      <c r="C5" s="111"/>
      <c r="D5" s="111"/>
      <c r="E5" s="1211">
        <f>SUM(E4:E4)</f>
        <v>2616.2328208333329</v>
      </c>
      <c r="F5" s="1212">
        <f>E5+E5*1.2%</f>
        <v>2647.6276146833329</v>
      </c>
      <c r="G5" s="1212">
        <f t="shared" ref="G5:X5" si="0">F5+F5*1.2%</f>
        <v>2679.399146059533</v>
      </c>
      <c r="H5" s="1212">
        <f t="shared" si="0"/>
        <v>2711.5519358122474</v>
      </c>
      <c r="I5" s="1212">
        <f t="shared" si="0"/>
        <v>2744.0905590419943</v>
      </c>
      <c r="J5" s="1212">
        <f t="shared" si="0"/>
        <v>2777.0196457504981</v>
      </c>
      <c r="K5" s="1212">
        <f t="shared" si="0"/>
        <v>2810.3438814995038</v>
      </c>
      <c r="L5" s="1212">
        <f t="shared" si="0"/>
        <v>2844.0680080774978</v>
      </c>
      <c r="M5" s="1212">
        <f t="shared" si="0"/>
        <v>2878.1968241744275</v>
      </c>
      <c r="N5" s="1212">
        <f t="shared" si="0"/>
        <v>2912.7351860645208</v>
      </c>
      <c r="O5" s="1212">
        <f t="shared" si="0"/>
        <v>2947.6880082972953</v>
      </c>
      <c r="P5" s="1212">
        <f t="shared" si="0"/>
        <v>2983.0602643968627</v>
      </c>
      <c r="Q5" s="1212">
        <f t="shared" si="0"/>
        <v>3018.8569875696253</v>
      </c>
      <c r="R5" s="1212">
        <f t="shared" si="0"/>
        <v>3055.0832714204607</v>
      </c>
      <c r="S5" s="1212">
        <f t="shared" si="0"/>
        <v>3091.7442706775064</v>
      </c>
      <c r="T5" s="1212">
        <f t="shared" si="0"/>
        <v>3128.8452019256365</v>
      </c>
      <c r="U5" s="1212">
        <f t="shared" si="0"/>
        <v>3166.391344348744</v>
      </c>
      <c r="V5" s="1212">
        <f>U5+U5*1.2%</f>
        <v>3204.3880404809288</v>
      </c>
      <c r="W5" s="1212">
        <f t="shared" si="0"/>
        <v>3242.8406969666999</v>
      </c>
      <c r="X5" s="1212">
        <f t="shared" si="0"/>
        <v>3281.7547853303004</v>
      </c>
    </row>
    <row r="6" spans="1:24">
      <c r="A6" s="1499" t="s">
        <v>636</v>
      </c>
      <c r="B6" s="1499"/>
      <c r="C6" s="1499"/>
      <c r="D6" s="1499"/>
      <c r="E6" s="1499"/>
    </row>
    <row r="7" spans="1:24">
      <c r="A7" s="1193" t="s">
        <v>122</v>
      </c>
      <c r="B7" s="1193" t="s">
        <v>226</v>
      </c>
      <c r="C7" s="107" t="s">
        <v>223</v>
      </c>
      <c r="D7" s="107" t="s">
        <v>224</v>
      </c>
      <c r="E7" s="1193" t="s">
        <v>225</v>
      </c>
      <c r="F7" s="711">
        <v>2028</v>
      </c>
      <c r="G7" s="711">
        <v>2029</v>
      </c>
      <c r="H7" s="711">
        <v>2030</v>
      </c>
      <c r="I7" s="711">
        <v>2031</v>
      </c>
      <c r="J7" s="711">
        <v>2032</v>
      </c>
      <c r="K7" s="711">
        <v>2033</v>
      </c>
      <c r="L7" s="711">
        <v>2034</v>
      </c>
      <c r="M7" s="711">
        <v>2035</v>
      </c>
      <c r="N7" s="711">
        <v>2036</v>
      </c>
      <c r="O7" s="711">
        <v>2037</v>
      </c>
      <c r="P7" s="711">
        <v>2038</v>
      </c>
      <c r="Q7" s="711">
        <v>2039</v>
      </c>
      <c r="R7" s="711">
        <v>2040</v>
      </c>
      <c r="S7" s="711">
        <v>2041</v>
      </c>
      <c r="T7" s="711">
        <v>2042</v>
      </c>
      <c r="U7" s="711">
        <v>2043</v>
      </c>
      <c r="V7" s="711">
        <v>2044</v>
      </c>
      <c r="W7" s="711">
        <v>2045</v>
      </c>
      <c r="X7" s="711">
        <v>2046</v>
      </c>
    </row>
    <row r="8" spans="1:24">
      <c r="A8" s="105">
        <v>1</v>
      </c>
      <c r="B8" s="1207" t="s">
        <v>91</v>
      </c>
      <c r="C8" s="1208">
        <f>'[8]Financial Model Prop. Fur. Add.'!CM57</f>
        <v>74749.509166666656</v>
      </c>
      <c r="D8" s="1209">
        <v>500000</v>
      </c>
      <c r="E8" s="1210">
        <f>D8*C8/10^7</f>
        <v>3737.4754583333329</v>
      </c>
    </row>
    <row r="9" spans="1:24">
      <c r="A9" s="109"/>
      <c r="B9" s="110" t="s">
        <v>221</v>
      </c>
      <c r="C9" s="111"/>
      <c r="D9" s="111"/>
      <c r="E9" s="1213">
        <f>SUM(E8:E8)</f>
        <v>3737.4754583333329</v>
      </c>
      <c r="F9" s="1212">
        <f>E9+E9*1.2%</f>
        <v>3782.3251638333327</v>
      </c>
      <c r="G9" s="1212">
        <f t="shared" ref="G9:X9" si="1">F9+F9*1.2%</f>
        <v>3827.7130657993325</v>
      </c>
      <c r="H9" s="1212">
        <f t="shared" si="1"/>
        <v>3873.6456225889247</v>
      </c>
      <c r="I9" s="1212">
        <f t="shared" si="1"/>
        <v>3920.1293700599917</v>
      </c>
      <c r="J9" s="1212">
        <f t="shared" si="1"/>
        <v>3967.1709225007116</v>
      </c>
      <c r="K9" s="1212">
        <f t="shared" si="1"/>
        <v>4014.7769735707202</v>
      </c>
      <c r="L9" s="1212">
        <f t="shared" si="1"/>
        <v>4062.9542972535687</v>
      </c>
      <c r="M9" s="1212">
        <f t="shared" si="1"/>
        <v>4111.7097488206118</v>
      </c>
      <c r="N9" s="1212">
        <f t="shared" si="1"/>
        <v>4161.0502658064588</v>
      </c>
      <c r="O9" s="1212">
        <f t="shared" si="1"/>
        <v>4210.9828689961359</v>
      </c>
      <c r="P9" s="1212">
        <f t="shared" si="1"/>
        <v>4261.51466342409</v>
      </c>
      <c r="Q9" s="1212">
        <f t="shared" si="1"/>
        <v>4312.6528393851795</v>
      </c>
      <c r="R9" s="1212">
        <f t="shared" si="1"/>
        <v>4364.4046734578014</v>
      </c>
      <c r="S9" s="1212">
        <f t="shared" si="1"/>
        <v>4416.7775295392948</v>
      </c>
      <c r="T9" s="1212">
        <f t="shared" si="1"/>
        <v>4469.7788598937668</v>
      </c>
      <c r="U9" s="1212">
        <f t="shared" si="1"/>
        <v>4523.4162062124924</v>
      </c>
      <c r="V9" s="1212">
        <f>U9+U9*1.2%</f>
        <v>4577.6972006870419</v>
      </c>
      <c r="W9" s="1212">
        <f t="shared" si="1"/>
        <v>4632.6295670952868</v>
      </c>
      <c r="X9" s="1212">
        <f t="shared" si="1"/>
        <v>4688.2211219004303</v>
      </c>
    </row>
    <row r="12" spans="1:24">
      <c r="A12" s="1499" t="s">
        <v>635</v>
      </c>
      <c r="B12" s="1499"/>
      <c r="C12" s="1499"/>
      <c r="D12" s="1499"/>
      <c r="E12" s="1499"/>
    </row>
    <row r="13" spans="1:24">
      <c r="A13" s="1193" t="s">
        <v>122</v>
      </c>
      <c r="B13" s="1193" t="s">
        <v>226</v>
      </c>
      <c r="C13" s="107" t="s">
        <v>223</v>
      </c>
      <c r="D13" s="107" t="s">
        <v>224</v>
      </c>
      <c r="E13" s="1193" t="s">
        <v>225</v>
      </c>
    </row>
    <row r="14" spans="1:24">
      <c r="A14" s="105">
        <v>1</v>
      </c>
      <c r="B14" s="1207" t="s">
        <v>91</v>
      </c>
      <c r="C14" s="1208">
        <v>137237</v>
      </c>
      <c r="D14" s="1209">
        <v>350000</v>
      </c>
      <c r="E14" s="1210">
        <f>D14*C14/10^7</f>
        <v>4803.2950000000001</v>
      </c>
    </row>
    <row r="15" spans="1:24">
      <c r="A15" s="109"/>
      <c r="B15" s="110" t="s">
        <v>221</v>
      </c>
      <c r="C15" s="111"/>
      <c r="D15" s="111"/>
      <c r="E15" s="1211">
        <f>SUM(E14:E14)</f>
        <v>4803.2950000000001</v>
      </c>
    </row>
    <row r="16" spans="1:24">
      <c r="A16" s="1499" t="s">
        <v>636</v>
      </c>
      <c r="B16" s="1499"/>
      <c r="C16" s="1499"/>
      <c r="D16" s="1499"/>
      <c r="E16" s="1499"/>
    </row>
    <row r="17" spans="1:5">
      <c r="A17" s="1193" t="s">
        <v>122</v>
      </c>
      <c r="B17" s="1193" t="s">
        <v>226</v>
      </c>
      <c r="C17" s="107" t="s">
        <v>223</v>
      </c>
      <c r="D17" s="107" t="s">
        <v>224</v>
      </c>
      <c r="E17" s="1193" t="s">
        <v>225</v>
      </c>
    </row>
    <row r="18" spans="1:5">
      <c r="A18" s="105">
        <v>1</v>
      </c>
      <c r="B18" s="1207" t="s">
        <v>91</v>
      </c>
      <c r="C18" s="1208">
        <f>'[8]Financial Model Prop. Fur. Add.'!CM57</f>
        <v>74749.509166666656</v>
      </c>
      <c r="D18" s="1209">
        <v>500000</v>
      </c>
      <c r="E18" s="1210">
        <f>D18*C18/10^7</f>
        <v>3737.4754583333329</v>
      </c>
    </row>
    <row r="19" spans="1:5">
      <c r="A19" s="109"/>
      <c r="B19" s="110" t="s">
        <v>221</v>
      </c>
      <c r="C19" s="111"/>
      <c r="D19" s="111"/>
      <c r="E19" s="1213">
        <f>SUM(E18:E18)</f>
        <v>3737.4754583333329</v>
      </c>
    </row>
  </sheetData>
  <mergeCells count="5">
    <mergeCell ref="A1:E1"/>
    <mergeCell ref="A2:E2"/>
    <mergeCell ref="A6:E6"/>
    <mergeCell ref="A12:E12"/>
    <mergeCell ref="A16:E16"/>
  </mergeCells>
  <pageMargins left="0.7" right="0.7" top="0.75" bottom="0.75" header="0.3" footer="0.3"/>
  <pageSetup scale="51"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1"/>
  <dimension ref="A1:X11"/>
  <sheetViews>
    <sheetView showGridLines="0" workbookViewId="0">
      <selection activeCell="E20" sqref="E20"/>
    </sheetView>
  </sheetViews>
  <sheetFormatPr defaultRowHeight="15"/>
  <cols>
    <col min="1" max="1" width="8" style="104" customWidth="1"/>
    <col min="2" max="2" width="30.5703125" style="5" customWidth="1"/>
    <col min="3" max="3" width="18.28515625" style="5" bestFit="1" customWidth="1"/>
    <col min="4" max="4" width="18.140625" style="5" bestFit="1" customWidth="1"/>
    <col min="5" max="5" width="19.28515625" style="5" bestFit="1" customWidth="1"/>
    <col min="6" max="24" width="5" style="5" hidden="1" customWidth="1"/>
    <col min="25" max="25" width="0" style="5" hidden="1" customWidth="1"/>
    <col min="26" max="16384" width="9.140625" style="5"/>
  </cols>
  <sheetData>
    <row r="1" spans="1:24">
      <c r="A1" s="1499" t="s">
        <v>222</v>
      </c>
      <c r="B1" s="1499"/>
      <c r="C1" s="1499"/>
      <c r="D1" s="1499"/>
      <c r="E1" s="1499"/>
    </row>
    <row r="2" spans="1:24" ht="21.75" customHeight="1">
      <c r="A2" s="106" t="s">
        <v>122</v>
      </c>
      <c r="B2" s="106" t="s">
        <v>226</v>
      </c>
      <c r="C2" s="107" t="s">
        <v>223</v>
      </c>
      <c r="D2" s="107" t="s">
        <v>224</v>
      </c>
      <c r="E2" s="106" t="s">
        <v>225</v>
      </c>
      <c r="F2" s="711">
        <v>2028</v>
      </c>
      <c r="G2" s="711">
        <v>2029</v>
      </c>
      <c r="H2" s="711">
        <v>2030</v>
      </c>
      <c r="I2" s="711">
        <v>2031</v>
      </c>
      <c r="J2" s="711">
        <v>2032</v>
      </c>
      <c r="K2" s="711">
        <v>2033</v>
      </c>
      <c r="L2" s="711">
        <v>2034</v>
      </c>
      <c r="M2" s="711">
        <v>2035</v>
      </c>
      <c r="N2" s="711">
        <v>2036</v>
      </c>
      <c r="O2" s="711">
        <v>2037</v>
      </c>
      <c r="P2" s="711">
        <v>2038</v>
      </c>
      <c r="Q2" s="711">
        <v>2039</v>
      </c>
      <c r="R2" s="711">
        <v>2040</v>
      </c>
      <c r="S2" s="711">
        <v>2041</v>
      </c>
      <c r="T2" s="711">
        <v>2042</v>
      </c>
      <c r="U2" s="711">
        <v>2043</v>
      </c>
      <c r="V2" s="711">
        <v>2044</v>
      </c>
      <c r="W2" s="711">
        <v>2045</v>
      </c>
      <c r="X2" s="711">
        <v>2046</v>
      </c>
    </row>
    <row r="3" spans="1:24">
      <c r="A3" s="105">
        <v>2</v>
      </c>
      <c r="B3" s="712" t="s">
        <v>147</v>
      </c>
      <c r="C3" s="713">
        <f>'Financial Model (84 Months)'!CM57</f>
        <v>77038.391071428574</v>
      </c>
      <c r="D3" s="714">
        <v>200000</v>
      </c>
      <c r="E3" s="715">
        <f>D3*C3/10^7</f>
        <v>1540.7678214285716</v>
      </c>
      <c r="F3" s="720">
        <f>E3+E3*1.3%</f>
        <v>1560.797803107143</v>
      </c>
      <c r="G3" s="720">
        <f t="shared" ref="G3:X3" si="0">F3+F3*1.3%</f>
        <v>1581.0881745475358</v>
      </c>
      <c r="H3" s="720">
        <f t="shared" si="0"/>
        <v>1601.6423208166539</v>
      </c>
      <c r="I3" s="720">
        <f t="shared" si="0"/>
        <v>1622.4636709872705</v>
      </c>
      <c r="J3" s="720">
        <f t="shared" si="0"/>
        <v>1643.5556987101049</v>
      </c>
      <c r="K3" s="720">
        <f t="shared" si="0"/>
        <v>1664.9219227933363</v>
      </c>
      <c r="L3" s="720">
        <f t="shared" si="0"/>
        <v>1686.5659077896496</v>
      </c>
      <c r="M3" s="720">
        <f t="shared" si="0"/>
        <v>1708.4912645909151</v>
      </c>
      <c r="N3" s="720">
        <f t="shared" si="0"/>
        <v>1730.7016510305971</v>
      </c>
      <c r="O3" s="720">
        <f t="shared" si="0"/>
        <v>1753.2007724939949</v>
      </c>
      <c r="P3" s="720">
        <f t="shared" si="0"/>
        <v>1775.9923825364169</v>
      </c>
      <c r="Q3" s="720">
        <f t="shared" si="0"/>
        <v>1799.0802835093903</v>
      </c>
      <c r="R3" s="720">
        <f t="shared" si="0"/>
        <v>1822.4683271950123</v>
      </c>
      <c r="S3" s="720">
        <f t="shared" si="0"/>
        <v>1846.1604154485474</v>
      </c>
      <c r="T3" s="720">
        <f t="shared" si="0"/>
        <v>1870.1605008493784</v>
      </c>
      <c r="U3" s="720">
        <f t="shared" si="0"/>
        <v>1894.4725873604204</v>
      </c>
      <c r="V3" s="720">
        <f t="shared" si="0"/>
        <v>1919.100730996106</v>
      </c>
      <c r="W3" s="720">
        <f t="shared" si="0"/>
        <v>1944.0490404990553</v>
      </c>
      <c r="X3" s="720">
        <f t="shared" si="0"/>
        <v>1969.321678025543</v>
      </c>
    </row>
    <row r="4" spans="1:24">
      <c r="A4" s="105">
        <v>3</v>
      </c>
      <c r="B4" s="716" t="s">
        <v>11</v>
      </c>
      <c r="C4" s="717">
        <f>'Financial Model (84 Months)'!CM56</f>
        <v>58590.053407738094</v>
      </c>
      <c r="D4" s="718">
        <v>123000</v>
      </c>
      <c r="E4" s="719">
        <f>D4*C4/10^7</f>
        <v>720.65765691517856</v>
      </c>
      <c r="F4" s="720">
        <f>E4+E4*1.2%</f>
        <v>729.30554879816066</v>
      </c>
      <c r="G4" s="720">
        <f t="shared" ref="G4:X4" si="1">F4+F4*1.2%</f>
        <v>738.05721538373859</v>
      </c>
      <c r="H4" s="720">
        <f t="shared" si="1"/>
        <v>746.91390196834345</v>
      </c>
      <c r="I4" s="720">
        <f t="shared" si="1"/>
        <v>755.8768687919636</v>
      </c>
      <c r="J4" s="720">
        <f t="shared" si="1"/>
        <v>764.94739121746716</v>
      </c>
      <c r="K4" s="720">
        <f t="shared" si="1"/>
        <v>774.12675991207675</v>
      </c>
      <c r="L4" s="720">
        <f t="shared" si="1"/>
        <v>783.41628103102164</v>
      </c>
      <c r="M4" s="720">
        <f t="shared" si="1"/>
        <v>792.81727640339386</v>
      </c>
      <c r="N4" s="720">
        <f t="shared" si="1"/>
        <v>802.33108372023457</v>
      </c>
      <c r="O4" s="720">
        <f t="shared" si="1"/>
        <v>811.95905672487743</v>
      </c>
      <c r="P4" s="720">
        <f t="shared" si="1"/>
        <v>821.70256540557591</v>
      </c>
      <c r="Q4" s="720">
        <f t="shared" si="1"/>
        <v>831.56299619044285</v>
      </c>
      <c r="R4" s="720">
        <f t="shared" si="1"/>
        <v>841.54175214472821</v>
      </c>
      <c r="S4" s="720">
        <f t="shared" si="1"/>
        <v>851.64025317046492</v>
      </c>
      <c r="T4" s="720">
        <f t="shared" si="1"/>
        <v>861.85993620851048</v>
      </c>
      <c r="U4" s="720">
        <f t="shared" si="1"/>
        <v>872.20225544301263</v>
      </c>
      <c r="V4" s="720">
        <f>U4+U4*1.2%</f>
        <v>882.66868250832874</v>
      </c>
      <c r="W4" s="720">
        <f t="shared" si="1"/>
        <v>893.26070669842863</v>
      </c>
      <c r="X4" s="720">
        <f t="shared" si="1"/>
        <v>903.97983517880982</v>
      </c>
    </row>
    <row r="5" spans="1:24">
      <c r="A5" s="109"/>
      <c r="B5" s="110" t="s">
        <v>221</v>
      </c>
      <c r="C5" s="111"/>
      <c r="D5" s="111"/>
      <c r="E5" s="112">
        <f>SUM(E3:E4)</f>
        <v>2261.42547834375</v>
      </c>
    </row>
    <row r="6" spans="1:24">
      <c r="A6" s="102"/>
      <c r="B6" s="103"/>
    </row>
    <row r="7" spans="1:24">
      <c r="A7" s="1499" t="s">
        <v>222</v>
      </c>
      <c r="B7" s="1499"/>
      <c r="C7" s="1499"/>
      <c r="D7" s="1499"/>
      <c r="E7" s="1499"/>
    </row>
    <row r="8" spans="1:24">
      <c r="A8" s="1006" t="s">
        <v>122</v>
      </c>
      <c r="B8" s="1006" t="s">
        <v>226</v>
      </c>
      <c r="C8" s="107" t="s">
        <v>223</v>
      </c>
      <c r="D8" s="107" t="s">
        <v>224</v>
      </c>
      <c r="E8" s="1006" t="s">
        <v>225</v>
      </c>
    </row>
    <row r="9" spans="1:24">
      <c r="A9" s="105">
        <v>2</v>
      </c>
      <c r="B9" s="712" t="s">
        <v>147</v>
      </c>
      <c r="C9" s="713">
        <f>121450</f>
        <v>121450</v>
      </c>
      <c r="D9" s="714">
        <v>200000</v>
      </c>
      <c r="E9" s="715">
        <f>D9*C9/10^7</f>
        <v>2429</v>
      </c>
    </row>
    <row r="10" spans="1:24">
      <c r="A10" s="105">
        <v>3</v>
      </c>
      <c r="B10" s="716" t="s">
        <v>11</v>
      </c>
      <c r="C10" s="717">
        <v>67300</v>
      </c>
      <c r="D10" s="718">
        <v>123000</v>
      </c>
      <c r="E10" s="719">
        <f>D10*C10/10^7</f>
        <v>827.79</v>
      </c>
    </row>
    <row r="11" spans="1:24">
      <c r="A11" s="109"/>
      <c r="B11" s="110" t="s">
        <v>221</v>
      </c>
      <c r="C11" s="111"/>
      <c r="D11" s="111"/>
      <c r="E11" s="112">
        <f>SUM(E9:E10)</f>
        <v>3256.79</v>
      </c>
    </row>
  </sheetData>
  <mergeCells count="2">
    <mergeCell ref="A1:E1"/>
    <mergeCell ref="A7:E7"/>
  </mergeCells>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8"/>
  <dimension ref="A1:M39"/>
  <sheetViews>
    <sheetView showGridLines="0" showRowColHeaders="0" zoomScaleNormal="100" zoomScaleSheetLayoutView="100" workbookViewId="0">
      <selection activeCell="B17" sqref="B17"/>
    </sheetView>
  </sheetViews>
  <sheetFormatPr defaultRowHeight="12"/>
  <cols>
    <col min="1" max="1" width="38.140625" style="537" customWidth="1"/>
    <col min="2" max="3" width="9.7109375" style="537" bestFit="1" customWidth="1"/>
    <col min="4" max="4" width="9.5703125" style="537" bestFit="1" customWidth="1"/>
    <col min="5" max="10" width="9.7109375" style="537" bestFit="1" customWidth="1"/>
    <col min="11" max="11" width="10.42578125" style="537" bestFit="1" customWidth="1"/>
    <col min="12" max="256" width="9.140625" style="537"/>
    <col min="257" max="257" width="38.140625" style="537" customWidth="1"/>
    <col min="258" max="259" width="9.5703125" style="537" bestFit="1" customWidth="1"/>
    <col min="260" max="260" width="9.28515625" style="537" bestFit="1" customWidth="1"/>
    <col min="261" max="266" width="9.5703125" style="537" bestFit="1" customWidth="1"/>
    <col min="267" max="267" width="10.28515625" style="537" bestFit="1" customWidth="1"/>
    <col min="268" max="512" width="9.140625" style="537"/>
    <col min="513" max="513" width="38.140625" style="537" customWidth="1"/>
    <col min="514" max="515" width="9.5703125" style="537" bestFit="1" customWidth="1"/>
    <col min="516" max="516" width="9.28515625" style="537" bestFit="1" customWidth="1"/>
    <col min="517" max="522" width="9.5703125" style="537" bestFit="1" customWidth="1"/>
    <col min="523" max="523" width="10.28515625" style="537" bestFit="1" customWidth="1"/>
    <col min="524" max="768" width="9.140625" style="537"/>
    <col min="769" max="769" width="38.140625" style="537" customWidth="1"/>
    <col min="770" max="771" width="9.5703125" style="537" bestFit="1" customWidth="1"/>
    <col min="772" max="772" width="9.28515625" style="537" bestFit="1" customWidth="1"/>
    <col min="773" max="778" width="9.5703125" style="537" bestFit="1" customWidth="1"/>
    <col min="779" max="779" width="10.28515625" style="537" bestFit="1" customWidth="1"/>
    <col min="780" max="1024" width="9.140625" style="537"/>
    <col min="1025" max="1025" width="38.140625" style="537" customWidth="1"/>
    <col min="1026" max="1027" width="9.5703125" style="537" bestFit="1" customWidth="1"/>
    <col min="1028" max="1028" width="9.28515625" style="537" bestFit="1" customWidth="1"/>
    <col min="1029" max="1034" width="9.5703125" style="537" bestFit="1" customWidth="1"/>
    <col min="1035" max="1035" width="10.28515625" style="537" bestFit="1" customWidth="1"/>
    <col min="1036" max="1280" width="9.140625" style="537"/>
    <col min="1281" max="1281" width="38.140625" style="537" customWidth="1"/>
    <col min="1282" max="1283" width="9.5703125" style="537" bestFit="1" customWidth="1"/>
    <col min="1284" max="1284" width="9.28515625" style="537" bestFit="1" customWidth="1"/>
    <col min="1285" max="1290" width="9.5703125" style="537" bestFit="1" customWidth="1"/>
    <col min="1291" max="1291" width="10.28515625" style="537" bestFit="1" customWidth="1"/>
    <col min="1292" max="1536" width="9.140625" style="537"/>
    <col min="1537" max="1537" width="38.140625" style="537" customWidth="1"/>
    <col min="1538" max="1539" width="9.5703125" style="537" bestFit="1" customWidth="1"/>
    <col min="1540" max="1540" width="9.28515625" style="537" bestFit="1" customWidth="1"/>
    <col min="1541" max="1546" width="9.5703125" style="537" bestFit="1" customWidth="1"/>
    <col min="1547" max="1547" width="10.28515625" style="537" bestFit="1" customWidth="1"/>
    <col min="1548" max="1792" width="9.140625" style="537"/>
    <col min="1793" max="1793" width="38.140625" style="537" customWidth="1"/>
    <col min="1794" max="1795" width="9.5703125" style="537" bestFit="1" customWidth="1"/>
    <col min="1796" max="1796" width="9.28515625" style="537" bestFit="1" customWidth="1"/>
    <col min="1797" max="1802" width="9.5703125" style="537" bestFit="1" customWidth="1"/>
    <col min="1803" max="1803" width="10.28515625" style="537" bestFit="1" customWidth="1"/>
    <col min="1804" max="2048" width="9.140625" style="537"/>
    <col min="2049" max="2049" width="38.140625" style="537" customWidth="1"/>
    <col min="2050" max="2051" width="9.5703125" style="537" bestFit="1" customWidth="1"/>
    <col min="2052" max="2052" width="9.28515625" style="537" bestFit="1" customWidth="1"/>
    <col min="2053" max="2058" width="9.5703125" style="537" bestFit="1" customWidth="1"/>
    <col min="2059" max="2059" width="10.28515625" style="537" bestFit="1" customWidth="1"/>
    <col min="2060" max="2304" width="9.140625" style="537"/>
    <col min="2305" max="2305" width="38.140625" style="537" customWidth="1"/>
    <col min="2306" max="2307" width="9.5703125" style="537" bestFit="1" customWidth="1"/>
    <col min="2308" max="2308" width="9.28515625" style="537" bestFit="1" customWidth="1"/>
    <col min="2309" max="2314" width="9.5703125" style="537" bestFit="1" customWidth="1"/>
    <col min="2315" max="2315" width="10.28515625" style="537" bestFit="1" customWidth="1"/>
    <col min="2316" max="2560" width="9.140625" style="537"/>
    <col min="2561" max="2561" width="38.140625" style="537" customWidth="1"/>
    <col min="2562" max="2563" width="9.5703125" style="537" bestFit="1" customWidth="1"/>
    <col min="2564" max="2564" width="9.28515625" style="537" bestFit="1" customWidth="1"/>
    <col min="2565" max="2570" width="9.5703125" style="537" bestFit="1" customWidth="1"/>
    <col min="2571" max="2571" width="10.28515625" style="537" bestFit="1" customWidth="1"/>
    <col min="2572" max="2816" width="9.140625" style="537"/>
    <col min="2817" max="2817" width="38.140625" style="537" customWidth="1"/>
    <col min="2818" max="2819" width="9.5703125" style="537" bestFit="1" customWidth="1"/>
    <col min="2820" max="2820" width="9.28515625" style="537" bestFit="1" customWidth="1"/>
    <col min="2821" max="2826" width="9.5703125" style="537" bestFit="1" customWidth="1"/>
    <col min="2827" max="2827" width="10.28515625" style="537" bestFit="1" customWidth="1"/>
    <col min="2828" max="3072" width="9.140625" style="537"/>
    <col min="3073" max="3073" width="38.140625" style="537" customWidth="1"/>
    <col min="3074" max="3075" width="9.5703125" style="537" bestFit="1" customWidth="1"/>
    <col min="3076" max="3076" width="9.28515625" style="537" bestFit="1" customWidth="1"/>
    <col min="3077" max="3082" width="9.5703125" style="537" bestFit="1" customWidth="1"/>
    <col min="3083" max="3083" width="10.28515625" style="537" bestFit="1" customWidth="1"/>
    <col min="3084" max="3328" width="9.140625" style="537"/>
    <col min="3329" max="3329" width="38.140625" style="537" customWidth="1"/>
    <col min="3330" max="3331" width="9.5703125" style="537" bestFit="1" customWidth="1"/>
    <col min="3332" max="3332" width="9.28515625" style="537" bestFit="1" customWidth="1"/>
    <col min="3333" max="3338" width="9.5703125" style="537" bestFit="1" customWidth="1"/>
    <col min="3339" max="3339" width="10.28515625" style="537" bestFit="1" customWidth="1"/>
    <col min="3340" max="3584" width="9.140625" style="537"/>
    <col min="3585" max="3585" width="38.140625" style="537" customWidth="1"/>
    <col min="3586" max="3587" width="9.5703125" style="537" bestFit="1" customWidth="1"/>
    <col min="3588" max="3588" width="9.28515625" style="537" bestFit="1" customWidth="1"/>
    <col min="3589" max="3594" width="9.5703125" style="537" bestFit="1" customWidth="1"/>
    <col min="3595" max="3595" width="10.28515625" style="537" bestFit="1" customWidth="1"/>
    <col min="3596" max="3840" width="9.140625" style="537"/>
    <col min="3841" max="3841" width="38.140625" style="537" customWidth="1"/>
    <col min="3842" max="3843" width="9.5703125" style="537" bestFit="1" customWidth="1"/>
    <col min="3844" max="3844" width="9.28515625" style="537" bestFit="1" customWidth="1"/>
    <col min="3845" max="3850" width="9.5703125" style="537" bestFit="1" customWidth="1"/>
    <col min="3851" max="3851" width="10.28515625" style="537" bestFit="1" customWidth="1"/>
    <col min="3852" max="4096" width="9.140625" style="537"/>
    <col min="4097" max="4097" width="38.140625" style="537" customWidth="1"/>
    <col min="4098" max="4099" width="9.5703125" style="537" bestFit="1" customWidth="1"/>
    <col min="4100" max="4100" width="9.28515625" style="537" bestFit="1" customWidth="1"/>
    <col min="4101" max="4106" width="9.5703125" style="537" bestFit="1" customWidth="1"/>
    <col min="4107" max="4107" width="10.28515625" style="537" bestFit="1" customWidth="1"/>
    <col min="4108" max="4352" width="9.140625" style="537"/>
    <col min="4353" max="4353" width="38.140625" style="537" customWidth="1"/>
    <col min="4354" max="4355" width="9.5703125" style="537" bestFit="1" customWidth="1"/>
    <col min="4356" max="4356" width="9.28515625" style="537" bestFit="1" customWidth="1"/>
    <col min="4357" max="4362" width="9.5703125" style="537" bestFit="1" customWidth="1"/>
    <col min="4363" max="4363" width="10.28515625" style="537" bestFit="1" customWidth="1"/>
    <col min="4364" max="4608" width="9.140625" style="537"/>
    <col min="4609" max="4609" width="38.140625" style="537" customWidth="1"/>
    <col min="4610" max="4611" width="9.5703125" style="537" bestFit="1" customWidth="1"/>
    <col min="4612" max="4612" width="9.28515625" style="537" bestFit="1" customWidth="1"/>
    <col min="4613" max="4618" width="9.5703125" style="537" bestFit="1" customWidth="1"/>
    <col min="4619" max="4619" width="10.28515625" style="537" bestFit="1" customWidth="1"/>
    <col min="4620" max="4864" width="9.140625" style="537"/>
    <col min="4865" max="4865" width="38.140625" style="537" customWidth="1"/>
    <col min="4866" max="4867" width="9.5703125" style="537" bestFit="1" customWidth="1"/>
    <col min="4868" max="4868" width="9.28515625" style="537" bestFit="1" customWidth="1"/>
    <col min="4869" max="4874" width="9.5703125" style="537" bestFit="1" customWidth="1"/>
    <col min="4875" max="4875" width="10.28515625" style="537" bestFit="1" customWidth="1"/>
    <col min="4876" max="5120" width="9.140625" style="537"/>
    <col min="5121" max="5121" width="38.140625" style="537" customWidth="1"/>
    <col min="5122" max="5123" width="9.5703125" style="537" bestFit="1" customWidth="1"/>
    <col min="5124" max="5124" width="9.28515625" style="537" bestFit="1" customWidth="1"/>
    <col min="5125" max="5130" width="9.5703125" style="537" bestFit="1" customWidth="1"/>
    <col min="5131" max="5131" width="10.28515625" style="537" bestFit="1" customWidth="1"/>
    <col min="5132" max="5376" width="9.140625" style="537"/>
    <col min="5377" max="5377" width="38.140625" style="537" customWidth="1"/>
    <col min="5378" max="5379" width="9.5703125" style="537" bestFit="1" customWidth="1"/>
    <col min="5380" max="5380" width="9.28515625" style="537" bestFit="1" customWidth="1"/>
    <col min="5381" max="5386" width="9.5703125" style="537" bestFit="1" customWidth="1"/>
    <col min="5387" max="5387" width="10.28515625" style="537" bestFit="1" customWidth="1"/>
    <col min="5388" max="5632" width="9.140625" style="537"/>
    <col min="5633" max="5633" width="38.140625" style="537" customWidth="1"/>
    <col min="5634" max="5635" width="9.5703125" style="537" bestFit="1" customWidth="1"/>
    <col min="5636" max="5636" width="9.28515625" style="537" bestFit="1" customWidth="1"/>
    <col min="5637" max="5642" width="9.5703125" style="537" bestFit="1" customWidth="1"/>
    <col min="5643" max="5643" width="10.28515625" style="537" bestFit="1" customWidth="1"/>
    <col min="5644" max="5888" width="9.140625" style="537"/>
    <col min="5889" max="5889" width="38.140625" style="537" customWidth="1"/>
    <col min="5890" max="5891" width="9.5703125" style="537" bestFit="1" customWidth="1"/>
    <col min="5892" max="5892" width="9.28515625" style="537" bestFit="1" customWidth="1"/>
    <col min="5893" max="5898" width="9.5703125" style="537" bestFit="1" customWidth="1"/>
    <col min="5899" max="5899" width="10.28515625" style="537" bestFit="1" customWidth="1"/>
    <col min="5900" max="6144" width="9.140625" style="537"/>
    <col min="6145" max="6145" width="38.140625" style="537" customWidth="1"/>
    <col min="6146" max="6147" width="9.5703125" style="537" bestFit="1" customWidth="1"/>
    <col min="6148" max="6148" width="9.28515625" style="537" bestFit="1" customWidth="1"/>
    <col min="6149" max="6154" width="9.5703125" style="537" bestFit="1" customWidth="1"/>
    <col min="6155" max="6155" width="10.28515625" style="537" bestFit="1" customWidth="1"/>
    <col min="6156" max="6400" width="9.140625" style="537"/>
    <col min="6401" max="6401" width="38.140625" style="537" customWidth="1"/>
    <col min="6402" max="6403" width="9.5703125" style="537" bestFit="1" customWidth="1"/>
    <col min="6404" max="6404" width="9.28515625" style="537" bestFit="1" customWidth="1"/>
    <col min="6405" max="6410" width="9.5703125" style="537" bestFit="1" customWidth="1"/>
    <col min="6411" max="6411" width="10.28515625" style="537" bestFit="1" customWidth="1"/>
    <col min="6412" max="6656" width="9.140625" style="537"/>
    <col min="6657" max="6657" width="38.140625" style="537" customWidth="1"/>
    <col min="6658" max="6659" width="9.5703125" style="537" bestFit="1" customWidth="1"/>
    <col min="6660" max="6660" width="9.28515625" style="537" bestFit="1" customWidth="1"/>
    <col min="6661" max="6666" width="9.5703125" style="537" bestFit="1" customWidth="1"/>
    <col min="6667" max="6667" width="10.28515625" style="537" bestFit="1" customWidth="1"/>
    <col min="6668" max="6912" width="9.140625" style="537"/>
    <col min="6913" max="6913" width="38.140625" style="537" customWidth="1"/>
    <col min="6914" max="6915" width="9.5703125" style="537" bestFit="1" customWidth="1"/>
    <col min="6916" max="6916" width="9.28515625" style="537" bestFit="1" customWidth="1"/>
    <col min="6917" max="6922" width="9.5703125" style="537" bestFit="1" customWidth="1"/>
    <col min="6923" max="6923" width="10.28515625" style="537" bestFit="1" customWidth="1"/>
    <col min="6924" max="7168" width="9.140625" style="537"/>
    <col min="7169" max="7169" width="38.140625" style="537" customWidth="1"/>
    <col min="7170" max="7171" width="9.5703125" style="537" bestFit="1" customWidth="1"/>
    <col min="7172" max="7172" width="9.28515625" style="537" bestFit="1" customWidth="1"/>
    <col min="7173" max="7178" width="9.5703125" style="537" bestFit="1" customWidth="1"/>
    <col min="7179" max="7179" width="10.28515625" style="537" bestFit="1" customWidth="1"/>
    <col min="7180" max="7424" width="9.140625" style="537"/>
    <col min="7425" max="7425" width="38.140625" style="537" customWidth="1"/>
    <col min="7426" max="7427" width="9.5703125" style="537" bestFit="1" customWidth="1"/>
    <col min="7428" max="7428" width="9.28515625" style="537" bestFit="1" customWidth="1"/>
    <col min="7429" max="7434" width="9.5703125" style="537" bestFit="1" customWidth="1"/>
    <col min="7435" max="7435" width="10.28515625" style="537" bestFit="1" customWidth="1"/>
    <col min="7436" max="7680" width="9.140625" style="537"/>
    <col min="7681" max="7681" width="38.140625" style="537" customWidth="1"/>
    <col min="7682" max="7683" width="9.5703125" style="537" bestFit="1" customWidth="1"/>
    <col min="7684" max="7684" width="9.28515625" style="537" bestFit="1" customWidth="1"/>
    <col min="7685" max="7690" width="9.5703125" style="537" bestFit="1" customWidth="1"/>
    <col min="7691" max="7691" width="10.28515625" style="537" bestFit="1" customWidth="1"/>
    <col min="7692" max="7936" width="9.140625" style="537"/>
    <col min="7937" max="7937" width="38.140625" style="537" customWidth="1"/>
    <col min="7938" max="7939" width="9.5703125" style="537" bestFit="1" customWidth="1"/>
    <col min="7940" max="7940" width="9.28515625" style="537" bestFit="1" customWidth="1"/>
    <col min="7941" max="7946" width="9.5703125" style="537" bestFit="1" customWidth="1"/>
    <col min="7947" max="7947" width="10.28515625" style="537" bestFit="1" customWidth="1"/>
    <col min="7948" max="8192" width="9.140625" style="537"/>
    <col min="8193" max="8193" width="38.140625" style="537" customWidth="1"/>
    <col min="8194" max="8195" width="9.5703125" style="537" bestFit="1" customWidth="1"/>
    <col min="8196" max="8196" width="9.28515625" style="537" bestFit="1" customWidth="1"/>
    <col min="8197" max="8202" width="9.5703125" style="537" bestFit="1" customWidth="1"/>
    <col min="8203" max="8203" width="10.28515625" style="537" bestFit="1" customWidth="1"/>
    <col min="8204" max="8448" width="9.140625" style="537"/>
    <col min="8449" max="8449" width="38.140625" style="537" customWidth="1"/>
    <col min="8450" max="8451" width="9.5703125" style="537" bestFit="1" customWidth="1"/>
    <col min="8452" max="8452" width="9.28515625" style="537" bestFit="1" customWidth="1"/>
    <col min="8453" max="8458" width="9.5703125" style="537" bestFit="1" customWidth="1"/>
    <col min="8459" max="8459" width="10.28515625" style="537" bestFit="1" customWidth="1"/>
    <col min="8460" max="8704" width="9.140625" style="537"/>
    <col min="8705" max="8705" width="38.140625" style="537" customWidth="1"/>
    <col min="8706" max="8707" width="9.5703125" style="537" bestFit="1" customWidth="1"/>
    <col min="8708" max="8708" width="9.28515625" style="537" bestFit="1" customWidth="1"/>
    <col min="8709" max="8714" width="9.5703125" style="537" bestFit="1" customWidth="1"/>
    <col min="8715" max="8715" width="10.28515625" style="537" bestFit="1" customWidth="1"/>
    <col min="8716" max="8960" width="9.140625" style="537"/>
    <col min="8961" max="8961" width="38.140625" style="537" customWidth="1"/>
    <col min="8962" max="8963" width="9.5703125" style="537" bestFit="1" customWidth="1"/>
    <col min="8964" max="8964" width="9.28515625" style="537" bestFit="1" customWidth="1"/>
    <col min="8965" max="8970" width="9.5703125" style="537" bestFit="1" customWidth="1"/>
    <col min="8971" max="8971" width="10.28515625" style="537" bestFit="1" customWidth="1"/>
    <col min="8972" max="9216" width="9.140625" style="537"/>
    <col min="9217" max="9217" width="38.140625" style="537" customWidth="1"/>
    <col min="9218" max="9219" width="9.5703125" style="537" bestFit="1" customWidth="1"/>
    <col min="9220" max="9220" width="9.28515625" style="537" bestFit="1" customWidth="1"/>
    <col min="9221" max="9226" width="9.5703125" style="537" bestFit="1" customWidth="1"/>
    <col min="9227" max="9227" width="10.28515625" style="537" bestFit="1" customWidth="1"/>
    <col min="9228" max="9472" width="9.140625" style="537"/>
    <col min="9473" max="9473" width="38.140625" style="537" customWidth="1"/>
    <col min="9474" max="9475" width="9.5703125" style="537" bestFit="1" customWidth="1"/>
    <col min="9476" max="9476" width="9.28515625" style="537" bestFit="1" customWidth="1"/>
    <col min="9477" max="9482" width="9.5703125" style="537" bestFit="1" customWidth="1"/>
    <col min="9483" max="9483" width="10.28515625" style="537" bestFit="1" customWidth="1"/>
    <col min="9484" max="9728" width="9.140625" style="537"/>
    <col min="9729" max="9729" width="38.140625" style="537" customWidth="1"/>
    <col min="9730" max="9731" width="9.5703125" style="537" bestFit="1" customWidth="1"/>
    <col min="9732" max="9732" width="9.28515625" style="537" bestFit="1" customWidth="1"/>
    <col min="9733" max="9738" width="9.5703125" style="537" bestFit="1" customWidth="1"/>
    <col min="9739" max="9739" width="10.28515625" style="537" bestFit="1" customWidth="1"/>
    <col min="9740" max="9984" width="9.140625" style="537"/>
    <col min="9985" max="9985" width="38.140625" style="537" customWidth="1"/>
    <col min="9986" max="9987" width="9.5703125" style="537" bestFit="1" customWidth="1"/>
    <col min="9988" max="9988" width="9.28515625" style="537" bestFit="1" customWidth="1"/>
    <col min="9989" max="9994" width="9.5703125" style="537" bestFit="1" customWidth="1"/>
    <col min="9995" max="9995" width="10.28515625" style="537" bestFit="1" customWidth="1"/>
    <col min="9996" max="10240" width="9.140625" style="537"/>
    <col min="10241" max="10241" width="38.140625" style="537" customWidth="1"/>
    <col min="10242" max="10243" width="9.5703125" style="537" bestFit="1" customWidth="1"/>
    <col min="10244" max="10244" width="9.28515625" style="537" bestFit="1" customWidth="1"/>
    <col min="10245" max="10250" width="9.5703125" style="537" bestFit="1" customWidth="1"/>
    <col min="10251" max="10251" width="10.28515625" style="537" bestFit="1" customWidth="1"/>
    <col min="10252" max="10496" width="9.140625" style="537"/>
    <col min="10497" max="10497" width="38.140625" style="537" customWidth="1"/>
    <col min="10498" max="10499" width="9.5703125" style="537" bestFit="1" customWidth="1"/>
    <col min="10500" max="10500" width="9.28515625" style="537" bestFit="1" customWidth="1"/>
    <col min="10501" max="10506" width="9.5703125" style="537" bestFit="1" customWidth="1"/>
    <col min="10507" max="10507" width="10.28515625" style="537" bestFit="1" customWidth="1"/>
    <col min="10508" max="10752" width="9.140625" style="537"/>
    <col min="10753" max="10753" width="38.140625" style="537" customWidth="1"/>
    <col min="10754" max="10755" width="9.5703125" style="537" bestFit="1" customWidth="1"/>
    <col min="10756" max="10756" width="9.28515625" style="537" bestFit="1" customWidth="1"/>
    <col min="10757" max="10762" width="9.5703125" style="537" bestFit="1" customWidth="1"/>
    <col min="10763" max="10763" width="10.28515625" style="537" bestFit="1" customWidth="1"/>
    <col min="10764" max="11008" width="9.140625" style="537"/>
    <col min="11009" max="11009" width="38.140625" style="537" customWidth="1"/>
    <col min="11010" max="11011" width="9.5703125" style="537" bestFit="1" customWidth="1"/>
    <col min="11012" max="11012" width="9.28515625" style="537" bestFit="1" customWidth="1"/>
    <col min="11013" max="11018" width="9.5703125" style="537" bestFit="1" customWidth="1"/>
    <col min="11019" max="11019" width="10.28515625" style="537" bestFit="1" customWidth="1"/>
    <col min="11020" max="11264" width="9.140625" style="537"/>
    <col min="11265" max="11265" width="38.140625" style="537" customWidth="1"/>
    <col min="11266" max="11267" width="9.5703125" style="537" bestFit="1" customWidth="1"/>
    <col min="11268" max="11268" width="9.28515625" style="537" bestFit="1" customWidth="1"/>
    <col min="11269" max="11274" width="9.5703125" style="537" bestFit="1" customWidth="1"/>
    <col min="11275" max="11275" width="10.28515625" style="537" bestFit="1" customWidth="1"/>
    <col min="11276" max="11520" width="9.140625" style="537"/>
    <col min="11521" max="11521" width="38.140625" style="537" customWidth="1"/>
    <col min="11522" max="11523" width="9.5703125" style="537" bestFit="1" customWidth="1"/>
    <col min="11524" max="11524" width="9.28515625" style="537" bestFit="1" customWidth="1"/>
    <col min="11525" max="11530" width="9.5703125" style="537" bestFit="1" customWidth="1"/>
    <col min="11531" max="11531" width="10.28515625" style="537" bestFit="1" customWidth="1"/>
    <col min="11532" max="11776" width="9.140625" style="537"/>
    <col min="11777" max="11777" width="38.140625" style="537" customWidth="1"/>
    <col min="11778" max="11779" width="9.5703125" style="537" bestFit="1" customWidth="1"/>
    <col min="11780" max="11780" width="9.28515625" style="537" bestFit="1" customWidth="1"/>
    <col min="11781" max="11786" width="9.5703125" style="537" bestFit="1" customWidth="1"/>
    <col min="11787" max="11787" width="10.28515625" style="537" bestFit="1" customWidth="1"/>
    <col min="11788" max="12032" width="9.140625" style="537"/>
    <col min="12033" max="12033" width="38.140625" style="537" customWidth="1"/>
    <col min="12034" max="12035" width="9.5703125" style="537" bestFit="1" customWidth="1"/>
    <col min="12036" max="12036" width="9.28515625" style="537" bestFit="1" customWidth="1"/>
    <col min="12037" max="12042" width="9.5703125" style="537" bestFit="1" customWidth="1"/>
    <col min="12043" max="12043" width="10.28515625" style="537" bestFit="1" customWidth="1"/>
    <col min="12044" max="12288" width="9.140625" style="537"/>
    <col min="12289" max="12289" width="38.140625" style="537" customWidth="1"/>
    <col min="12290" max="12291" width="9.5703125" style="537" bestFit="1" customWidth="1"/>
    <col min="12292" max="12292" width="9.28515625" style="537" bestFit="1" customWidth="1"/>
    <col min="12293" max="12298" width="9.5703125" style="537" bestFit="1" customWidth="1"/>
    <col min="12299" max="12299" width="10.28515625" style="537" bestFit="1" customWidth="1"/>
    <col min="12300" max="12544" width="9.140625" style="537"/>
    <col min="12545" max="12545" width="38.140625" style="537" customWidth="1"/>
    <col min="12546" max="12547" width="9.5703125" style="537" bestFit="1" customWidth="1"/>
    <col min="12548" max="12548" width="9.28515625" style="537" bestFit="1" customWidth="1"/>
    <col min="12549" max="12554" width="9.5703125" style="537" bestFit="1" customWidth="1"/>
    <col min="12555" max="12555" width="10.28515625" style="537" bestFit="1" customWidth="1"/>
    <col min="12556" max="12800" width="9.140625" style="537"/>
    <col min="12801" max="12801" width="38.140625" style="537" customWidth="1"/>
    <col min="12802" max="12803" width="9.5703125" style="537" bestFit="1" customWidth="1"/>
    <col min="12804" max="12804" width="9.28515625" style="537" bestFit="1" customWidth="1"/>
    <col min="12805" max="12810" width="9.5703125" style="537" bestFit="1" customWidth="1"/>
    <col min="12811" max="12811" width="10.28515625" style="537" bestFit="1" customWidth="1"/>
    <col min="12812" max="13056" width="9.140625" style="537"/>
    <col min="13057" max="13057" width="38.140625" style="537" customWidth="1"/>
    <col min="13058" max="13059" width="9.5703125" style="537" bestFit="1" customWidth="1"/>
    <col min="13060" max="13060" width="9.28515625" style="537" bestFit="1" customWidth="1"/>
    <col min="13061" max="13066" width="9.5703125" style="537" bestFit="1" customWidth="1"/>
    <col min="13067" max="13067" width="10.28515625" style="537" bestFit="1" customWidth="1"/>
    <col min="13068" max="13312" width="9.140625" style="537"/>
    <col min="13313" max="13313" width="38.140625" style="537" customWidth="1"/>
    <col min="13314" max="13315" width="9.5703125" style="537" bestFit="1" customWidth="1"/>
    <col min="13316" max="13316" width="9.28515625" style="537" bestFit="1" customWidth="1"/>
    <col min="13317" max="13322" width="9.5703125" style="537" bestFit="1" customWidth="1"/>
    <col min="13323" max="13323" width="10.28515625" style="537" bestFit="1" customWidth="1"/>
    <col min="13324" max="13568" width="9.140625" style="537"/>
    <col min="13569" max="13569" width="38.140625" style="537" customWidth="1"/>
    <col min="13570" max="13571" width="9.5703125" style="537" bestFit="1" customWidth="1"/>
    <col min="13572" max="13572" width="9.28515625" style="537" bestFit="1" customWidth="1"/>
    <col min="13573" max="13578" width="9.5703125" style="537" bestFit="1" customWidth="1"/>
    <col min="13579" max="13579" width="10.28515625" style="537" bestFit="1" customWidth="1"/>
    <col min="13580" max="13824" width="9.140625" style="537"/>
    <col min="13825" max="13825" width="38.140625" style="537" customWidth="1"/>
    <col min="13826" max="13827" width="9.5703125" style="537" bestFit="1" customWidth="1"/>
    <col min="13828" max="13828" width="9.28515625" style="537" bestFit="1" customWidth="1"/>
    <col min="13829" max="13834" width="9.5703125" style="537" bestFit="1" customWidth="1"/>
    <col min="13835" max="13835" width="10.28515625" style="537" bestFit="1" customWidth="1"/>
    <col min="13836" max="14080" width="9.140625" style="537"/>
    <col min="14081" max="14081" width="38.140625" style="537" customWidth="1"/>
    <col min="14082" max="14083" width="9.5703125" style="537" bestFit="1" customWidth="1"/>
    <col min="14084" max="14084" width="9.28515625" style="537" bestFit="1" customWidth="1"/>
    <col min="14085" max="14090" width="9.5703125" style="537" bestFit="1" customWidth="1"/>
    <col min="14091" max="14091" width="10.28515625" style="537" bestFit="1" customWidth="1"/>
    <col min="14092" max="14336" width="9.140625" style="537"/>
    <col min="14337" max="14337" width="38.140625" style="537" customWidth="1"/>
    <col min="14338" max="14339" width="9.5703125" style="537" bestFit="1" customWidth="1"/>
    <col min="14340" max="14340" width="9.28515625" style="537" bestFit="1" customWidth="1"/>
    <col min="14341" max="14346" width="9.5703125" style="537" bestFit="1" customWidth="1"/>
    <col min="14347" max="14347" width="10.28515625" style="537" bestFit="1" customWidth="1"/>
    <col min="14348" max="14592" width="9.140625" style="537"/>
    <col min="14593" max="14593" width="38.140625" style="537" customWidth="1"/>
    <col min="14594" max="14595" width="9.5703125" style="537" bestFit="1" customWidth="1"/>
    <col min="14596" max="14596" width="9.28515625" style="537" bestFit="1" customWidth="1"/>
    <col min="14597" max="14602" width="9.5703125" style="537" bestFit="1" customWidth="1"/>
    <col min="14603" max="14603" width="10.28515625" style="537" bestFit="1" customWidth="1"/>
    <col min="14604" max="14848" width="9.140625" style="537"/>
    <col min="14849" max="14849" width="38.140625" style="537" customWidth="1"/>
    <col min="14850" max="14851" width="9.5703125" style="537" bestFit="1" customWidth="1"/>
    <col min="14852" max="14852" width="9.28515625" style="537" bestFit="1" customWidth="1"/>
    <col min="14853" max="14858" width="9.5703125" style="537" bestFit="1" customWidth="1"/>
    <col min="14859" max="14859" width="10.28515625" style="537" bestFit="1" customWidth="1"/>
    <col min="14860" max="15104" width="9.140625" style="537"/>
    <col min="15105" max="15105" width="38.140625" style="537" customWidth="1"/>
    <col min="15106" max="15107" width="9.5703125" style="537" bestFit="1" customWidth="1"/>
    <col min="15108" max="15108" width="9.28515625" style="537" bestFit="1" customWidth="1"/>
    <col min="15109" max="15114" width="9.5703125" style="537" bestFit="1" customWidth="1"/>
    <col min="15115" max="15115" width="10.28515625" style="537" bestFit="1" customWidth="1"/>
    <col min="15116" max="15360" width="9.140625" style="537"/>
    <col min="15361" max="15361" width="38.140625" style="537" customWidth="1"/>
    <col min="15362" max="15363" width="9.5703125" style="537" bestFit="1" customWidth="1"/>
    <col min="15364" max="15364" width="9.28515625" style="537" bestFit="1" customWidth="1"/>
    <col min="15365" max="15370" width="9.5703125" style="537" bestFit="1" customWidth="1"/>
    <col min="15371" max="15371" width="10.28515625" style="537" bestFit="1" customWidth="1"/>
    <col min="15372" max="15616" width="9.140625" style="537"/>
    <col min="15617" max="15617" width="38.140625" style="537" customWidth="1"/>
    <col min="15618" max="15619" width="9.5703125" style="537" bestFit="1" customWidth="1"/>
    <col min="15620" max="15620" width="9.28515625" style="537" bestFit="1" customWidth="1"/>
    <col min="15621" max="15626" width="9.5703125" style="537" bestFit="1" customWidth="1"/>
    <col min="15627" max="15627" width="10.28515625" style="537" bestFit="1" customWidth="1"/>
    <col min="15628" max="15872" width="9.140625" style="537"/>
    <col min="15873" max="15873" width="38.140625" style="537" customWidth="1"/>
    <col min="15874" max="15875" width="9.5703125" style="537" bestFit="1" customWidth="1"/>
    <col min="15876" max="15876" width="9.28515625" style="537" bestFit="1" customWidth="1"/>
    <col min="15877" max="15882" width="9.5703125" style="537" bestFit="1" customWidth="1"/>
    <col min="15883" max="15883" width="10.28515625" style="537" bestFit="1" customWidth="1"/>
    <col min="15884" max="16128" width="9.140625" style="537"/>
    <col min="16129" max="16129" width="38.140625" style="537" customWidth="1"/>
    <col min="16130" max="16131" width="9.5703125" style="537" bestFit="1" customWidth="1"/>
    <col min="16132" max="16132" width="9.28515625" style="537" bestFit="1" customWidth="1"/>
    <col min="16133" max="16138" width="9.5703125" style="537" bestFit="1" customWidth="1"/>
    <col min="16139" max="16139" width="10.28515625" style="537" bestFit="1" customWidth="1"/>
    <col min="16140" max="16384" width="9.140625" style="537"/>
  </cols>
  <sheetData>
    <row r="1" spans="1:13" ht="17.100000000000001" customHeight="1">
      <c r="A1" s="1503" t="s">
        <v>299</v>
      </c>
      <c r="B1" s="1504"/>
      <c r="C1" s="1504"/>
      <c r="D1" s="1504"/>
      <c r="E1" s="1504"/>
      <c r="F1" s="1504"/>
      <c r="G1" s="1504"/>
      <c r="H1" s="1504"/>
      <c r="I1" s="1504"/>
      <c r="J1" s="1504"/>
      <c r="K1" s="1505"/>
    </row>
    <row r="2" spans="1:13" ht="17.100000000000001" customHeight="1">
      <c r="A2" s="1506" t="s">
        <v>300</v>
      </c>
      <c r="B2" s="1507"/>
      <c r="C2" s="1507"/>
      <c r="D2" s="1507"/>
      <c r="E2" s="1507"/>
      <c r="F2" s="1507"/>
      <c r="G2" s="1507"/>
      <c r="H2" s="1507"/>
      <c r="I2" s="1507"/>
      <c r="J2" s="1507"/>
      <c r="K2" s="1508"/>
    </row>
    <row r="3" spans="1:13" ht="17.100000000000001" customHeight="1">
      <c r="A3" s="813" t="s">
        <v>301</v>
      </c>
      <c r="B3" s="538" t="s">
        <v>287</v>
      </c>
      <c r="C3" s="538" t="s">
        <v>288</v>
      </c>
      <c r="D3" s="538" t="s">
        <v>289</v>
      </c>
      <c r="E3" s="538" t="s">
        <v>290</v>
      </c>
      <c r="F3" s="538" t="s">
        <v>291</v>
      </c>
      <c r="G3" s="538" t="s">
        <v>292</v>
      </c>
      <c r="H3" s="538" t="s">
        <v>293</v>
      </c>
      <c r="I3" s="538" t="s">
        <v>294</v>
      </c>
      <c r="J3" s="538" t="s">
        <v>295</v>
      </c>
      <c r="K3" s="814" t="s">
        <v>296</v>
      </c>
      <c r="L3" s="539"/>
    </row>
    <row r="4" spans="1:13" ht="17.100000000000001" customHeight="1">
      <c r="A4" s="1500"/>
      <c r="B4" s="1501"/>
      <c r="C4" s="1501"/>
      <c r="D4" s="1501"/>
      <c r="E4" s="1501"/>
      <c r="F4" s="1501"/>
      <c r="G4" s="1501"/>
      <c r="H4" s="1501"/>
      <c r="I4" s="1501"/>
      <c r="J4" s="1501"/>
      <c r="K4" s="1502"/>
    </row>
    <row r="5" spans="1:13" ht="17.100000000000001" customHeight="1">
      <c r="A5" s="815" t="s">
        <v>302</v>
      </c>
      <c r="B5" s="541">
        <f>Profitability!B16</f>
        <v>256.29321775367089</v>
      </c>
      <c r="C5" s="541">
        <f>Profitability!C16</f>
        <v>331.05700872511062</v>
      </c>
      <c r="D5" s="541">
        <f>Profitability!D16</f>
        <v>362.30216970802587</v>
      </c>
      <c r="E5" s="541">
        <f>Profitability!E16</f>
        <v>395.56863650970467</v>
      </c>
      <c r="F5" s="541">
        <f>Profitability!F16</f>
        <v>430.98378581528686</v>
      </c>
      <c r="G5" s="541">
        <f>Profitability!G16</f>
        <v>468.68288121661794</v>
      </c>
      <c r="H5" s="541">
        <f>Profitability!H16</f>
        <v>508.80955560317761</v>
      </c>
      <c r="I5" s="541">
        <f>Profitability!I16</f>
        <v>551.51632279991736</v>
      </c>
      <c r="J5" s="541">
        <f>Profitability!J16</f>
        <v>596.96512021387889</v>
      </c>
      <c r="K5" s="816">
        <f>Profitability!K16</f>
        <v>645.32788435712337</v>
      </c>
    </row>
    <row r="6" spans="1:13" ht="17.100000000000001" customHeight="1">
      <c r="A6" s="815" t="s">
        <v>303</v>
      </c>
      <c r="B6" s="541">
        <f>'Interest Calculation'!B13</f>
        <v>132.65062499999999</v>
      </c>
      <c r="C6" s="541">
        <f>'Interest Calculation'!C13</f>
        <v>128.2289375</v>
      </c>
      <c r="D6" s="541">
        <f>'Interest Calculation'!D13</f>
        <v>110.54218750000001</v>
      </c>
      <c r="E6" s="541">
        <f>'Interest Calculation'!E13</f>
        <v>92.855437500000022</v>
      </c>
      <c r="F6" s="541">
        <f>'Interest Calculation'!F13</f>
        <v>75.168687500000004</v>
      </c>
      <c r="G6" s="541">
        <f>'Interest Calculation'!G13</f>
        <v>42.951812500000003</v>
      </c>
      <c r="H6" s="541">
        <f>'Interest Calculation'!H13</f>
        <v>34.108437500000001</v>
      </c>
      <c r="I6" s="541">
        <f>'Interest Calculation'!I13</f>
        <v>25.265062500000003</v>
      </c>
      <c r="J6" s="541">
        <f>'Interest Calculation'!J13</f>
        <v>16.421687500000004</v>
      </c>
      <c r="K6" s="816">
        <f>'Interest Calculation'!K13</f>
        <v>0</v>
      </c>
    </row>
    <row r="7" spans="1:13" ht="17.100000000000001" customHeight="1">
      <c r="A7" s="1500"/>
      <c r="B7" s="1501"/>
      <c r="C7" s="1501"/>
      <c r="D7" s="1501"/>
      <c r="E7" s="1501"/>
      <c r="F7" s="1501"/>
      <c r="G7" s="1501"/>
      <c r="H7" s="1501"/>
      <c r="I7" s="1501"/>
      <c r="J7" s="1501"/>
      <c r="K7" s="1502"/>
    </row>
    <row r="8" spans="1:13" s="543" customFormat="1" ht="17.100000000000001" customHeight="1">
      <c r="A8" s="817" t="s">
        <v>304</v>
      </c>
      <c r="B8" s="542">
        <f t="shared" ref="B8:K8" si="0">SUM(B5:B6)</f>
        <v>388.94384275367088</v>
      </c>
      <c r="C8" s="542">
        <f t="shared" si="0"/>
        <v>459.28594622511059</v>
      </c>
      <c r="D8" s="542">
        <f t="shared" si="0"/>
        <v>472.84435720802588</v>
      </c>
      <c r="E8" s="542">
        <f t="shared" si="0"/>
        <v>488.42407400970467</v>
      </c>
      <c r="F8" s="542">
        <f t="shared" si="0"/>
        <v>506.1524733152869</v>
      </c>
      <c r="G8" s="542">
        <f t="shared" si="0"/>
        <v>511.63469371661796</v>
      </c>
      <c r="H8" s="542">
        <f t="shared" si="0"/>
        <v>542.91799310317765</v>
      </c>
      <c r="I8" s="542">
        <f t="shared" si="0"/>
        <v>576.78138529991736</v>
      </c>
      <c r="J8" s="542">
        <f t="shared" si="0"/>
        <v>613.38680771387885</v>
      </c>
      <c r="K8" s="818">
        <f t="shared" si="0"/>
        <v>645.32788435712337</v>
      </c>
      <c r="M8" s="544"/>
    </row>
    <row r="9" spans="1:13" ht="17.100000000000001" customHeight="1">
      <c r="A9" s="1500"/>
      <c r="B9" s="1501"/>
      <c r="C9" s="1501"/>
      <c r="D9" s="1501"/>
      <c r="E9" s="1501"/>
      <c r="F9" s="1501"/>
      <c r="G9" s="1501"/>
      <c r="H9" s="1501"/>
      <c r="I9" s="1501"/>
      <c r="J9" s="1501"/>
      <c r="K9" s="1502"/>
    </row>
    <row r="10" spans="1:13" ht="17.100000000000001" customHeight="1">
      <c r="A10" s="815" t="s">
        <v>305</v>
      </c>
      <c r="B10" s="541">
        <f t="shared" ref="B10:K10" si="1">+B6</f>
        <v>132.65062499999999</v>
      </c>
      <c r="C10" s="541">
        <f t="shared" si="1"/>
        <v>128.2289375</v>
      </c>
      <c r="D10" s="541">
        <f t="shared" si="1"/>
        <v>110.54218750000001</v>
      </c>
      <c r="E10" s="541">
        <f t="shared" si="1"/>
        <v>92.855437500000022</v>
      </c>
      <c r="F10" s="541">
        <f t="shared" si="1"/>
        <v>75.168687500000004</v>
      </c>
      <c r="G10" s="541">
        <f t="shared" si="1"/>
        <v>42.951812500000003</v>
      </c>
      <c r="H10" s="541">
        <f t="shared" si="1"/>
        <v>34.108437500000001</v>
      </c>
      <c r="I10" s="541">
        <f t="shared" si="1"/>
        <v>25.265062500000003</v>
      </c>
      <c r="J10" s="541">
        <f t="shared" si="1"/>
        <v>16.421687500000004</v>
      </c>
      <c r="K10" s="816">
        <f t="shared" si="1"/>
        <v>0</v>
      </c>
    </row>
    <row r="11" spans="1:13" ht="17.100000000000001" customHeight="1">
      <c r="A11" s="815" t="s">
        <v>306</v>
      </c>
      <c r="B11" s="541">
        <f>'Interest Calculation'!B10</f>
        <v>0</v>
      </c>
      <c r="C11" s="541">
        <f>'Interest Calculation'!C10</f>
        <v>176.86749999999998</v>
      </c>
      <c r="D11" s="541">
        <f>'Interest Calculation'!D10</f>
        <v>176.86749999999998</v>
      </c>
      <c r="E11" s="541">
        <f>'Interest Calculation'!E10</f>
        <v>176.86749999999998</v>
      </c>
      <c r="F11" s="541">
        <f>'Interest Calculation'!F10</f>
        <v>176.86749999999998</v>
      </c>
      <c r="G11" s="541">
        <f>'Interest Calculation'!G10</f>
        <v>176.86749999999998</v>
      </c>
      <c r="H11" s="541">
        <f>'Interest Calculation'!H10</f>
        <v>176.86749999999998</v>
      </c>
      <c r="I11" s="541">
        <f>'Interest Calculation'!I10</f>
        <v>176.86749999999998</v>
      </c>
      <c r="J11" s="541">
        <f>'Interest Calculation'!J10</f>
        <v>176.86749999999998</v>
      </c>
      <c r="K11" s="816">
        <f>'Interest Calculation'!K10</f>
        <v>132.65062499999999</v>
      </c>
    </row>
    <row r="12" spans="1:13" ht="17.100000000000001" customHeight="1">
      <c r="A12" s="1500"/>
      <c r="B12" s="1501"/>
      <c r="C12" s="1501"/>
      <c r="D12" s="1501"/>
      <c r="E12" s="1501"/>
      <c r="F12" s="1501"/>
      <c r="G12" s="1501"/>
      <c r="H12" s="1501"/>
      <c r="I12" s="1501"/>
      <c r="J12" s="1501"/>
      <c r="K12" s="1502"/>
    </row>
    <row r="13" spans="1:13" s="543" customFormat="1" ht="17.100000000000001" customHeight="1">
      <c r="A13" s="817" t="s">
        <v>307</v>
      </c>
      <c r="B13" s="542">
        <f t="shared" ref="B13:K13" si="2">SUM(B10:B11)</f>
        <v>132.65062499999999</v>
      </c>
      <c r="C13" s="542">
        <f t="shared" si="2"/>
        <v>305.09643749999998</v>
      </c>
      <c r="D13" s="542">
        <f t="shared" si="2"/>
        <v>287.40968750000002</v>
      </c>
      <c r="E13" s="542">
        <f t="shared" si="2"/>
        <v>269.7229375</v>
      </c>
      <c r="F13" s="542">
        <f t="shared" si="2"/>
        <v>252.03618749999998</v>
      </c>
      <c r="G13" s="542">
        <f t="shared" si="2"/>
        <v>219.81931249999997</v>
      </c>
      <c r="H13" s="542">
        <f t="shared" si="2"/>
        <v>210.97593749999999</v>
      </c>
      <c r="I13" s="542">
        <f t="shared" si="2"/>
        <v>202.13256249999998</v>
      </c>
      <c r="J13" s="542">
        <f t="shared" si="2"/>
        <v>193.28918749999997</v>
      </c>
      <c r="K13" s="818">
        <f t="shared" si="2"/>
        <v>132.65062499999999</v>
      </c>
      <c r="M13" s="544"/>
    </row>
    <row r="14" spans="1:13" ht="17.100000000000001" customHeight="1">
      <c r="A14" s="1500"/>
      <c r="B14" s="1501"/>
      <c r="C14" s="1501"/>
      <c r="D14" s="1501"/>
      <c r="E14" s="1501"/>
      <c r="F14" s="1501"/>
      <c r="G14" s="1501"/>
      <c r="H14" s="1501"/>
      <c r="I14" s="1501"/>
      <c r="J14" s="1501"/>
      <c r="K14" s="1502"/>
    </row>
    <row r="15" spans="1:13" s="543" customFormat="1" ht="17.100000000000001" customHeight="1">
      <c r="A15" s="813" t="s">
        <v>308</v>
      </c>
      <c r="B15" s="542">
        <f t="shared" ref="B15:I15" si="3">+B8/B13</f>
        <v>2.9320920482181738</v>
      </c>
      <c r="C15" s="542">
        <f t="shared" si="3"/>
        <v>1.5053795776462011</v>
      </c>
      <c r="D15" s="542">
        <f t="shared" si="3"/>
        <v>1.6451928302104495</v>
      </c>
      <c r="E15" s="542">
        <f t="shared" si="3"/>
        <v>1.8108362549243877</v>
      </c>
      <c r="F15" s="542">
        <f t="shared" si="3"/>
        <v>2.0082531732284949</v>
      </c>
      <c r="G15" s="542">
        <f t="shared" si="3"/>
        <v>2.3275238553783488</v>
      </c>
      <c r="H15" s="542">
        <f t="shared" si="3"/>
        <v>2.5733645245831775</v>
      </c>
      <c r="I15" s="542">
        <f t="shared" si="3"/>
        <v>2.853480795801604</v>
      </c>
      <c r="J15" s="542"/>
      <c r="K15" s="818"/>
    </row>
    <row r="16" spans="1:13" ht="17.100000000000001" customHeight="1">
      <c r="A16" s="1500"/>
      <c r="B16" s="1501"/>
      <c r="C16" s="1501"/>
      <c r="D16" s="1501"/>
      <c r="E16" s="1501"/>
      <c r="F16" s="1501"/>
      <c r="G16" s="1501"/>
      <c r="H16" s="1501"/>
      <c r="I16" s="1501"/>
      <c r="J16" s="1501"/>
      <c r="K16" s="1502"/>
    </row>
    <row r="17" spans="1:11" ht="17.100000000000001" customHeight="1">
      <c r="A17" s="819" t="s">
        <v>309</v>
      </c>
      <c r="B17" s="820">
        <f>SUM(B8:I8)/SUM(B13:I13)</f>
        <v>2.0996345557223424</v>
      </c>
      <c r="C17" s="821"/>
      <c r="D17" s="821"/>
      <c r="E17" s="821"/>
      <c r="F17" s="821"/>
      <c r="G17" s="821"/>
      <c r="H17" s="821"/>
      <c r="I17" s="821"/>
      <c r="J17" s="821"/>
      <c r="K17" s="822"/>
    </row>
    <row r="18" spans="1:11" ht="17.100000000000001" customHeight="1">
      <c r="A18" s="540"/>
      <c r="B18" s="540"/>
      <c r="C18" s="540"/>
      <c r="D18" s="540"/>
      <c r="E18" s="540"/>
      <c r="F18" s="540"/>
      <c r="G18" s="540"/>
      <c r="H18" s="540"/>
      <c r="I18" s="540"/>
      <c r="J18" s="540"/>
      <c r="K18" s="540"/>
    </row>
    <row r="21" spans="1:11">
      <c r="B21" s="545"/>
      <c r="D21" s="546"/>
      <c r="E21" s="546"/>
      <c r="F21" s="546"/>
      <c r="G21" s="546"/>
      <c r="H21" s="546"/>
      <c r="I21" s="546"/>
      <c r="J21" s="546"/>
      <c r="K21" s="546"/>
    </row>
    <row r="22" spans="1:11">
      <c r="D22" s="546"/>
      <c r="E22" s="546"/>
      <c r="F22" s="546"/>
      <c r="G22" s="546"/>
      <c r="H22" s="546"/>
      <c r="I22" s="546"/>
      <c r="J22" s="546"/>
      <c r="K22" s="546"/>
    </row>
    <row r="23" spans="1:11">
      <c r="D23" s="546"/>
      <c r="E23" s="546"/>
      <c r="F23" s="546"/>
      <c r="G23" s="546"/>
      <c r="H23" s="546"/>
      <c r="I23" s="546"/>
      <c r="J23" s="546"/>
      <c r="K23" s="546"/>
    </row>
    <row r="24" spans="1:11">
      <c r="D24" s="546"/>
      <c r="E24" s="546"/>
      <c r="F24" s="546"/>
      <c r="G24" s="546"/>
      <c r="H24" s="546"/>
      <c r="I24" s="546"/>
      <c r="J24" s="546"/>
      <c r="K24" s="546"/>
    </row>
    <row r="25" spans="1:11">
      <c r="D25" s="546"/>
      <c r="E25" s="546"/>
      <c r="F25" s="546"/>
      <c r="G25" s="546"/>
      <c r="H25" s="546"/>
      <c r="I25" s="546"/>
      <c r="J25" s="546"/>
      <c r="K25" s="546"/>
    </row>
    <row r="26" spans="1:11">
      <c r="D26" s="546"/>
      <c r="E26" s="546"/>
      <c r="F26" s="546"/>
      <c r="G26" s="546"/>
      <c r="H26" s="546"/>
      <c r="I26" s="546"/>
      <c r="J26" s="546"/>
      <c r="K26" s="546"/>
    </row>
    <row r="27" spans="1:11">
      <c r="D27" s="546"/>
      <c r="E27" s="546"/>
      <c r="F27" s="546"/>
      <c r="G27" s="546"/>
      <c r="H27" s="546"/>
      <c r="I27" s="546"/>
      <c r="J27" s="546"/>
      <c r="K27" s="546"/>
    </row>
    <row r="28" spans="1:11">
      <c r="D28" s="546"/>
      <c r="E28" s="546"/>
      <c r="F28" s="546"/>
      <c r="G28" s="546"/>
      <c r="H28" s="546"/>
      <c r="I28" s="546"/>
      <c r="J28" s="546"/>
      <c r="K28" s="546"/>
    </row>
    <row r="29" spans="1:11">
      <c r="D29" s="546"/>
      <c r="E29" s="546"/>
      <c r="F29" s="546"/>
      <c r="G29" s="546"/>
      <c r="H29" s="546"/>
      <c r="I29" s="546"/>
      <c r="J29" s="546"/>
      <c r="K29" s="546"/>
    </row>
    <row r="30" spans="1:11">
      <c r="D30" s="546"/>
      <c r="E30" s="546"/>
      <c r="F30" s="546"/>
      <c r="G30" s="546"/>
      <c r="H30" s="546"/>
      <c r="I30" s="546"/>
      <c r="J30" s="546"/>
      <c r="K30" s="546"/>
    </row>
    <row r="31" spans="1:11">
      <c r="D31" s="546"/>
      <c r="E31" s="546"/>
      <c r="F31" s="546"/>
      <c r="G31" s="546"/>
      <c r="H31" s="546"/>
      <c r="I31" s="546"/>
      <c r="J31" s="546"/>
      <c r="K31" s="546"/>
    </row>
    <row r="32" spans="1:11">
      <c r="D32" s="546"/>
      <c r="E32" s="546"/>
      <c r="F32" s="546"/>
      <c r="G32" s="546"/>
      <c r="H32" s="546"/>
      <c r="I32" s="546"/>
      <c r="J32" s="546"/>
      <c r="K32" s="546"/>
    </row>
    <row r="33" spans="4:11">
      <c r="D33" s="546"/>
      <c r="E33" s="546"/>
      <c r="F33" s="546"/>
      <c r="G33" s="546"/>
      <c r="H33" s="546"/>
      <c r="I33" s="546"/>
      <c r="J33" s="546"/>
      <c r="K33" s="546"/>
    </row>
    <row r="34" spans="4:11">
      <c r="D34" s="546"/>
      <c r="E34" s="546"/>
      <c r="F34" s="546"/>
      <c r="G34" s="546"/>
      <c r="H34" s="546"/>
      <c r="I34" s="546"/>
      <c r="J34" s="546"/>
      <c r="K34" s="546"/>
    </row>
    <row r="35" spans="4:11">
      <c r="D35" s="546"/>
      <c r="E35" s="546"/>
      <c r="F35" s="546"/>
      <c r="G35" s="546"/>
      <c r="H35" s="546"/>
      <c r="I35" s="546"/>
      <c r="J35" s="546"/>
      <c r="K35" s="546"/>
    </row>
    <row r="36" spans="4:11">
      <c r="D36" s="546"/>
      <c r="E36" s="546"/>
      <c r="F36" s="546"/>
      <c r="G36" s="546"/>
      <c r="H36" s="546"/>
      <c r="I36" s="546"/>
      <c r="J36" s="546"/>
      <c r="K36" s="546"/>
    </row>
    <row r="37" spans="4:11">
      <c r="D37" s="546"/>
      <c r="E37" s="546"/>
      <c r="F37" s="546"/>
      <c r="G37" s="546"/>
      <c r="H37" s="546"/>
      <c r="I37" s="546"/>
      <c r="J37" s="546"/>
      <c r="K37" s="546"/>
    </row>
    <row r="38" spans="4:11">
      <c r="D38" s="546"/>
      <c r="E38" s="546"/>
      <c r="F38" s="546"/>
      <c r="G38" s="546"/>
      <c r="H38" s="546"/>
      <c r="I38" s="546"/>
      <c r="J38" s="546"/>
      <c r="K38" s="546"/>
    </row>
    <row r="39" spans="4:11">
      <c r="D39" s="546"/>
      <c r="E39" s="546"/>
      <c r="F39" s="546"/>
      <c r="G39" s="546"/>
      <c r="H39" s="546"/>
      <c r="I39" s="546"/>
      <c r="J39" s="546"/>
      <c r="K39" s="546"/>
    </row>
  </sheetData>
  <mergeCells count="8">
    <mergeCell ref="A14:K14"/>
    <mergeCell ref="A16:K16"/>
    <mergeCell ref="A1:K1"/>
    <mergeCell ref="A2:K2"/>
    <mergeCell ref="A4:K4"/>
    <mergeCell ref="A7:K7"/>
    <mergeCell ref="A9:K9"/>
    <mergeCell ref="A12:K12"/>
  </mergeCells>
  <printOptions gridLines="1"/>
  <pageMargins left="0.75" right="0.75" top="1" bottom="1" header="0.5" footer="0.5"/>
  <pageSetup paperSize="9" scale="95"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9"/>
  <dimension ref="A1:I6"/>
  <sheetViews>
    <sheetView showGridLines="0" zoomScaleNormal="100" zoomScaleSheetLayoutView="100" workbookViewId="0">
      <selection activeCell="A5" sqref="A5"/>
    </sheetView>
  </sheetViews>
  <sheetFormatPr defaultRowHeight="12.75"/>
  <cols>
    <col min="1" max="1" width="31.85546875" style="161" customWidth="1"/>
    <col min="2" max="2" width="21.140625" style="161" customWidth="1"/>
    <col min="3" max="3" width="26.42578125" style="161" customWidth="1"/>
    <col min="4" max="4" width="14" style="161" customWidth="1"/>
    <col min="5" max="5" width="13.28515625" style="161" customWidth="1"/>
    <col min="6" max="256" width="9.140625" style="161"/>
    <col min="257" max="257" width="31.85546875" style="161" customWidth="1"/>
    <col min="258" max="258" width="21.140625" style="161" customWidth="1"/>
    <col min="259" max="259" width="26.42578125" style="161" customWidth="1"/>
    <col min="260" max="260" width="11.140625" style="161" bestFit="1" customWidth="1"/>
    <col min="261" max="512" width="9.140625" style="161"/>
    <col min="513" max="513" width="31.85546875" style="161" customWidth="1"/>
    <col min="514" max="514" width="21.140625" style="161" customWidth="1"/>
    <col min="515" max="515" width="26.42578125" style="161" customWidth="1"/>
    <col min="516" max="516" width="11.140625" style="161" bestFit="1" customWidth="1"/>
    <col min="517" max="768" width="9.140625" style="161"/>
    <col min="769" max="769" width="31.85546875" style="161" customWidth="1"/>
    <col min="770" max="770" width="21.140625" style="161" customWidth="1"/>
    <col min="771" max="771" width="26.42578125" style="161" customWidth="1"/>
    <col min="772" max="772" width="11.140625" style="161" bestFit="1" customWidth="1"/>
    <col min="773" max="1024" width="9.140625" style="161"/>
    <col min="1025" max="1025" width="31.85546875" style="161" customWidth="1"/>
    <col min="1026" max="1026" width="21.140625" style="161" customWidth="1"/>
    <col min="1027" max="1027" width="26.42578125" style="161" customWidth="1"/>
    <col min="1028" max="1028" width="11.140625" style="161" bestFit="1" customWidth="1"/>
    <col min="1029" max="1280" width="9.140625" style="161"/>
    <col min="1281" max="1281" width="31.85546875" style="161" customWidth="1"/>
    <col min="1282" max="1282" width="21.140625" style="161" customWidth="1"/>
    <col min="1283" max="1283" width="26.42578125" style="161" customWidth="1"/>
    <col min="1284" max="1284" width="11.140625" style="161" bestFit="1" customWidth="1"/>
    <col min="1285" max="1536" width="9.140625" style="161"/>
    <col min="1537" max="1537" width="31.85546875" style="161" customWidth="1"/>
    <col min="1538" max="1538" width="21.140625" style="161" customWidth="1"/>
    <col min="1539" max="1539" width="26.42578125" style="161" customWidth="1"/>
    <col min="1540" max="1540" width="11.140625" style="161" bestFit="1" customWidth="1"/>
    <col min="1541" max="1792" width="9.140625" style="161"/>
    <col min="1793" max="1793" width="31.85546875" style="161" customWidth="1"/>
    <col min="1794" max="1794" width="21.140625" style="161" customWidth="1"/>
    <col min="1795" max="1795" width="26.42578125" style="161" customWidth="1"/>
    <col min="1796" max="1796" width="11.140625" style="161" bestFit="1" customWidth="1"/>
    <col min="1797" max="2048" width="9.140625" style="161"/>
    <col min="2049" max="2049" width="31.85546875" style="161" customWidth="1"/>
    <col min="2050" max="2050" width="21.140625" style="161" customWidth="1"/>
    <col min="2051" max="2051" width="26.42578125" style="161" customWidth="1"/>
    <col min="2052" max="2052" width="11.140625" style="161" bestFit="1" customWidth="1"/>
    <col min="2053" max="2304" width="9.140625" style="161"/>
    <col min="2305" max="2305" width="31.85546875" style="161" customWidth="1"/>
    <col min="2306" max="2306" width="21.140625" style="161" customWidth="1"/>
    <col min="2307" max="2307" width="26.42578125" style="161" customWidth="1"/>
    <col min="2308" max="2308" width="11.140625" style="161" bestFit="1" customWidth="1"/>
    <col min="2309" max="2560" width="9.140625" style="161"/>
    <col min="2561" max="2561" width="31.85546875" style="161" customWidth="1"/>
    <col min="2562" max="2562" width="21.140625" style="161" customWidth="1"/>
    <col min="2563" max="2563" width="26.42578125" style="161" customWidth="1"/>
    <col min="2564" max="2564" width="11.140625" style="161" bestFit="1" customWidth="1"/>
    <col min="2565" max="2816" width="9.140625" style="161"/>
    <col min="2817" max="2817" width="31.85546875" style="161" customWidth="1"/>
    <col min="2818" max="2818" width="21.140625" style="161" customWidth="1"/>
    <col min="2819" max="2819" width="26.42578125" style="161" customWidth="1"/>
    <col min="2820" max="2820" width="11.140625" style="161" bestFit="1" customWidth="1"/>
    <col min="2821" max="3072" width="9.140625" style="161"/>
    <col min="3073" max="3073" width="31.85546875" style="161" customWidth="1"/>
    <col min="3074" max="3074" width="21.140625" style="161" customWidth="1"/>
    <col min="3075" max="3075" width="26.42578125" style="161" customWidth="1"/>
    <col min="3076" max="3076" width="11.140625" style="161" bestFit="1" customWidth="1"/>
    <col min="3077" max="3328" width="9.140625" style="161"/>
    <col min="3329" max="3329" width="31.85546875" style="161" customWidth="1"/>
    <col min="3330" max="3330" width="21.140625" style="161" customWidth="1"/>
    <col min="3331" max="3331" width="26.42578125" style="161" customWidth="1"/>
    <col min="3332" max="3332" width="11.140625" style="161" bestFit="1" customWidth="1"/>
    <col min="3333" max="3584" width="9.140625" style="161"/>
    <col min="3585" max="3585" width="31.85546875" style="161" customWidth="1"/>
    <col min="3586" max="3586" width="21.140625" style="161" customWidth="1"/>
    <col min="3587" max="3587" width="26.42578125" style="161" customWidth="1"/>
    <col min="3588" max="3588" width="11.140625" style="161" bestFit="1" customWidth="1"/>
    <col min="3589" max="3840" width="9.140625" style="161"/>
    <col min="3841" max="3841" width="31.85546875" style="161" customWidth="1"/>
    <col min="3842" max="3842" width="21.140625" style="161" customWidth="1"/>
    <col min="3843" max="3843" width="26.42578125" style="161" customWidth="1"/>
    <col min="3844" max="3844" width="11.140625" style="161" bestFit="1" customWidth="1"/>
    <col min="3845" max="4096" width="9.140625" style="161"/>
    <col min="4097" max="4097" width="31.85546875" style="161" customWidth="1"/>
    <col min="4098" max="4098" width="21.140625" style="161" customWidth="1"/>
    <col min="4099" max="4099" width="26.42578125" style="161" customWidth="1"/>
    <col min="4100" max="4100" width="11.140625" style="161" bestFit="1" customWidth="1"/>
    <col min="4101" max="4352" width="9.140625" style="161"/>
    <col min="4353" max="4353" width="31.85546875" style="161" customWidth="1"/>
    <col min="4354" max="4354" width="21.140625" style="161" customWidth="1"/>
    <col min="4355" max="4355" width="26.42578125" style="161" customWidth="1"/>
    <col min="4356" max="4356" width="11.140625" style="161" bestFit="1" customWidth="1"/>
    <col min="4357" max="4608" width="9.140625" style="161"/>
    <col min="4609" max="4609" width="31.85546875" style="161" customWidth="1"/>
    <col min="4610" max="4610" width="21.140625" style="161" customWidth="1"/>
    <col min="4611" max="4611" width="26.42578125" style="161" customWidth="1"/>
    <col min="4612" max="4612" width="11.140625" style="161" bestFit="1" customWidth="1"/>
    <col min="4613" max="4864" width="9.140625" style="161"/>
    <col min="4865" max="4865" width="31.85546875" style="161" customWidth="1"/>
    <col min="4866" max="4866" width="21.140625" style="161" customWidth="1"/>
    <col min="4867" max="4867" width="26.42578125" style="161" customWidth="1"/>
    <col min="4868" max="4868" width="11.140625" style="161" bestFit="1" customWidth="1"/>
    <col min="4869" max="5120" width="9.140625" style="161"/>
    <col min="5121" max="5121" width="31.85546875" style="161" customWidth="1"/>
    <col min="5122" max="5122" width="21.140625" style="161" customWidth="1"/>
    <col min="5123" max="5123" width="26.42578125" style="161" customWidth="1"/>
    <col min="5124" max="5124" width="11.140625" style="161" bestFit="1" customWidth="1"/>
    <col min="5125" max="5376" width="9.140625" style="161"/>
    <col min="5377" max="5377" width="31.85546875" style="161" customWidth="1"/>
    <col min="5378" max="5378" width="21.140625" style="161" customWidth="1"/>
    <col min="5379" max="5379" width="26.42578125" style="161" customWidth="1"/>
    <col min="5380" max="5380" width="11.140625" style="161" bestFit="1" customWidth="1"/>
    <col min="5381" max="5632" width="9.140625" style="161"/>
    <col min="5633" max="5633" width="31.85546875" style="161" customWidth="1"/>
    <col min="5634" max="5634" width="21.140625" style="161" customWidth="1"/>
    <col min="5635" max="5635" width="26.42578125" style="161" customWidth="1"/>
    <col min="5636" max="5636" width="11.140625" style="161" bestFit="1" customWidth="1"/>
    <col min="5637" max="5888" width="9.140625" style="161"/>
    <col min="5889" max="5889" width="31.85546875" style="161" customWidth="1"/>
    <col min="5890" max="5890" width="21.140625" style="161" customWidth="1"/>
    <col min="5891" max="5891" width="26.42578125" style="161" customWidth="1"/>
    <col min="5892" max="5892" width="11.140625" style="161" bestFit="1" customWidth="1"/>
    <col min="5893" max="6144" width="9.140625" style="161"/>
    <col min="6145" max="6145" width="31.85546875" style="161" customWidth="1"/>
    <col min="6146" max="6146" width="21.140625" style="161" customWidth="1"/>
    <col min="6147" max="6147" width="26.42578125" style="161" customWidth="1"/>
    <col min="6148" max="6148" width="11.140625" style="161" bestFit="1" customWidth="1"/>
    <col min="6149" max="6400" width="9.140625" style="161"/>
    <col min="6401" max="6401" width="31.85546875" style="161" customWidth="1"/>
    <col min="6402" max="6402" width="21.140625" style="161" customWidth="1"/>
    <col min="6403" max="6403" width="26.42578125" style="161" customWidth="1"/>
    <col min="6404" max="6404" width="11.140625" style="161" bestFit="1" customWidth="1"/>
    <col min="6405" max="6656" width="9.140625" style="161"/>
    <col min="6657" max="6657" width="31.85546875" style="161" customWidth="1"/>
    <col min="6658" max="6658" width="21.140625" style="161" customWidth="1"/>
    <col min="6659" max="6659" width="26.42578125" style="161" customWidth="1"/>
    <col min="6660" max="6660" width="11.140625" style="161" bestFit="1" customWidth="1"/>
    <col min="6661" max="6912" width="9.140625" style="161"/>
    <col min="6913" max="6913" width="31.85546875" style="161" customWidth="1"/>
    <col min="6914" max="6914" width="21.140625" style="161" customWidth="1"/>
    <col min="6915" max="6915" width="26.42578125" style="161" customWidth="1"/>
    <col min="6916" max="6916" width="11.140625" style="161" bestFit="1" customWidth="1"/>
    <col min="6917" max="7168" width="9.140625" style="161"/>
    <col min="7169" max="7169" width="31.85546875" style="161" customWidth="1"/>
    <col min="7170" max="7170" width="21.140625" style="161" customWidth="1"/>
    <col min="7171" max="7171" width="26.42578125" style="161" customWidth="1"/>
    <col min="7172" max="7172" width="11.140625" style="161" bestFit="1" customWidth="1"/>
    <col min="7173" max="7424" width="9.140625" style="161"/>
    <col min="7425" max="7425" width="31.85546875" style="161" customWidth="1"/>
    <col min="7426" max="7426" width="21.140625" style="161" customWidth="1"/>
    <col min="7427" max="7427" width="26.42578125" style="161" customWidth="1"/>
    <col min="7428" max="7428" width="11.140625" style="161" bestFit="1" customWidth="1"/>
    <col min="7429" max="7680" width="9.140625" style="161"/>
    <col min="7681" max="7681" width="31.85546875" style="161" customWidth="1"/>
    <col min="7682" max="7682" width="21.140625" style="161" customWidth="1"/>
    <col min="7683" max="7683" width="26.42578125" style="161" customWidth="1"/>
    <col min="7684" max="7684" width="11.140625" style="161" bestFit="1" customWidth="1"/>
    <col min="7685" max="7936" width="9.140625" style="161"/>
    <col min="7937" max="7937" width="31.85546875" style="161" customWidth="1"/>
    <col min="7938" max="7938" width="21.140625" style="161" customWidth="1"/>
    <col min="7939" max="7939" width="26.42578125" style="161" customWidth="1"/>
    <col min="7940" max="7940" width="11.140625" style="161" bestFit="1" customWidth="1"/>
    <col min="7941" max="8192" width="9.140625" style="161"/>
    <col min="8193" max="8193" width="31.85546875" style="161" customWidth="1"/>
    <col min="8194" max="8194" width="21.140625" style="161" customWidth="1"/>
    <col min="8195" max="8195" width="26.42578125" style="161" customWidth="1"/>
    <col min="8196" max="8196" width="11.140625" style="161" bestFit="1" customWidth="1"/>
    <col min="8197" max="8448" width="9.140625" style="161"/>
    <col min="8449" max="8449" width="31.85546875" style="161" customWidth="1"/>
    <col min="8450" max="8450" width="21.140625" style="161" customWidth="1"/>
    <col min="8451" max="8451" width="26.42578125" style="161" customWidth="1"/>
    <col min="8452" max="8452" width="11.140625" style="161" bestFit="1" customWidth="1"/>
    <col min="8453" max="8704" width="9.140625" style="161"/>
    <col min="8705" max="8705" width="31.85546875" style="161" customWidth="1"/>
    <col min="8706" max="8706" width="21.140625" style="161" customWidth="1"/>
    <col min="8707" max="8707" width="26.42578125" style="161" customWidth="1"/>
    <col min="8708" max="8708" width="11.140625" style="161" bestFit="1" customWidth="1"/>
    <col min="8709" max="8960" width="9.140625" style="161"/>
    <col min="8961" max="8961" width="31.85546875" style="161" customWidth="1"/>
    <col min="8962" max="8962" width="21.140625" style="161" customWidth="1"/>
    <col min="8963" max="8963" width="26.42578125" style="161" customWidth="1"/>
    <col min="8964" max="8964" width="11.140625" style="161" bestFit="1" customWidth="1"/>
    <col min="8965" max="9216" width="9.140625" style="161"/>
    <col min="9217" max="9217" width="31.85546875" style="161" customWidth="1"/>
    <col min="9218" max="9218" width="21.140625" style="161" customWidth="1"/>
    <col min="9219" max="9219" width="26.42578125" style="161" customWidth="1"/>
    <col min="9220" max="9220" width="11.140625" style="161" bestFit="1" customWidth="1"/>
    <col min="9221" max="9472" width="9.140625" style="161"/>
    <col min="9473" max="9473" width="31.85546875" style="161" customWidth="1"/>
    <col min="9474" max="9474" width="21.140625" style="161" customWidth="1"/>
    <col min="9475" max="9475" width="26.42578125" style="161" customWidth="1"/>
    <col min="9476" max="9476" width="11.140625" style="161" bestFit="1" customWidth="1"/>
    <col min="9477" max="9728" width="9.140625" style="161"/>
    <col min="9729" max="9729" width="31.85546875" style="161" customWidth="1"/>
    <col min="9730" max="9730" width="21.140625" style="161" customWidth="1"/>
    <col min="9731" max="9731" width="26.42578125" style="161" customWidth="1"/>
    <col min="9732" max="9732" width="11.140625" style="161" bestFit="1" customWidth="1"/>
    <col min="9733" max="9984" width="9.140625" style="161"/>
    <col min="9985" max="9985" width="31.85546875" style="161" customWidth="1"/>
    <col min="9986" max="9986" width="21.140625" style="161" customWidth="1"/>
    <col min="9987" max="9987" width="26.42578125" style="161" customWidth="1"/>
    <col min="9988" max="9988" width="11.140625" style="161" bestFit="1" customWidth="1"/>
    <col min="9989" max="10240" width="9.140625" style="161"/>
    <col min="10241" max="10241" width="31.85546875" style="161" customWidth="1"/>
    <col min="10242" max="10242" width="21.140625" style="161" customWidth="1"/>
    <col min="10243" max="10243" width="26.42578125" style="161" customWidth="1"/>
    <col min="10244" max="10244" width="11.140625" style="161" bestFit="1" customWidth="1"/>
    <col min="10245" max="10496" width="9.140625" style="161"/>
    <col min="10497" max="10497" width="31.85546875" style="161" customWidth="1"/>
    <col min="10498" max="10498" width="21.140625" style="161" customWidth="1"/>
    <col min="10499" max="10499" width="26.42578125" style="161" customWidth="1"/>
    <col min="10500" max="10500" width="11.140625" style="161" bestFit="1" customWidth="1"/>
    <col min="10501" max="10752" width="9.140625" style="161"/>
    <col min="10753" max="10753" width="31.85546875" style="161" customWidth="1"/>
    <col min="10754" max="10754" width="21.140625" style="161" customWidth="1"/>
    <col min="10755" max="10755" width="26.42578125" style="161" customWidth="1"/>
    <col min="10756" max="10756" width="11.140625" style="161" bestFit="1" customWidth="1"/>
    <col min="10757" max="11008" width="9.140625" style="161"/>
    <col min="11009" max="11009" width="31.85546875" style="161" customWidth="1"/>
    <col min="11010" max="11010" width="21.140625" style="161" customWidth="1"/>
    <col min="11011" max="11011" width="26.42578125" style="161" customWidth="1"/>
    <col min="11012" max="11012" width="11.140625" style="161" bestFit="1" customWidth="1"/>
    <col min="11013" max="11264" width="9.140625" style="161"/>
    <col min="11265" max="11265" width="31.85546875" style="161" customWidth="1"/>
    <col min="11266" max="11266" width="21.140625" style="161" customWidth="1"/>
    <col min="11267" max="11267" width="26.42578125" style="161" customWidth="1"/>
    <col min="11268" max="11268" width="11.140625" style="161" bestFit="1" customWidth="1"/>
    <col min="11269" max="11520" width="9.140625" style="161"/>
    <col min="11521" max="11521" width="31.85546875" style="161" customWidth="1"/>
    <col min="11522" max="11522" width="21.140625" style="161" customWidth="1"/>
    <col min="11523" max="11523" width="26.42578125" style="161" customWidth="1"/>
    <col min="11524" max="11524" width="11.140625" style="161" bestFit="1" customWidth="1"/>
    <col min="11525" max="11776" width="9.140625" style="161"/>
    <col min="11777" max="11777" width="31.85546875" style="161" customWidth="1"/>
    <col min="11778" max="11778" width="21.140625" style="161" customWidth="1"/>
    <col min="11779" max="11779" width="26.42578125" style="161" customWidth="1"/>
    <col min="11780" max="11780" width="11.140625" style="161" bestFit="1" customWidth="1"/>
    <col min="11781" max="12032" width="9.140625" style="161"/>
    <col min="12033" max="12033" width="31.85546875" style="161" customWidth="1"/>
    <col min="12034" max="12034" width="21.140625" style="161" customWidth="1"/>
    <col min="12035" max="12035" width="26.42578125" style="161" customWidth="1"/>
    <col min="12036" max="12036" width="11.140625" style="161" bestFit="1" customWidth="1"/>
    <col min="12037" max="12288" width="9.140625" style="161"/>
    <col min="12289" max="12289" width="31.85546875" style="161" customWidth="1"/>
    <col min="12290" max="12290" width="21.140625" style="161" customWidth="1"/>
    <col min="12291" max="12291" width="26.42578125" style="161" customWidth="1"/>
    <col min="12292" max="12292" width="11.140625" style="161" bestFit="1" customWidth="1"/>
    <col min="12293" max="12544" width="9.140625" style="161"/>
    <col min="12545" max="12545" width="31.85546875" style="161" customWidth="1"/>
    <col min="12546" max="12546" width="21.140625" style="161" customWidth="1"/>
    <col min="12547" max="12547" width="26.42578125" style="161" customWidth="1"/>
    <col min="12548" max="12548" width="11.140625" style="161" bestFit="1" customWidth="1"/>
    <col min="12549" max="12800" width="9.140625" style="161"/>
    <col min="12801" max="12801" width="31.85546875" style="161" customWidth="1"/>
    <col min="12802" max="12802" width="21.140625" style="161" customWidth="1"/>
    <col min="12803" max="12803" width="26.42578125" style="161" customWidth="1"/>
    <col min="12804" max="12804" width="11.140625" style="161" bestFit="1" customWidth="1"/>
    <col min="12805" max="13056" width="9.140625" style="161"/>
    <col min="13057" max="13057" width="31.85546875" style="161" customWidth="1"/>
    <col min="13058" max="13058" width="21.140625" style="161" customWidth="1"/>
    <col min="13059" max="13059" width="26.42578125" style="161" customWidth="1"/>
    <col min="13060" max="13060" width="11.140625" style="161" bestFit="1" customWidth="1"/>
    <col min="13061" max="13312" width="9.140625" style="161"/>
    <col min="13313" max="13313" width="31.85546875" style="161" customWidth="1"/>
    <col min="13314" max="13314" width="21.140625" style="161" customWidth="1"/>
    <col min="13315" max="13315" width="26.42578125" style="161" customWidth="1"/>
    <col min="13316" max="13316" width="11.140625" style="161" bestFit="1" customWidth="1"/>
    <col min="13317" max="13568" width="9.140625" style="161"/>
    <col min="13569" max="13569" width="31.85546875" style="161" customWidth="1"/>
    <col min="13570" max="13570" width="21.140625" style="161" customWidth="1"/>
    <col min="13571" max="13571" width="26.42578125" style="161" customWidth="1"/>
    <col min="13572" max="13572" width="11.140625" style="161" bestFit="1" customWidth="1"/>
    <col min="13573" max="13824" width="9.140625" style="161"/>
    <col min="13825" max="13825" width="31.85546875" style="161" customWidth="1"/>
    <col min="13826" max="13826" width="21.140625" style="161" customWidth="1"/>
    <col min="13827" max="13827" width="26.42578125" style="161" customWidth="1"/>
    <col min="13828" max="13828" width="11.140625" style="161" bestFit="1" customWidth="1"/>
    <col min="13829" max="14080" width="9.140625" style="161"/>
    <col min="14081" max="14081" width="31.85546875" style="161" customWidth="1"/>
    <col min="14082" max="14082" width="21.140625" style="161" customWidth="1"/>
    <col min="14083" max="14083" width="26.42578125" style="161" customWidth="1"/>
    <col min="14084" max="14084" width="11.140625" style="161" bestFit="1" customWidth="1"/>
    <col min="14085" max="14336" width="9.140625" style="161"/>
    <col min="14337" max="14337" width="31.85546875" style="161" customWidth="1"/>
    <col min="14338" max="14338" width="21.140625" style="161" customWidth="1"/>
    <col min="14339" max="14339" width="26.42578125" style="161" customWidth="1"/>
    <col min="14340" max="14340" width="11.140625" style="161" bestFit="1" customWidth="1"/>
    <col min="14341" max="14592" width="9.140625" style="161"/>
    <col min="14593" max="14593" width="31.85546875" style="161" customWidth="1"/>
    <col min="14594" max="14594" width="21.140625" style="161" customWidth="1"/>
    <col min="14595" max="14595" width="26.42578125" style="161" customWidth="1"/>
    <col min="14596" max="14596" width="11.140625" style="161" bestFit="1" customWidth="1"/>
    <col min="14597" max="14848" width="9.140625" style="161"/>
    <col min="14849" max="14849" width="31.85546875" style="161" customWidth="1"/>
    <col min="14850" max="14850" width="21.140625" style="161" customWidth="1"/>
    <col min="14851" max="14851" width="26.42578125" style="161" customWidth="1"/>
    <col min="14852" max="14852" width="11.140625" style="161" bestFit="1" customWidth="1"/>
    <col min="14853" max="15104" width="9.140625" style="161"/>
    <col min="15105" max="15105" width="31.85546875" style="161" customWidth="1"/>
    <col min="15106" max="15106" width="21.140625" style="161" customWidth="1"/>
    <col min="15107" max="15107" width="26.42578125" style="161" customWidth="1"/>
    <col min="15108" max="15108" width="11.140625" style="161" bestFit="1" customWidth="1"/>
    <col min="15109" max="15360" width="9.140625" style="161"/>
    <col min="15361" max="15361" width="31.85546875" style="161" customWidth="1"/>
    <col min="15362" max="15362" width="21.140625" style="161" customWidth="1"/>
    <col min="15363" max="15363" width="26.42578125" style="161" customWidth="1"/>
    <col min="15364" max="15364" width="11.140625" style="161" bestFit="1" customWidth="1"/>
    <col min="15365" max="15616" width="9.140625" style="161"/>
    <col min="15617" max="15617" width="31.85546875" style="161" customWidth="1"/>
    <col min="15618" max="15618" width="21.140625" style="161" customWidth="1"/>
    <col min="15619" max="15619" width="26.42578125" style="161" customWidth="1"/>
    <col min="15620" max="15620" width="11.140625" style="161" bestFit="1" customWidth="1"/>
    <col min="15621" max="15872" width="9.140625" style="161"/>
    <col min="15873" max="15873" width="31.85546875" style="161" customWidth="1"/>
    <col min="15874" max="15874" width="21.140625" style="161" customWidth="1"/>
    <col min="15875" max="15875" width="26.42578125" style="161" customWidth="1"/>
    <col min="15876" max="15876" width="11.140625" style="161" bestFit="1" customWidth="1"/>
    <col min="15877" max="16128" width="9.140625" style="161"/>
    <col min="16129" max="16129" width="31.85546875" style="161" customWidth="1"/>
    <col min="16130" max="16130" width="21.140625" style="161" customWidth="1"/>
    <col min="16131" max="16131" width="26.42578125" style="161" customWidth="1"/>
    <col min="16132" max="16132" width="11.140625" style="161" bestFit="1" customWidth="1"/>
    <col min="16133" max="16384" width="9.140625" style="161"/>
  </cols>
  <sheetData>
    <row r="1" spans="1:9" ht="30" customHeight="1">
      <c r="A1" s="1509" t="s">
        <v>314</v>
      </c>
      <c r="B1" s="1510"/>
      <c r="C1" s="1510"/>
      <c r="D1" s="164"/>
    </row>
    <row r="2" spans="1:9" ht="30" customHeight="1">
      <c r="A2" s="823" t="s">
        <v>310</v>
      </c>
      <c r="B2" s="205" t="s">
        <v>311</v>
      </c>
      <c r="C2" s="824" t="s">
        <v>315</v>
      </c>
      <c r="D2" s="164"/>
    </row>
    <row r="3" spans="1:9" ht="30" customHeight="1">
      <c r="A3" s="825" t="s">
        <v>312</v>
      </c>
      <c r="B3" s="206">
        <v>0.25</v>
      </c>
      <c r="C3" s="772">
        <f>C$5*B3</f>
        <v>442.16874999999999</v>
      </c>
    </row>
    <row r="4" spans="1:9" ht="30" customHeight="1">
      <c r="A4" s="825" t="s">
        <v>313</v>
      </c>
      <c r="B4" s="206">
        <v>0.75</v>
      </c>
      <c r="C4" s="772">
        <f>C$5*B4</f>
        <v>1326.5062499999999</v>
      </c>
    </row>
    <row r="5" spans="1:9" ht="30" customHeight="1">
      <c r="A5" s="761" t="s">
        <v>172</v>
      </c>
      <c r="B5" s="826">
        <f>SUM(B3:B4)</f>
        <v>1</v>
      </c>
      <c r="C5" s="827">
        <f>Capex!D22</f>
        <v>1768.675</v>
      </c>
    </row>
    <row r="6" spans="1:9">
      <c r="I6" s="165"/>
    </row>
  </sheetData>
  <mergeCells count="1">
    <mergeCell ref="A1:C1"/>
  </mergeCells>
  <printOptions horizontalCentered="1" gridLines="1"/>
  <pageMargins left="1" right="0.75" top="1" bottom="1" header="0.5" footer="0.5"/>
  <pageSetup paperSize="9"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0"/>
  <dimension ref="A1:L32"/>
  <sheetViews>
    <sheetView showGridLines="0" zoomScaleNormal="100" zoomScaleSheetLayoutView="100" workbookViewId="0">
      <selection activeCell="B6" sqref="B6"/>
    </sheetView>
  </sheetViews>
  <sheetFormatPr defaultRowHeight="12.75"/>
  <cols>
    <col min="1" max="1" width="33.7109375" style="171" customWidth="1"/>
    <col min="2" max="9" width="12.7109375" style="171" customWidth="1"/>
    <col min="10" max="10" width="9.42578125" style="171" bestFit="1" customWidth="1"/>
    <col min="11" max="247" width="9.140625" style="171"/>
    <col min="248" max="248" width="33.7109375" style="171" customWidth="1"/>
    <col min="249" max="256" width="12.7109375" style="171" customWidth="1"/>
    <col min="257" max="257" width="8.42578125" style="171" bestFit="1" customWidth="1"/>
    <col min="258" max="258" width="10.5703125" style="171" bestFit="1" customWidth="1"/>
    <col min="259" max="259" width="9.42578125" style="171" bestFit="1" customWidth="1"/>
    <col min="260" max="503" width="9.140625" style="171"/>
    <col min="504" max="504" width="33.7109375" style="171" customWidth="1"/>
    <col min="505" max="512" width="12.7109375" style="171" customWidth="1"/>
    <col min="513" max="513" width="8.42578125" style="171" bestFit="1" customWidth="1"/>
    <col min="514" max="514" width="10.5703125" style="171" bestFit="1" customWidth="1"/>
    <col min="515" max="515" width="9.42578125" style="171" bestFit="1" customWidth="1"/>
    <col min="516" max="759" width="9.140625" style="171"/>
    <col min="760" max="760" width="33.7109375" style="171" customWidth="1"/>
    <col min="761" max="768" width="12.7109375" style="171" customWidth="1"/>
    <col min="769" max="769" width="8.42578125" style="171" bestFit="1" customWidth="1"/>
    <col min="770" max="770" width="10.5703125" style="171" bestFit="1" customWidth="1"/>
    <col min="771" max="771" width="9.42578125" style="171" bestFit="1" customWidth="1"/>
    <col min="772" max="1015" width="9.140625" style="171"/>
    <col min="1016" max="1016" width="33.7109375" style="171" customWidth="1"/>
    <col min="1017" max="1024" width="12.7109375" style="171" customWidth="1"/>
    <col min="1025" max="1025" width="8.42578125" style="171" bestFit="1" customWidth="1"/>
    <col min="1026" max="1026" width="10.5703125" style="171" bestFit="1" customWidth="1"/>
    <col min="1027" max="1027" width="9.42578125" style="171" bestFit="1" customWidth="1"/>
    <col min="1028" max="1271" width="9.140625" style="171"/>
    <col min="1272" max="1272" width="33.7109375" style="171" customWidth="1"/>
    <col min="1273" max="1280" width="12.7109375" style="171" customWidth="1"/>
    <col min="1281" max="1281" width="8.42578125" style="171" bestFit="1" customWidth="1"/>
    <col min="1282" max="1282" width="10.5703125" style="171" bestFit="1" customWidth="1"/>
    <col min="1283" max="1283" width="9.42578125" style="171" bestFit="1" customWidth="1"/>
    <col min="1284" max="1527" width="9.140625" style="171"/>
    <col min="1528" max="1528" width="33.7109375" style="171" customWidth="1"/>
    <col min="1529" max="1536" width="12.7109375" style="171" customWidth="1"/>
    <col min="1537" max="1537" width="8.42578125" style="171" bestFit="1" customWidth="1"/>
    <col min="1538" max="1538" width="10.5703125" style="171" bestFit="1" customWidth="1"/>
    <col min="1539" max="1539" width="9.42578125" style="171" bestFit="1" customWidth="1"/>
    <col min="1540" max="1783" width="9.140625" style="171"/>
    <col min="1784" max="1784" width="33.7109375" style="171" customWidth="1"/>
    <col min="1785" max="1792" width="12.7109375" style="171" customWidth="1"/>
    <col min="1793" max="1793" width="8.42578125" style="171" bestFit="1" customWidth="1"/>
    <col min="1794" max="1794" width="10.5703125" style="171" bestFit="1" customWidth="1"/>
    <col min="1795" max="1795" width="9.42578125" style="171" bestFit="1" customWidth="1"/>
    <col min="1796" max="2039" width="9.140625" style="171"/>
    <col min="2040" max="2040" width="33.7109375" style="171" customWidth="1"/>
    <col min="2041" max="2048" width="12.7109375" style="171" customWidth="1"/>
    <col min="2049" max="2049" width="8.42578125" style="171" bestFit="1" customWidth="1"/>
    <col min="2050" max="2050" width="10.5703125" style="171" bestFit="1" customWidth="1"/>
    <col min="2051" max="2051" width="9.42578125" style="171" bestFit="1" customWidth="1"/>
    <col min="2052" max="2295" width="9.140625" style="171"/>
    <col min="2296" max="2296" width="33.7109375" style="171" customWidth="1"/>
    <col min="2297" max="2304" width="12.7109375" style="171" customWidth="1"/>
    <col min="2305" max="2305" width="8.42578125" style="171" bestFit="1" customWidth="1"/>
    <col min="2306" max="2306" width="10.5703125" style="171" bestFit="1" customWidth="1"/>
    <col min="2307" max="2307" width="9.42578125" style="171" bestFit="1" customWidth="1"/>
    <col min="2308" max="2551" width="9.140625" style="171"/>
    <col min="2552" max="2552" width="33.7109375" style="171" customWidth="1"/>
    <col min="2553" max="2560" width="12.7109375" style="171" customWidth="1"/>
    <col min="2561" max="2561" width="8.42578125" style="171" bestFit="1" customWidth="1"/>
    <col min="2562" max="2562" width="10.5703125" style="171" bestFit="1" customWidth="1"/>
    <col min="2563" max="2563" width="9.42578125" style="171" bestFit="1" customWidth="1"/>
    <col min="2564" max="2807" width="9.140625" style="171"/>
    <col min="2808" max="2808" width="33.7109375" style="171" customWidth="1"/>
    <col min="2809" max="2816" width="12.7109375" style="171" customWidth="1"/>
    <col min="2817" max="2817" width="8.42578125" style="171" bestFit="1" customWidth="1"/>
    <col min="2818" max="2818" width="10.5703125" style="171" bestFit="1" customWidth="1"/>
    <col min="2819" max="2819" width="9.42578125" style="171" bestFit="1" customWidth="1"/>
    <col min="2820" max="3063" width="9.140625" style="171"/>
    <col min="3064" max="3064" width="33.7109375" style="171" customWidth="1"/>
    <col min="3065" max="3072" width="12.7109375" style="171" customWidth="1"/>
    <col min="3073" max="3073" width="8.42578125" style="171" bestFit="1" customWidth="1"/>
    <col min="3074" max="3074" width="10.5703125" style="171" bestFit="1" customWidth="1"/>
    <col min="3075" max="3075" width="9.42578125" style="171" bestFit="1" customWidth="1"/>
    <col min="3076" max="3319" width="9.140625" style="171"/>
    <col min="3320" max="3320" width="33.7109375" style="171" customWidth="1"/>
    <col min="3321" max="3328" width="12.7109375" style="171" customWidth="1"/>
    <col min="3329" max="3329" width="8.42578125" style="171" bestFit="1" customWidth="1"/>
    <col min="3330" max="3330" width="10.5703125" style="171" bestFit="1" customWidth="1"/>
    <col min="3331" max="3331" width="9.42578125" style="171" bestFit="1" customWidth="1"/>
    <col min="3332" max="3575" width="9.140625" style="171"/>
    <col min="3576" max="3576" width="33.7109375" style="171" customWidth="1"/>
    <col min="3577" max="3584" width="12.7109375" style="171" customWidth="1"/>
    <col min="3585" max="3585" width="8.42578125" style="171" bestFit="1" customWidth="1"/>
    <col min="3586" max="3586" width="10.5703125" style="171" bestFit="1" customWidth="1"/>
    <col min="3587" max="3587" width="9.42578125" style="171" bestFit="1" customWidth="1"/>
    <col min="3588" max="3831" width="9.140625" style="171"/>
    <col min="3832" max="3832" width="33.7109375" style="171" customWidth="1"/>
    <col min="3833" max="3840" width="12.7109375" style="171" customWidth="1"/>
    <col min="3841" max="3841" width="8.42578125" style="171" bestFit="1" customWidth="1"/>
    <col min="3842" max="3842" width="10.5703125" style="171" bestFit="1" customWidth="1"/>
    <col min="3843" max="3843" width="9.42578125" style="171" bestFit="1" customWidth="1"/>
    <col min="3844" max="4087" width="9.140625" style="171"/>
    <col min="4088" max="4088" width="33.7109375" style="171" customWidth="1"/>
    <col min="4089" max="4096" width="12.7109375" style="171" customWidth="1"/>
    <col min="4097" max="4097" width="8.42578125" style="171" bestFit="1" customWidth="1"/>
    <col min="4098" max="4098" width="10.5703125" style="171" bestFit="1" customWidth="1"/>
    <col min="4099" max="4099" width="9.42578125" style="171" bestFit="1" customWidth="1"/>
    <col min="4100" max="4343" width="9.140625" style="171"/>
    <col min="4344" max="4344" width="33.7109375" style="171" customWidth="1"/>
    <col min="4345" max="4352" width="12.7109375" style="171" customWidth="1"/>
    <col min="4353" max="4353" width="8.42578125" style="171" bestFit="1" customWidth="1"/>
    <col min="4354" max="4354" width="10.5703125" style="171" bestFit="1" customWidth="1"/>
    <col min="4355" max="4355" width="9.42578125" style="171" bestFit="1" customWidth="1"/>
    <col min="4356" max="4599" width="9.140625" style="171"/>
    <col min="4600" max="4600" width="33.7109375" style="171" customWidth="1"/>
    <col min="4601" max="4608" width="12.7109375" style="171" customWidth="1"/>
    <col min="4609" max="4609" width="8.42578125" style="171" bestFit="1" customWidth="1"/>
    <col min="4610" max="4610" width="10.5703125" style="171" bestFit="1" customWidth="1"/>
    <col min="4611" max="4611" width="9.42578125" style="171" bestFit="1" customWidth="1"/>
    <col min="4612" max="4855" width="9.140625" style="171"/>
    <col min="4856" max="4856" width="33.7109375" style="171" customWidth="1"/>
    <col min="4857" max="4864" width="12.7109375" style="171" customWidth="1"/>
    <col min="4865" max="4865" width="8.42578125" style="171" bestFit="1" customWidth="1"/>
    <col min="4866" max="4866" width="10.5703125" style="171" bestFit="1" customWidth="1"/>
    <col min="4867" max="4867" width="9.42578125" style="171" bestFit="1" customWidth="1"/>
    <col min="4868" max="5111" width="9.140625" style="171"/>
    <col min="5112" max="5112" width="33.7109375" style="171" customWidth="1"/>
    <col min="5113" max="5120" width="12.7109375" style="171" customWidth="1"/>
    <col min="5121" max="5121" width="8.42578125" style="171" bestFit="1" customWidth="1"/>
    <col min="5122" max="5122" width="10.5703125" style="171" bestFit="1" customWidth="1"/>
    <col min="5123" max="5123" width="9.42578125" style="171" bestFit="1" customWidth="1"/>
    <col min="5124" max="5367" width="9.140625" style="171"/>
    <col min="5368" max="5368" width="33.7109375" style="171" customWidth="1"/>
    <col min="5369" max="5376" width="12.7109375" style="171" customWidth="1"/>
    <col min="5377" max="5377" width="8.42578125" style="171" bestFit="1" customWidth="1"/>
    <col min="5378" max="5378" width="10.5703125" style="171" bestFit="1" customWidth="1"/>
    <col min="5379" max="5379" width="9.42578125" style="171" bestFit="1" customWidth="1"/>
    <col min="5380" max="5623" width="9.140625" style="171"/>
    <col min="5624" max="5624" width="33.7109375" style="171" customWidth="1"/>
    <col min="5625" max="5632" width="12.7109375" style="171" customWidth="1"/>
    <col min="5633" max="5633" width="8.42578125" style="171" bestFit="1" customWidth="1"/>
    <col min="5634" max="5634" width="10.5703125" style="171" bestFit="1" customWidth="1"/>
    <col min="5635" max="5635" width="9.42578125" style="171" bestFit="1" customWidth="1"/>
    <col min="5636" max="5879" width="9.140625" style="171"/>
    <col min="5880" max="5880" width="33.7109375" style="171" customWidth="1"/>
    <col min="5881" max="5888" width="12.7109375" style="171" customWidth="1"/>
    <col min="5889" max="5889" width="8.42578125" style="171" bestFit="1" customWidth="1"/>
    <col min="5890" max="5890" width="10.5703125" style="171" bestFit="1" customWidth="1"/>
    <col min="5891" max="5891" width="9.42578125" style="171" bestFit="1" customWidth="1"/>
    <col min="5892" max="6135" width="9.140625" style="171"/>
    <col min="6136" max="6136" width="33.7109375" style="171" customWidth="1"/>
    <col min="6137" max="6144" width="12.7109375" style="171" customWidth="1"/>
    <col min="6145" max="6145" width="8.42578125" style="171" bestFit="1" customWidth="1"/>
    <col min="6146" max="6146" width="10.5703125" style="171" bestFit="1" customWidth="1"/>
    <col min="6147" max="6147" width="9.42578125" style="171" bestFit="1" customWidth="1"/>
    <col min="6148" max="6391" width="9.140625" style="171"/>
    <col min="6392" max="6392" width="33.7109375" style="171" customWidth="1"/>
    <col min="6393" max="6400" width="12.7109375" style="171" customWidth="1"/>
    <col min="6401" max="6401" width="8.42578125" style="171" bestFit="1" customWidth="1"/>
    <col min="6402" max="6402" width="10.5703125" style="171" bestFit="1" customWidth="1"/>
    <col min="6403" max="6403" width="9.42578125" style="171" bestFit="1" customWidth="1"/>
    <col min="6404" max="6647" width="9.140625" style="171"/>
    <col min="6648" max="6648" width="33.7109375" style="171" customWidth="1"/>
    <col min="6649" max="6656" width="12.7109375" style="171" customWidth="1"/>
    <col min="6657" max="6657" width="8.42578125" style="171" bestFit="1" customWidth="1"/>
    <col min="6658" max="6658" width="10.5703125" style="171" bestFit="1" customWidth="1"/>
    <col min="6659" max="6659" width="9.42578125" style="171" bestFit="1" customWidth="1"/>
    <col min="6660" max="6903" width="9.140625" style="171"/>
    <col min="6904" max="6904" width="33.7109375" style="171" customWidth="1"/>
    <col min="6905" max="6912" width="12.7109375" style="171" customWidth="1"/>
    <col min="6913" max="6913" width="8.42578125" style="171" bestFit="1" customWidth="1"/>
    <col min="6914" max="6914" width="10.5703125" style="171" bestFit="1" customWidth="1"/>
    <col min="6915" max="6915" width="9.42578125" style="171" bestFit="1" customWidth="1"/>
    <col min="6916" max="7159" width="9.140625" style="171"/>
    <col min="7160" max="7160" width="33.7109375" style="171" customWidth="1"/>
    <col min="7161" max="7168" width="12.7109375" style="171" customWidth="1"/>
    <col min="7169" max="7169" width="8.42578125" style="171" bestFit="1" customWidth="1"/>
    <col min="7170" max="7170" width="10.5703125" style="171" bestFit="1" customWidth="1"/>
    <col min="7171" max="7171" width="9.42578125" style="171" bestFit="1" customWidth="1"/>
    <col min="7172" max="7415" width="9.140625" style="171"/>
    <col min="7416" max="7416" width="33.7109375" style="171" customWidth="1"/>
    <col min="7417" max="7424" width="12.7109375" style="171" customWidth="1"/>
    <col min="7425" max="7425" width="8.42578125" style="171" bestFit="1" customWidth="1"/>
    <col min="7426" max="7426" width="10.5703125" style="171" bestFit="1" customWidth="1"/>
    <col min="7427" max="7427" width="9.42578125" style="171" bestFit="1" customWidth="1"/>
    <col min="7428" max="7671" width="9.140625" style="171"/>
    <col min="7672" max="7672" width="33.7109375" style="171" customWidth="1"/>
    <col min="7673" max="7680" width="12.7109375" style="171" customWidth="1"/>
    <col min="7681" max="7681" width="8.42578125" style="171" bestFit="1" customWidth="1"/>
    <col min="7682" max="7682" width="10.5703125" style="171" bestFit="1" customWidth="1"/>
    <col min="7683" max="7683" width="9.42578125" style="171" bestFit="1" customWidth="1"/>
    <col min="7684" max="7927" width="9.140625" style="171"/>
    <col min="7928" max="7928" width="33.7109375" style="171" customWidth="1"/>
    <col min="7929" max="7936" width="12.7109375" style="171" customWidth="1"/>
    <col min="7937" max="7937" width="8.42578125" style="171" bestFit="1" customWidth="1"/>
    <col min="7938" max="7938" width="10.5703125" style="171" bestFit="1" customWidth="1"/>
    <col min="7939" max="7939" width="9.42578125" style="171" bestFit="1" customWidth="1"/>
    <col min="7940" max="8183" width="9.140625" style="171"/>
    <col min="8184" max="8184" width="33.7109375" style="171" customWidth="1"/>
    <col min="8185" max="8192" width="12.7109375" style="171" customWidth="1"/>
    <col min="8193" max="8193" width="8.42578125" style="171" bestFit="1" customWidth="1"/>
    <col min="8194" max="8194" width="10.5703125" style="171" bestFit="1" customWidth="1"/>
    <col min="8195" max="8195" width="9.42578125" style="171" bestFit="1" customWidth="1"/>
    <col min="8196" max="8439" width="9.140625" style="171"/>
    <col min="8440" max="8440" width="33.7109375" style="171" customWidth="1"/>
    <col min="8441" max="8448" width="12.7109375" style="171" customWidth="1"/>
    <col min="8449" max="8449" width="8.42578125" style="171" bestFit="1" customWidth="1"/>
    <col min="8450" max="8450" width="10.5703125" style="171" bestFit="1" customWidth="1"/>
    <col min="8451" max="8451" width="9.42578125" style="171" bestFit="1" customWidth="1"/>
    <col min="8452" max="8695" width="9.140625" style="171"/>
    <col min="8696" max="8696" width="33.7109375" style="171" customWidth="1"/>
    <col min="8697" max="8704" width="12.7109375" style="171" customWidth="1"/>
    <col min="8705" max="8705" width="8.42578125" style="171" bestFit="1" customWidth="1"/>
    <col min="8706" max="8706" width="10.5703125" style="171" bestFit="1" customWidth="1"/>
    <col min="8707" max="8707" width="9.42578125" style="171" bestFit="1" customWidth="1"/>
    <col min="8708" max="8951" width="9.140625" style="171"/>
    <col min="8952" max="8952" width="33.7109375" style="171" customWidth="1"/>
    <col min="8953" max="8960" width="12.7109375" style="171" customWidth="1"/>
    <col min="8961" max="8961" width="8.42578125" style="171" bestFit="1" customWidth="1"/>
    <col min="8962" max="8962" width="10.5703125" style="171" bestFit="1" customWidth="1"/>
    <col min="8963" max="8963" width="9.42578125" style="171" bestFit="1" customWidth="1"/>
    <col min="8964" max="9207" width="9.140625" style="171"/>
    <col min="9208" max="9208" width="33.7109375" style="171" customWidth="1"/>
    <col min="9209" max="9216" width="12.7109375" style="171" customWidth="1"/>
    <col min="9217" max="9217" width="8.42578125" style="171" bestFit="1" customWidth="1"/>
    <col min="9218" max="9218" width="10.5703125" style="171" bestFit="1" customWidth="1"/>
    <col min="9219" max="9219" width="9.42578125" style="171" bestFit="1" customWidth="1"/>
    <col min="9220" max="9463" width="9.140625" style="171"/>
    <col min="9464" max="9464" width="33.7109375" style="171" customWidth="1"/>
    <col min="9465" max="9472" width="12.7109375" style="171" customWidth="1"/>
    <col min="9473" max="9473" width="8.42578125" style="171" bestFit="1" customWidth="1"/>
    <col min="9474" max="9474" width="10.5703125" style="171" bestFit="1" customWidth="1"/>
    <col min="9475" max="9475" width="9.42578125" style="171" bestFit="1" customWidth="1"/>
    <col min="9476" max="9719" width="9.140625" style="171"/>
    <col min="9720" max="9720" width="33.7109375" style="171" customWidth="1"/>
    <col min="9721" max="9728" width="12.7109375" style="171" customWidth="1"/>
    <col min="9729" max="9729" width="8.42578125" style="171" bestFit="1" customWidth="1"/>
    <col min="9730" max="9730" width="10.5703125" style="171" bestFit="1" customWidth="1"/>
    <col min="9731" max="9731" width="9.42578125" style="171" bestFit="1" customWidth="1"/>
    <col min="9732" max="9975" width="9.140625" style="171"/>
    <col min="9976" max="9976" width="33.7109375" style="171" customWidth="1"/>
    <col min="9977" max="9984" width="12.7109375" style="171" customWidth="1"/>
    <col min="9985" max="9985" width="8.42578125" style="171" bestFit="1" customWidth="1"/>
    <col min="9986" max="9986" width="10.5703125" style="171" bestFit="1" customWidth="1"/>
    <col min="9987" max="9987" width="9.42578125" style="171" bestFit="1" customWidth="1"/>
    <col min="9988" max="10231" width="9.140625" style="171"/>
    <col min="10232" max="10232" width="33.7109375" style="171" customWidth="1"/>
    <col min="10233" max="10240" width="12.7109375" style="171" customWidth="1"/>
    <col min="10241" max="10241" width="8.42578125" style="171" bestFit="1" customWidth="1"/>
    <col min="10242" max="10242" width="10.5703125" style="171" bestFit="1" customWidth="1"/>
    <col min="10243" max="10243" width="9.42578125" style="171" bestFit="1" customWidth="1"/>
    <col min="10244" max="10487" width="9.140625" style="171"/>
    <col min="10488" max="10488" width="33.7109375" style="171" customWidth="1"/>
    <col min="10489" max="10496" width="12.7109375" style="171" customWidth="1"/>
    <col min="10497" max="10497" width="8.42578125" style="171" bestFit="1" customWidth="1"/>
    <col min="10498" max="10498" width="10.5703125" style="171" bestFit="1" customWidth="1"/>
    <col min="10499" max="10499" width="9.42578125" style="171" bestFit="1" customWidth="1"/>
    <col min="10500" max="10743" width="9.140625" style="171"/>
    <col min="10744" max="10744" width="33.7109375" style="171" customWidth="1"/>
    <col min="10745" max="10752" width="12.7109375" style="171" customWidth="1"/>
    <col min="10753" max="10753" width="8.42578125" style="171" bestFit="1" customWidth="1"/>
    <col min="10754" max="10754" width="10.5703125" style="171" bestFit="1" customWidth="1"/>
    <col min="10755" max="10755" width="9.42578125" style="171" bestFit="1" customWidth="1"/>
    <col min="10756" max="10999" width="9.140625" style="171"/>
    <col min="11000" max="11000" width="33.7109375" style="171" customWidth="1"/>
    <col min="11001" max="11008" width="12.7109375" style="171" customWidth="1"/>
    <col min="11009" max="11009" width="8.42578125" style="171" bestFit="1" customWidth="1"/>
    <col min="11010" max="11010" width="10.5703125" style="171" bestFit="1" customWidth="1"/>
    <col min="11011" max="11011" width="9.42578125" style="171" bestFit="1" customWidth="1"/>
    <col min="11012" max="11255" width="9.140625" style="171"/>
    <col min="11256" max="11256" width="33.7109375" style="171" customWidth="1"/>
    <col min="11257" max="11264" width="12.7109375" style="171" customWidth="1"/>
    <col min="11265" max="11265" width="8.42578125" style="171" bestFit="1" customWidth="1"/>
    <col min="11266" max="11266" width="10.5703125" style="171" bestFit="1" customWidth="1"/>
    <col min="11267" max="11267" width="9.42578125" style="171" bestFit="1" customWidth="1"/>
    <col min="11268" max="11511" width="9.140625" style="171"/>
    <col min="11512" max="11512" width="33.7109375" style="171" customWidth="1"/>
    <col min="11513" max="11520" width="12.7109375" style="171" customWidth="1"/>
    <col min="11521" max="11521" width="8.42578125" style="171" bestFit="1" customWidth="1"/>
    <col min="11522" max="11522" width="10.5703125" style="171" bestFit="1" customWidth="1"/>
    <col min="11523" max="11523" width="9.42578125" style="171" bestFit="1" customWidth="1"/>
    <col min="11524" max="11767" width="9.140625" style="171"/>
    <col min="11768" max="11768" width="33.7109375" style="171" customWidth="1"/>
    <col min="11769" max="11776" width="12.7109375" style="171" customWidth="1"/>
    <col min="11777" max="11777" width="8.42578125" style="171" bestFit="1" customWidth="1"/>
    <col min="11778" max="11778" width="10.5703125" style="171" bestFit="1" customWidth="1"/>
    <col min="11779" max="11779" width="9.42578125" style="171" bestFit="1" customWidth="1"/>
    <col min="11780" max="12023" width="9.140625" style="171"/>
    <col min="12024" max="12024" width="33.7109375" style="171" customWidth="1"/>
    <col min="12025" max="12032" width="12.7109375" style="171" customWidth="1"/>
    <col min="12033" max="12033" width="8.42578125" style="171" bestFit="1" customWidth="1"/>
    <col min="12034" max="12034" width="10.5703125" style="171" bestFit="1" customWidth="1"/>
    <col min="12035" max="12035" width="9.42578125" style="171" bestFit="1" customWidth="1"/>
    <col min="12036" max="12279" width="9.140625" style="171"/>
    <col min="12280" max="12280" width="33.7109375" style="171" customWidth="1"/>
    <col min="12281" max="12288" width="12.7109375" style="171" customWidth="1"/>
    <col min="12289" max="12289" width="8.42578125" style="171" bestFit="1" customWidth="1"/>
    <col min="12290" max="12290" width="10.5703125" style="171" bestFit="1" customWidth="1"/>
    <col min="12291" max="12291" width="9.42578125" style="171" bestFit="1" customWidth="1"/>
    <col min="12292" max="12535" width="9.140625" style="171"/>
    <col min="12536" max="12536" width="33.7109375" style="171" customWidth="1"/>
    <col min="12537" max="12544" width="12.7109375" style="171" customWidth="1"/>
    <col min="12545" max="12545" width="8.42578125" style="171" bestFit="1" customWidth="1"/>
    <col min="12546" max="12546" width="10.5703125" style="171" bestFit="1" customWidth="1"/>
    <col min="12547" max="12547" width="9.42578125" style="171" bestFit="1" customWidth="1"/>
    <col min="12548" max="12791" width="9.140625" style="171"/>
    <col min="12792" max="12792" width="33.7109375" style="171" customWidth="1"/>
    <col min="12793" max="12800" width="12.7109375" style="171" customWidth="1"/>
    <col min="12801" max="12801" width="8.42578125" style="171" bestFit="1" customWidth="1"/>
    <col min="12802" max="12802" width="10.5703125" style="171" bestFit="1" customWidth="1"/>
    <col min="12803" max="12803" width="9.42578125" style="171" bestFit="1" customWidth="1"/>
    <col min="12804" max="13047" width="9.140625" style="171"/>
    <col min="13048" max="13048" width="33.7109375" style="171" customWidth="1"/>
    <col min="13049" max="13056" width="12.7109375" style="171" customWidth="1"/>
    <col min="13057" max="13057" width="8.42578125" style="171" bestFit="1" customWidth="1"/>
    <col min="13058" max="13058" width="10.5703125" style="171" bestFit="1" customWidth="1"/>
    <col min="13059" max="13059" width="9.42578125" style="171" bestFit="1" customWidth="1"/>
    <col min="13060" max="13303" width="9.140625" style="171"/>
    <col min="13304" max="13304" width="33.7109375" style="171" customWidth="1"/>
    <col min="13305" max="13312" width="12.7109375" style="171" customWidth="1"/>
    <col min="13313" max="13313" width="8.42578125" style="171" bestFit="1" customWidth="1"/>
    <col min="13314" max="13314" width="10.5703125" style="171" bestFit="1" customWidth="1"/>
    <col min="13315" max="13315" width="9.42578125" style="171" bestFit="1" customWidth="1"/>
    <col min="13316" max="13559" width="9.140625" style="171"/>
    <col min="13560" max="13560" width="33.7109375" style="171" customWidth="1"/>
    <col min="13561" max="13568" width="12.7109375" style="171" customWidth="1"/>
    <col min="13569" max="13569" width="8.42578125" style="171" bestFit="1" customWidth="1"/>
    <col min="13570" max="13570" width="10.5703125" style="171" bestFit="1" customWidth="1"/>
    <col min="13571" max="13571" width="9.42578125" style="171" bestFit="1" customWidth="1"/>
    <col min="13572" max="13815" width="9.140625" style="171"/>
    <col min="13816" max="13816" width="33.7109375" style="171" customWidth="1"/>
    <col min="13817" max="13824" width="12.7109375" style="171" customWidth="1"/>
    <col min="13825" max="13825" width="8.42578125" style="171" bestFit="1" customWidth="1"/>
    <col min="13826" max="13826" width="10.5703125" style="171" bestFit="1" customWidth="1"/>
    <col min="13827" max="13827" width="9.42578125" style="171" bestFit="1" customWidth="1"/>
    <col min="13828" max="14071" width="9.140625" style="171"/>
    <col min="14072" max="14072" width="33.7109375" style="171" customWidth="1"/>
    <col min="14073" max="14080" width="12.7109375" style="171" customWidth="1"/>
    <col min="14081" max="14081" width="8.42578125" style="171" bestFit="1" customWidth="1"/>
    <col min="14082" max="14082" width="10.5703125" style="171" bestFit="1" customWidth="1"/>
    <col min="14083" max="14083" width="9.42578125" style="171" bestFit="1" customWidth="1"/>
    <col min="14084" max="14327" width="9.140625" style="171"/>
    <col min="14328" max="14328" width="33.7109375" style="171" customWidth="1"/>
    <col min="14329" max="14336" width="12.7109375" style="171" customWidth="1"/>
    <col min="14337" max="14337" width="8.42578125" style="171" bestFit="1" customWidth="1"/>
    <col min="14338" max="14338" width="10.5703125" style="171" bestFit="1" customWidth="1"/>
    <col min="14339" max="14339" width="9.42578125" style="171" bestFit="1" customWidth="1"/>
    <col min="14340" max="14583" width="9.140625" style="171"/>
    <col min="14584" max="14584" width="33.7109375" style="171" customWidth="1"/>
    <col min="14585" max="14592" width="12.7109375" style="171" customWidth="1"/>
    <col min="14593" max="14593" width="8.42578125" style="171" bestFit="1" customWidth="1"/>
    <col min="14594" max="14594" width="10.5703125" style="171" bestFit="1" customWidth="1"/>
    <col min="14595" max="14595" width="9.42578125" style="171" bestFit="1" customWidth="1"/>
    <col min="14596" max="14839" width="9.140625" style="171"/>
    <col min="14840" max="14840" width="33.7109375" style="171" customWidth="1"/>
    <col min="14841" max="14848" width="12.7109375" style="171" customWidth="1"/>
    <col min="14849" max="14849" width="8.42578125" style="171" bestFit="1" customWidth="1"/>
    <col min="14850" max="14850" width="10.5703125" style="171" bestFit="1" customWidth="1"/>
    <col min="14851" max="14851" width="9.42578125" style="171" bestFit="1" customWidth="1"/>
    <col min="14852" max="15095" width="9.140625" style="171"/>
    <col min="15096" max="15096" width="33.7109375" style="171" customWidth="1"/>
    <col min="15097" max="15104" width="12.7109375" style="171" customWidth="1"/>
    <col min="15105" max="15105" width="8.42578125" style="171" bestFit="1" customWidth="1"/>
    <col min="15106" max="15106" width="10.5703125" style="171" bestFit="1" customWidth="1"/>
    <col min="15107" max="15107" width="9.42578125" style="171" bestFit="1" customWidth="1"/>
    <col min="15108" max="15351" width="9.140625" style="171"/>
    <col min="15352" max="15352" width="33.7109375" style="171" customWidth="1"/>
    <col min="15353" max="15360" width="12.7109375" style="171" customWidth="1"/>
    <col min="15361" max="15361" width="8.42578125" style="171" bestFit="1" customWidth="1"/>
    <col min="15362" max="15362" width="10.5703125" style="171" bestFit="1" customWidth="1"/>
    <col min="15363" max="15363" width="9.42578125" style="171" bestFit="1" customWidth="1"/>
    <col min="15364" max="15607" width="9.140625" style="171"/>
    <col min="15608" max="15608" width="33.7109375" style="171" customWidth="1"/>
    <col min="15609" max="15616" width="12.7109375" style="171" customWidth="1"/>
    <col min="15617" max="15617" width="8.42578125" style="171" bestFit="1" customWidth="1"/>
    <col min="15618" max="15618" width="10.5703125" style="171" bestFit="1" customWidth="1"/>
    <col min="15619" max="15619" width="9.42578125" style="171" bestFit="1" customWidth="1"/>
    <col min="15620" max="15863" width="9.140625" style="171"/>
    <col min="15864" max="15864" width="33.7109375" style="171" customWidth="1"/>
    <col min="15865" max="15872" width="12.7109375" style="171" customWidth="1"/>
    <col min="15873" max="15873" width="8.42578125" style="171" bestFit="1" customWidth="1"/>
    <col min="15874" max="15874" width="10.5703125" style="171" bestFit="1" customWidth="1"/>
    <col min="15875" max="15875" width="9.42578125" style="171" bestFit="1" customWidth="1"/>
    <col min="15876" max="16119" width="9.140625" style="171"/>
    <col min="16120" max="16120" width="33.7109375" style="171" customWidth="1"/>
    <col min="16121" max="16128" width="12.7109375" style="171" customWidth="1"/>
    <col min="16129" max="16129" width="8.42578125" style="171" bestFit="1" customWidth="1"/>
    <col min="16130" max="16130" width="10.5703125" style="171" bestFit="1" customWidth="1"/>
    <col min="16131" max="16131" width="9.42578125" style="171" bestFit="1" customWidth="1"/>
    <col min="16132" max="16384" width="9.140625" style="171"/>
  </cols>
  <sheetData>
    <row r="1" spans="1:12" ht="21" customHeight="1">
      <c r="A1" s="1509" t="s">
        <v>316</v>
      </c>
      <c r="B1" s="1510"/>
      <c r="C1" s="1510"/>
      <c r="D1" s="1510"/>
      <c r="E1" s="1510"/>
      <c r="F1" s="1510"/>
      <c r="G1" s="1510"/>
      <c r="H1" s="1510"/>
      <c r="I1" s="1510"/>
      <c r="J1" s="1510"/>
      <c r="K1" s="1514"/>
    </row>
    <row r="2" spans="1:12" ht="21" customHeight="1">
      <c r="A2" s="1511"/>
      <c r="B2" s="1512"/>
      <c r="C2" s="1512"/>
      <c r="D2" s="1512"/>
      <c r="E2" s="1512"/>
      <c r="F2" s="1512"/>
      <c r="G2" s="1512"/>
      <c r="H2" s="1512"/>
      <c r="I2" s="1512"/>
      <c r="J2" s="185"/>
      <c r="K2" s="830"/>
    </row>
    <row r="3" spans="1:12" ht="21" customHeight="1">
      <c r="A3" s="831" t="s">
        <v>317</v>
      </c>
      <c r="B3" s="186">
        <v>0.1</v>
      </c>
      <c r="C3" s="187"/>
      <c r="D3" s="187"/>
      <c r="E3" s="187"/>
      <c r="F3" s="187"/>
      <c r="G3" s="187"/>
      <c r="H3" s="187"/>
      <c r="I3" s="187"/>
      <c r="J3" s="185"/>
      <c r="K3" s="830"/>
    </row>
    <row r="4" spans="1:12" ht="21" customHeight="1">
      <c r="A4" s="831" t="s">
        <v>318</v>
      </c>
      <c r="B4" s="187"/>
      <c r="C4" s="187"/>
      <c r="D4" s="187"/>
      <c r="E4" s="187"/>
      <c r="F4" s="187"/>
      <c r="G4" s="187"/>
      <c r="H4" s="187"/>
      <c r="I4" s="187"/>
      <c r="J4" s="185"/>
      <c r="K4" s="830"/>
    </row>
    <row r="5" spans="1:12" ht="21" customHeight="1">
      <c r="A5" s="760" t="s">
        <v>319</v>
      </c>
      <c r="B5" s="170" t="s">
        <v>287</v>
      </c>
      <c r="C5" s="170" t="s">
        <v>288</v>
      </c>
      <c r="D5" s="170" t="s">
        <v>289</v>
      </c>
      <c r="E5" s="170" t="s">
        <v>290</v>
      </c>
      <c r="F5" s="170" t="s">
        <v>291</v>
      </c>
      <c r="G5" s="170" t="s">
        <v>292</v>
      </c>
      <c r="H5" s="170" t="s">
        <v>293</v>
      </c>
      <c r="I5" s="170" t="s">
        <v>294</v>
      </c>
      <c r="J5" s="170" t="s">
        <v>295</v>
      </c>
      <c r="K5" s="765" t="s">
        <v>296</v>
      </c>
    </row>
    <row r="6" spans="1:12" ht="21" customHeight="1">
      <c r="A6" s="832" t="s">
        <v>320</v>
      </c>
      <c r="B6" s="183">
        <f>' Means of Fin'!C4</f>
        <v>1326.5062499999999</v>
      </c>
      <c r="C6" s="183">
        <f>B6-B8</f>
        <v>1326.5062499999999</v>
      </c>
      <c r="D6" s="183">
        <f t="shared" ref="D6:K6" si="0">+C7-C9</f>
        <v>1149.6387500000001</v>
      </c>
      <c r="E6" s="183">
        <f t="shared" si="0"/>
        <v>972.77125000000012</v>
      </c>
      <c r="F6" s="183">
        <f t="shared" si="0"/>
        <v>795.90375000000006</v>
      </c>
      <c r="G6" s="183">
        <f t="shared" si="0"/>
        <v>619.03625</v>
      </c>
      <c r="H6" s="183">
        <f t="shared" si="0"/>
        <v>442.16874999999999</v>
      </c>
      <c r="I6" s="183">
        <f t="shared" si="0"/>
        <v>265.30125000000004</v>
      </c>
      <c r="J6" s="183">
        <f t="shared" si="0"/>
        <v>88.433750000000074</v>
      </c>
      <c r="K6" s="772">
        <f t="shared" si="0"/>
        <v>-88.433749999999989</v>
      </c>
      <c r="L6" s="176"/>
    </row>
    <row r="7" spans="1:12" ht="21" customHeight="1">
      <c r="A7" s="833"/>
      <c r="B7" s="183"/>
      <c r="C7" s="183">
        <f t="shared" ref="C7:K7" si="1">+C6-C8</f>
        <v>1238.0725</v>
      </c>
      <c r="D7" s="183">
        <f t="shared" si="1"/>
        <v>1061.2050000000002</v>
      </c>
      <c r="E7" s="183">
        <f t="shared" si="1"/>
        <v>884.33750000000009</v>
      </c>
      <c r="F7" s="183">
        <f t="shared" si="1"/>
        <v>707.47</v>
      </c>
      <c r="G7" s="183">
        <f t="shared" si="1"/>
        <v>530.60249999999996</v>
      </c>
      <c r="H7" s="183">
        <f t="shared" si="1"/>
        <v>353.73500000000001</v>
      </c>
      <c r="I7" s="183">
        <f t="shared" si="1"/>
        <v>176.86750000000006</v>
      </c>
      <c r="J7" s="183">
        <f t="shared" si="1"/>
        <v>0</v>
      </c>
      <c r="K7" s="772">
        <f t="shared" si="1"/>
        <v>-154.75906249999997</v>
      </c>
    </row>
    <row r="8" spans="1:12" ht="21" customHeight="1">
      <c r="A8" s="1513" t="s">
        <v>321</v>
      </c>
      <c r="B8" s="183">
        <v>0</v>
      </c>
      <c r="C8" s="183">
        <f>+$B$6/15</f>
        <v>88.433749999999989</v>
      </c>
      <c r="D8" s="183">
        <f t="shared" ref="D8:I9" si="2">+$B$6/15</f>
        <v>88.433749999999989</v>
      </c>
      <c r="E8" s="183">
        <f t="shared" si="2"/>
        <v>88.433749999999989</v>
      </c>
      <c r="F8" s="183">
        <f t="shared" si="2"/>
        <v>88.433749999999989</v>
      </c>
      <c r="G8" s="183">
        <f t="shared" si="2"/>
        <v>88.433749999999989</v>
      </c>
      <c r="H8" s="183">
        <f t="shared" si="2"/>
        <v>88.433749999999989</v>
      </c>
      <c r="I8" s="183">
        <f t="shared" si="2"/>
        <v>88.433749999999989</v>
      </c>
      <c r="J8" s="183">
        <f>+$B$6/15</f>
        <v>88.433749999999989</v>
      </c>
      <c r="K8" s="772">
        <f>+$B$6/20</f>
        <v>66.325312499999995</v>
      </c>
      <c r="L8" s="166"/>
    </row>
    <row r="9" spans="1:12" ht="21" customHeight="1">
      <c r="A9" s="1513"/>
      <c r="B9" s="183">
        <v>0</v>
      </c>
      <c r="C9" s="183">
        <f>+$B$6/15</f>
        <v>88.433749999999989</v>
      </c>
      <c r="D9" s="183">
        <f t="shared" si="2"/>
        <v>88.433749999999989</v>
      </c>
      <c r="E9" s="183">
        <f t="shared" si="2"/>
        <v>88.433749999999989</v>
      </c>
      <c r="F9" s="183">
        <f t="shared" si="2"/>
        <v>88.433749999999989</v>
      </c>
      <c r="G9" s="183">
        <f t="shared" si="2"/>
        <v>88.433749999999989</v>
      </c>
      <c r="H9" s="183">
        <f t="shared" si="2"/>
        <v>88.433749999999989</v>
      </c>
      <c r="I9" s="183">
        <f t="shared" si="2"/>
        <v>88.433749999999989</v>
      </c>
      <c r="J9" s="183">
        <f>+$B$6/15</f>
        <v>88.433749999999989</v>
      </c>
      <c r="K9" s="772">
        <f>+$B$6/20</f>
        <v>66.325312499999995</v>
      </c>
    </row>
    <row r="10" spans="1:12" ht="21" customHeight="1">
      <c r="A10" s="832" t="s">
        <v>322</v>
      </c>
      <c r="B10" s="183">
        <f t="shared" ref="B10:K10" si="3">SUM(B8:B9)</f>
        <v>0</v>
      </c>
      <c r="C10" s="183">
        <f t="shared" si="3"/>
        <v>176.86749999999998</v>
      </c>
      <c r="D10" s="183">
        <f t="shared" si="3"/>
        <v>176.86749999999998</v>
      </c>
      <c r="E10" s="183">
        <f t="shared" si="3"/>
        <v>176.86749999999998</v>
      </c>
      <c r="F10" s="183">
        <f t="shared" si="3"/>
        <v>176.86749999999998</v>
      </c>
      <c r="G10" s="183">
        <f t="shared" si="3"/>
        <v>176.86749999999998</v>
      </c>
      <c r="H10" s="183">
        <f t="shared" si="3"/>
        <v>176.86749999999998</v>
      </c>
      <c r="I10" s="183">
        <f t="shared" si="3"/>
        <v>176.86749999999998</v>
      </c>
      <c r="J10" s="183">
        <f t="shared" si="3"/>
        <v>176.86749999999998</v>
      </c>
      <c r="K10" s="772">
        <f t="shared" si="3"/>
        <v>132.65062499999999</v>
      </c>
    </row>
    <row r="11" spans="1:12" ht="21" customHeight="1">
      <c r="A11" s="1513" t="s">
        <v>323</v>
      </c>
      <c r="B11" s="183">
        <f>+B$6*B$3/2</f>
        <v>66.325312499999995</v>
      </c>
      <c r="C11" s="183">
        <f>+C6*$B$3/2</f>
        <v>66.325312499999995</v>
      </c>
      <c r="D11" s="183">
        <f>+D6*$B$3/2</f>
        <v>57.481937500000008</v>
      </c>
      <c r="E11" s="183">
        <f>+E6*$B$3/2</f>
        <v>48.638562500000006</v>
      </c>
      <c r="F11" s="183">
        <f t="shared" ref="C11:J12" si="4">+F6*$B$3/2</f>
        <v>39.795187500000004</v>
      </c>
      <c r="G11" s="183">
        <f t="shared" si="4"/>
        <v>30.951812500000003</v>
      </c>
      <c r="H11" s="183">
        <f t="shared" si="4"/>
        <v>22.108437500000001</v>
      </c>
      <c r="I11" s="183">
        <f t="shared" si="4"/>
        <v>13.265062500000003</v>
      </c>
      <c r="J11" s="183">
        <f t="shared" si="4"/>
        <v>4.4216875000000035</v>
      </c>
      <c r="K11" s="772"/>
      <c r="L11" s="167"/>
    </row>
    <row r="12" spans="1:12" ht="21" customHeight="1">
      <c r="A12" s="1513"/>
      <c r="B12" s="183">
        <f>+B11</f>
        <v>66.325312499999995</v>
      </c>
      <c r="C12" s="183">
        <f t="shared" si="4"/>
        <v>61.903625000000005</v>
      </c>
      <c r="D12" s="183">
        <f t="shared" si="4"/>
        <v>53.060250000000011</v>
      </c>
      <c r="E12" s="183">
        <f t="shared" si="4"/>
        <v>44.216875000000009</v>
      </c>
      <c r="F12" s="183">
        <f t="shared" si="4"/>
        <v>35.3735</v>
      </c>
      <c r="G12" s="183">
        <f t="shared" si="4"/>
        <v>26.530124999999998</v>
      </c>
      <c r="H12" s="183">
        <f t="shared" si="4"/>
        <v>17.68675</v>
      </c>
      <c r="I12" s="183">
        <f t="shared" si="4"/>
        <v>8.8433750000000035</v>
      </c>
      <c r="J12" s="183">
        <f t="shared" si="4"/>
        <v>0</v>
      </c>
      <c r="K12" s="834"/>
      <c r="L12" s="167"/>
    </row>
    <row r="13" spans="1:12" ht="21" customHeight="1">
      <c r="A13" s="828" t="s">
        <v>324</v>
      </c>
      <c r="B13" s="829">
        <f>+B11+B12</f>
        <v>132.65062499999999</v>
      </c>
      <c r="C13" s="829">
        <f>+C11+C12</f>
        <v>128.2289375</v>
      </c>
      <c r="D13" s="829">
        <f>+D11+D12</f>
        <v>110.54218750000001</v>
      </c>
      <c r="E13" s="829">
        <f>+E11+E12</f>
        <v>92.855437500000022</v>
      </c>
      <c r="F13" s="829">
        <f>+F11+F12</f>
        <v>75.168687500000004</v>
      </c>
      <c r="G13" s="829">
        <f>+G11+12</f>
        <v>42.951812500000003</v>
      </c>
      <c r="H13" s="829">
        <f>+H11+12</f>
        <v>34.108437500000001</v>
      </c>
      <c r="I13" s="829">
        <f>+I11+12</f>
        <v>25.265062500000003</v>
      </c>
      <c r="J13" s="829">
        <f>+J11+12</f>
        <v>16.421687500000004</v>
      </c>
      <c r="K13" s="835"/>
      <c r="L13" s="166"/>
    </row>
    <row r="14" spans="1:12" ht="21" customHeight="1">
      <c r="A14" s="178"/>
      <c r="B14" s="178"/>
      <c r="C14" s="178"/>
      <c r="D14" s="178"/>
      <c r="E14" s="178"/>
      <c r="F14" s="178"/>
      <c r="G14" s="178"/>
      <c r="H14" s="178"/>
      <c r="I14" s="178"/>
      <c r="K14" s="166"/>
      <c r="L14" s="166"/>
    </row>
    <row r="15" spans="1:12" ht="18" customHeight="1">
      <c r="A15" s="178"/>
      <c r="B15" s="178"/>
      <c r="C15" s="178"/>
      <c r="D15" s="178"/>
      <c r="E15" s="178"/>
      <c r="F15" s="173"/>
      <c r="G15" s="173"/>
      <c r="H15" s="173"/>
      <c r="I15" s="173"/>
      <c r="J15" s="177"/>
    </row>
    <row r="16" spans="1:12" ht="18" customHeight="1">
      <c r="A16" s="178"/>
      <c r="B16" s="180"/>
      <c r="C16" s="173"/>
      <c r="D16" s="173"/>
      <c r="E16" s="173"/>
      <c r="F16" s="173"/>
      <c r="G16" s="173"/>
      <c r="H16" s="173"/>
      <c r="I16" s="173"/>
      <c r="J16" s="177"/>
    </row>
    <row r="17" spans="1:10" ht="18" customHeight="1">
      <c r="A17" s="178"/>
      <c r="B17" s="180"/>
      <c r="C17" s="173"/>
      <c r="D17" s="173"/>
      <c r="E17" s="173"/>
      <c r="F17" s="173"/>
      <c r="G17" s="173"/>
      <c r="H17" s="173"/>
      <c r="I17" s="173"/>
      <c r="J17" s="177"/>
    </row>
    <row r="18" spans="1:10" ht="18" customHeight="1">
      <c r="A18" s="178"/>
      <c r="B18" s="180"/>
      <c r="C18" s="173"/>
      <c r="D18" s="173"/>
      <c r="E18" s="173"/>
      <c r="F18" s="173"/>
      <c r="G18" s="173"/>
      <c r="H18" s="173"/>
      <c r="I18" s="173"/>
      <c r="J18" s="177"/>
    </row>
    <row r="19" spans="1:10" ht="18" customHeight="1">
      <c r="A19" s="178"/>
      <c r="B19" s="180"/>
      <c r="C19" s="173"/>
      <c r="D19" s="173"/>
      <c r="E19" s="173"/>
      <c r="F19" s="169"/>
      <c r="G19" s="169"/>
      <c r="H19" s="169"/>
      <c r="I19" s="169"/>
      <c r="J19" s="163"/>
    </row>
    <row r="20" spans="1:10" ht="18" customHeight="1">
      <c r="A20" s="178"/>
      <c r="B20" s="180"/>
      <c r="C20" s="173"/>
      <c r="D20" s="173"/>
      <c r="E20" s="173"/>
      <c r="F20" s="169"/>
      <c r="G20" s="169"/>
      <c r="H20" s="169"/>
      <c r="I20" s="169"/>
      <c r="J20" s="163"/>
    </row>
    <row r="21" spans="1:10">
      <c r="A21" s="178"/>
      <c r="B21" s="178"/>
      <c r="C21" s="178"/>
      <c r="D21" s="178"/>
      <c r="E21" s="178"/>
      <c r="F21" s="175"/>
      <c r="G21" s="175"/>
      <c r="H21" s="175"/>
      <c r="I21" s="175"/>
      <c r="J21" s="168"/>
    </row>
    <row r="22" spans="1:10">
      <c r="A22" s="178"/>
      <c r="B22" s="178"/>
      <c r="C22" s="178"/>
      <c r="D22" s="178"/>
      <c r="E22" s="178"/>
      <c r="F22" s="178"/>
      <c r="G22" s="178"/>
      <c r="H22" s="178"/>
      <c r="I22" s="178"/>
    </row>
    <row r="23" spans="1:10">
      <c r="A23" s="178"/>
      <c r="B23" s="178"/>
      <c r="C23" s="178"/>
      <c r="D23" s="178"/>
      <c r="E23" s="178"/>
      <c r="F23" s="178"/>
      <c r="G23" s="178"/>
      <c r="H23" s="178"/>
      <c r="I23" s="178"/>
    </row>
    <row r="24" spans="1:10">
      <c r="A24" s="178"/>
      <c r="B24" s="180"/>
      <c r="C24" s="174"/>
      <c r="D24" s="178"/>
      <c r="E24" s="178"/>
      <c r="F24" s="178"/>
      <c r="G24" s="178"/>
      <c r="H24" s="178"/>
      <c r="I24" s="178"/>
    </row>
    <row r="25" spans="1:10">
      <c r="F25" s="178"/>
      <c r="G25" s="178"/>
      <c r="H25" s="178"/>
      <c r="I25" s="178"/>
    </row>
    <row r="26" spans="1:10">
      <c r="F26" s="178"/>
      <c r="G26" s="178"/>
      <c r="H26" s="178"/>
      <c r="I26" s="178"/>
    </row>
    <row r="27" spans="1:10">
      <c r="F27" s="178"/>
      <c r="G27" s="178"/>
      <c r="H27" s="178"/>
      <c r="I27" s="178"/>
    </row>
    <row r="28" spans="1:10">
      <c r="F28" s="178"/>
      <c r="G28" s="178"/>
      <c r="H28" s="178"/>
      <c r="I28" s="178"/>
    </row>
    <row r="29" spans="1:10">
      <c r="F29" s="178"/>
      <c r="G29" s="178"/>
      <c r="H29" s="178"/>
      <c r="I29" s="178"/>
    </row>
    <row r="30" spans="1:10">
      <c r="A30" s="178"/>
      <c r="B30" s="178"/>
      <c r="C30" s="178"/>
      <c r="D30" s="178"/>
      <c r="E30" s="178"/>
      <c r="F30" s="178"/>
      <c r="G30" s="178"/>
      <c r="H30" s="178"/>
      <c r="I30" s="178"/>
    </row>
    <row r="31" spans="1:10">
      <c r="A31" s="178"/>
      <c r="B31" s="178"/>
      <c r="C31" s="178"/>
      <c r="D31" s="178"/>
      <c r="E31" s="178"/>
      <c r="F31" s="178"/>
      <c r="G31" s="178"/>
      <c r="H31" s="178"/>
      <c r="I31" s="178"/>
    </row>
    <row r="32" spans="1:10">
      <c r="A32" s="178"/>
      <c r="B32" s="178"/>
      <c r="C32" s="178"/>
      <c r="D32" s="178"/>
      <c r="E32" s="178"/>
      <c r="F32" s="178"/>
      <c r="G32" s="178"/>
      <c r="H32" s="178"/>
      <c r="I32" s="178"/>
    </row>
  </sheetData>
  <mergeCells count="4">
    <mergeCell ref="A2:I2"/>
    <mergeCell ref="A8:A9"/>
    <mergeCell ref="A11:A12"/>
    <mergeCell ref="A1:K1"/>
  </mergeCells>
  <printOptions horizontalCentered="1" gridLines="1"/>
  <pageMargins left="0.36" right="0.5" top="1" bottom="0.75" header="0.5" footer="0.5"/>
  <pageSetup paperSize="9" scale="61"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1"/>
  <dimension ref="A1:I30"/>
  <sheetViews>
    <sheetView showGridLines="0" zoomScale="115" zoomScaleNormal="115" workbookViewId="0">
      <selection activeCell="N7" sqref="N7"/>
    </sheetView>
  </sheetViews>
  <sheetFormatPr defaultRowHeight="12.75"/>
  <cols>
    <col min="1" max="1" width="16.42578125" style="1" customWidth="1"/>
    <col min="2" max="8" width="9.140625" style="1"/>
    <col min="9" max="9" width="9.140625" style="1" customWidth="1"/>
    <col min="10" max="16384" width="9.140625" style="1"/>
  </cols>
  <sheetData>
    <row r="1" spans="1:9">
      <c r="A1" s="836" t="s">
        <v>252</v>
      </c>
      <c r="B1" s="837"/>
      <c r="C1" s="837"/>
      <c r="D1" s="837"/>
      <c r="E1" s="837"/>
      <c r="F1" s="837"/>
      <c r="G1" s="837"/>
      <c r="H1" s="837"/>
      <c r="I1" s="838"/>
    </row>
    <row r="2" spans="1:9">
      <c r="A2" s="839" t="s">
        <v>468</v>
      </c>
      <c r="B2" s="840"/>
      <c r="C2" s="840"/>
      <c r="D2" s="840"/>
      <c r="E2" s="840"/>
      <c r="F2" s="840"/>
      <c r="G2" s="840"/>
      <c r="H2" s="840"/>
      <c r="I2" s="841"/>
    </row>
    <row r="3" spans="1:9">
      <c r="A3" s="839" t="s">
        <v>124</v>
      </c>
      <c r="B3" s="840"/>
      <c r="C3" s="840"/>
      <c r="D3" s="840"/>
      <c r="E3" s="840"/>
      <c r="F3" s="840"/>
      <c r="G3" s="840"/>
      <c r="H3" s="840"/>
      <c r="I3" s="841"/>
    </row>
    <row r="4" spans="1:9">
      <c r="A4" s="839" t="s">
        <v>528</v>
      </c>
      <c r="B4" s="840"/>
      <c r="C4" s="840"/>
      <c r="D4" s="840"/>
      <c r="E4" s="840"/>
      <c r="F4" s="840"/>
      <c r="G4" s="840"/>
      <c r="H4" s="840"/>
      <c r="I4" s="841"/>
    </row>
    <row r="5" spans="1:9">
      <c r="A5" s="839" t="s">
        <v>125</v>
      </c>
      <c r="B5" s="840"/>
      <c r="C5" s="840"/>
      <c r="D5" s="840"/>
      <c r="E5" s="840"/>
      <c r="F5" s="840"/>
      <c r="G5" s="840"/>
      <c r="H5" s="840"/>
      <c r="I5" s="841"/>
    </row>
    <row r="6" spans="1:9">
      <c r="A6" s="839" t="s">
        <v>126</v>
      </c>
      <c r="B6" s="840"/>
      <c r="C6" s="840"/>
      <c r="D6" s="840"/>
      <c r="E6" s="840"/>
      <c r="F6" s="840"/>
      <c r="G6" s="840"/>
      <c r="H6" s="840"/>
      <c r="I6" s="841"/>
    </row>
    <row r="7" spans="1:9">
      <c r="A7" s="839" t="s">
        <v>127</v>
      </c>
      <c r="B7" s="840"/>
      <c r="C7" s="840"/>
      <c r="D7" s="840"/>
      <c r="E7" s="840"/>
      <c r="F7" s="840"/>
      <c r="G7" s="840"/>
      <c r="H7" s="840"/>
      <c r="I7" s="841"/>
    </row>
    <row r="8" spans="1:9">
      <c r="A8" s="839" t="s">
        <v>128</v>
      </c>
      <c r="B8" s="840"/>
      <c r="C8" s="840"/>
      <c r="D8" s="840"/>
      <c r="E8" s="840"/>
      <c r="F8" s="840"/>
      <c r="G8" s="840"/>
      <c r="H8" s="840"/>
      <c r="I8" s="841"/>
    </row>
    <row r="9" spans="1:9">
      <c r="A9" s="839" t="s">
        <v>469</v>
      </c>
      <c r="B9" s="840"/>
      <c r="C9" s="840"/>
      <c r="D9" s="840"/>
      <c r="E9" s="840"/>
      <c r="F9" s="840"/>
      <c r="G9" s="840"/>
      <c r="H9" s="840"/>
      <c r="I9" s="841"/>
    </row>
    <row r="10" spans="1:9">
      <c r="A10" s="839" t="s">
        <v>129</v>
      </c>
      <c r="B10" s="840"/>
      <c r="C10" s="840"/>
      <c r="D10" s="840"/>
      <c r="E10" s="840"/>
      <c r="F10" s="840"/>
      <c r="G10" s="840"/>
      <c r="H10" s="840"/>
      <c r="I10" s="841"/>
    </row>
    <row r="11" spans="1:9">
      <c r="A11" s="839" t="s">
        <v>130</v>
      </c>
      <c r="B11" s="840"/>
      <c r="C11" s="840"/>
      <c r="D11" s="840"/>
      <c r="E11" s="840"/>
      <c r="F11" s="840"/>
      <c r="G11" s="840"/>
      <c r="H11" s="840"/>
      <c r="I11" s="841"/>
    </row>
    <row r="12" spans="1:9">
      <c r="A12" s="839" t="s">
        <v>470</v>
      </c>
      <c r="B12" s="840"/>
      <c r="C12" s="840"/>
      <c r="D12" s="840"/>
      <c r="E12" s="840"/>
      <c r="F12" s="840"/>
      <c r="G12" s="840"/>
      <c r="H12" s="840"/>
      <c r="I12" s="841"/>
    </row>
    <row r="13" spans="1:9">
      <c r="A13" s="839" t="s">
        <v>471</v>
      </c>
      <c r="B13" s="840"/>
      <c r="C13" s="840"/>
      <c r="D13" s="840"/>
      <c r="E13" s="840"/>
      <c r="F13" s="840"/>
      <c r="G13" s="840"/>
      <c r="H13" s="840"/>
      <c r="I13" s="841"/>
    </row>
    <row r="14" spans="1:9" ht="12.75" customHeight="1">
      <c r="A14" s="1515" t="s">
        <v>475</v>
      </c>
      <c r="B14" s="1516"/>
      <c r="C14" s="1516"/>
      <c r="D14" s="1516"/>
      <c r="E14" s="1516"/>
      <c r="F14" s="1516"/>
      <c r="G14" s="1516"/>
      <c r="H14" s="1516"/>
      <c r="I14" s="1517"/>
    </row>
    <row r="15" spans="1:9" ht="12.75" customHeight="1">
      <c r="A15" s="1515" t="s">
        <v>476</v>
      </c>
      <c r="B15" s="1516"/>
      <c r="C15" s="1516"/>
      <c r="D15" s="1516"/>
      <c r="E15" s="1516"/>
      <c r="F15" s="1516"/>
      <c r="G15" s="1516"/>
      <c r="H15" s="1516"/>
      <c r="I15" s="1517"/>
    </row>
    <row r="16" spans="1:9">
      <c r="A16" s="839" t="s">
        <v>477</v>
      </c>
      <c r="B16" s="840"/>
      <c r="C16" s="840"/>
      <c r="D16" s="840"/>
      <c r="E16" s="840"/>
      <c r="F16" s="840"/>
      <c r="G16" s="840"/>
      <c r="H16" s="840"/>
      <c r="I16" s="841"/>
    </row>
    <row r="17" spans="1:9">
      <c r="A17" s="839" t="s">
        <v>478</v>
      </c>
      <c r="B17" s="840"/>
      <c r="C17" s="840"/>
      <c r="D17" s="840"/>
      <c r="E17" s="840"/>
      <c r="F17" s="840"/>
      <c r="G17" s="840"/>
      <c r="H17" s="840"/>
      <c r="I17" s="841"/>
    </row>
    <row r="18" spans="1:9">
      <c r="A18" s="839" t="s">
        <v>479</v>
      </c>
      <c r="B18" s="840"/>
      <c r="C18" s="840"/>
      <c r="D18" s="840"/>
      <c r="E18" s="840"/>
      <c r="F18" s="840"/>
      <c r="G18" s="840"/>
      <c r="H18" s="840"/>
      <c r="I18" s="841"/>
    </row>
    <row r="19" spans="1:9">
      <c r="A19" s="839" t="s">
        <v>472</v>
      </c>
      <c r="B19" s="840"/>
      <c r="C19" s="840"/>
      <c r="D19" s="840"/>
      <c r="E19" s="840"/>
      <c r="F19" s="840"/>
      <c r="G19" s="840"/>
      <c r="H19" s="840"/>
      <c r="I19" s="841"/>
    </row>
    <row r="20" spans="1:9">
      <c r="A20" s="839" t="s">
        <v>473</v>
      </c>
      <c r="B20" s="840"/>
      <c r="C20" s="840"/>
      <c r="D20" s="840"/>
      <c r="E20" s="840"/>
      <c r="F20" s="840"/>
      <c r="G20" s="840"/>
      <c r="H20" s="840"/>
      <c r="I20" s="841"/>
    </row>
    <row r="21" spans="1:9">
      <c r="A21" s="839" t="s">
        <v>474</v>
      </c>
      <c r="B21" s="840"/>
      <c r="C21" s="840"/>
      <c r="D21" s="840"/>
      <c r="E21" s="840"/>
      <c r="F21" s="840"/>
      <c r="G21" s="840"/>
      <c r="H21" s="840"/>
      <c r="I21" s="841"/>
    </row>
    <row r="22" spans="1:9">
      <c r="A22" s="839" t="s">
        <v>515</v>
      </c>
      <c r="B22" s="4"/>
      <c r="C22" s="4"/>
      <c r="D22" s="4"/>
      <c r="E22" s="4"/>
      <c r="F22" s="4"/>
      <c r="G22" s="4"/>
      <c r="H22" s="4"/>
      <c r="I22" s="85"/>
    </row>
    <row r="23" spans="1:9">
      <c r="A23" s="839" t="s">
        <v>488</v>
      </c>
      <c r="B23" s="840" t="s">
        <v>489</v>
      </c>
      <c r="C23" s="840"/>
      <c r="D23" s="4"/>
      <c r="E23" s="4"/>
      <c r="F23" s="4"/>
      <c r="G23" s="4"/>
      <c r="H23" s="4"/>
      <c r="I23" s="85"/>
    </row>
    <row r="24" spans="1:9">
      <c r="A24" s="839" t="s">
        <v>0</v>
      </c>
      <c r="B24" s="840" t="s">
        <v>490</v>
      </c>
      <c r="C24" s="840"/>
      <c r="D24" s="4"/>
      <c r="E24" s="4"/>
      <c r="F24" s="4"/>
      <c r="G24" s="4"/>
      <c r="H24" s="4"/>
      <c r="I24" s="85"/>
    </row>
    <row r="25" spans="1:9">
      <c r="A25" s="839" t="s">
        <v>398</v>
      </c>
      <c r="B25" s="840" t="s">
        <v>490</v>
      </c>
      <c r="C25" s="840"/>
      <c r="D25" s="4"/>
      <c r="E25" s="4"/>
      <c r="F25" s="4"/>
      <c r="G25" s="4"/>
      <c r="H25" s="4"/>
      <c r="I25" s="85"/>
    </row>
    <row r="26" spans="1:9">
      <c r="A26" s="839" t="s">
        <v>491</v>
      </c>
      <c r="B26" s="840" t="s">
        <v>492</v>
      </c>
      <c r="C26" s="840"/>
      <c r="D26" s="4"/>
      <c r="E26" s="4"/>
      <c r="F26" s="4"/>
      <c r="G26" s="4"/>
      <c r="H26" s="4"/>
      <c r="I26" s="85"/>
    </row>
    <row r="27" spans="1:9">
      <c r="A27" s="839" t="s">
        <v>493</v>
      </c>
      <c r="B27" s="840" t="s">
        <v>494</v>
      </c>
      <c r="C27" s="840"/>
      <c r="D27" s="4"/>
      <c r="E27" s="4"/>
      <c r="F27" s="4"/>
      <c r="G27" s="4"/>
      <c r="H27" s="4"/>
      <c r="I27" s="85"/>
    </row>
    <row r="28" spans="1:9" ht="15">
      <c r="A28" s="842" t="s">
        <v>516</v>
      </c>
      <c r="B28" s="71"/>
      <c r="C28" s="71"/>
      <c r="D28" s="843"/>
      <c r="E28" s="843"/>
      <c r="F28" s="843"/>
      <c r="G28" s="843"/>
      <c r="H28" s="843"/>
      <c r="I28" s="844"/>
    </row>
    <row r="29" spans="1:9" ht="15">
      <c r="B29"/>
      <c r="C29"/>
    </row>
    <row r="30" spans="1:9" ht="15">
      <c r="A30" s="520"/>
      <c r="B30"/>
      <c r="C30"/>
    </row>
  </sheetData>
  <mergeCells count="2">
    <mergeCell ref="A14:I14"/>
    <mergeCell ref="A15:I15"/>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63A89DF-BB95-480C-BDFA-0BE007097B2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45</vt:i4>
      </vt:variant>
      <vt:variant>
        <vt:lpstr>Named Ranges</vt:lpstr>
      </vt:variant>
      <vt:variant>
        <vt:i4>8</vt:i4>
      </vt:variant>
    </vt:vector>
  </HeadingPairs>
  <TitlesOfParts>
    <vt:vector size="53" baseType="lpstr">
      <vt:lpstr>Sheet2</vt:lpstr>
      <vt:lpstr>Cover Page</vt:lpstr>
      <vt:lpstr>Dashboard</vt:lpstr>
      <vt:lpstr>Background and Option Evaluated</vt:lpstr>
      <vt:lpstr>Opex PVC</vt:lpstr>
      <vt:lpstr>Price Table</vt:lpstr>
      <vt:lpstr>Scenario</vt:lpstr>
      <vt:lpstr>Feed</vt:lpstr>
      <vt:lpstr>Cracker Yields</vt:lpstr>
      <vt:lpstr>Financial Model (84 Months)</vt:lpstr>
      <vt:lpstr>Financial Model Base Case</vt:lpstr>
      <vt:lpstr>Financial Model Prop. Furn. Add</vt:lpstr>
      <vt:lpstr>Financial Model Eth. Furn. Add.</vt:lpstr>
      <vt:lpstr>Products Output</vt:lpstr>
      <vt:lpstr>Raw Material -Pricing Sheet</vt:lpstr>
      <vt:lpstr>Annual COP</vt:lpstr>
      <vt:lpstr>Capex</vt:lpstr>
      <vt:lpstr>Opex</vt:lpstr>
      <vt:lpstr>Cashflow Option 1</vt:lpstr>
      <vt:lpstr>Cashflow Option 2</vt:lpstr>
      <vt:lpstr>Cashflow Option 3</vt:lpstr>
      <vt:lpstr>Cashflow Phenol Option 1</vt:lpstr>
      <vt:lpstr>Cashflow - PVC Phenol Propane</vt:lpstr>
      <vt:lpstr>Financial Model_OPaL</vt:lpstr>
      <vt:lpstr>Opex Phenol</vt:lpstr>
      <vt:lpstr>Working Sheet</vt:lpstr>
      <vt:lpstr>Cashflow PhenolOption1-Propane</vt:lpstr>
      <vt:lpstr>Cashflow Phenol Option 1-Ethane</vt:lpstr>
      <vt:lpstr>Cashflow - PVC Phenol Ethane</vt:lpstr>
      <vt:lpstr>Net Change in Margin</vt:lpstr>
      <vt:lpstr>Profitability</vt:lpstr>
      <vt:lpstr>Sensitivity-Profitability</vt:lpstr>
      <vt:lpstr> Break EvenPoint</vt:lpstr>
      <vt:lpstr>BEP Sensitivity</vt:lpstr>
      <vt:lpstr>Cashflow Current</vt:lpstr>
      <vt:lpstr>Profitability Current</vt:lpstr>
      <vt:lpstr>Sensitivity-Current</vt:lpstr>
      <vt:lpstr> Break Evenpoint Current</vt:lpstr>
      <vt:lpstr>Salaries &amp; Wages Calculations</vt:lpstr>
      <vt:lpstr>PVC Sales</vt:lpstr>
      <vt:lpstr>Sales</vt:lpstr>
      <vt:lpstr>DSCR</vt:lpstr>
      <vt:lpstr> Means of Fin</vt:lpstr>
      <vt:lpstr>Interest Calculation</vt:lpstr>
      <vt:lpstr>Basis</vt:lpstr>
      <vt:lpstr>' Break EvenPoint'!Print_Area</vt:lpstr>
      <vt:lpstr>' Break Evenpoint Current'!Print_Area</vt:lpstr>
      <vt:lpstr>' Means of Fin'!Print_Area</vt:lpstr>
      <vt:lpstr>'BEP Sensitivity'!Print_Area</vt:lpstr>
      <vt:lpstr>DSCR!Print_Area</vt:lpstr>
      <vt:lpstr>'Interest Calculation'!Print_Area</vt:lpstr>
      <vt:lpstr>Profitability!Print_Area</vt:lpstr>
      <vt:lpstr>'Profitability Current'!Print_Area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Pranav L. Shukla</dc:creator>
  <cp:lastModifiedBy>Hardik Malhotra</cp:lastModifiedBy>
  <dcterms:created xsi:type="dcterms:W3CDTF">2021-10-29T09:15:20Z</dcterms:created>
  <dcterms:modified xsi:type="dcterms:W3CDTF">2022-10-27T13:55:32Z</dcterms:modified>
</cp:coreProperties>
</file>