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98BE32E8-5A34-44FC-8C65-1E3C2155F460}" xr6:coauthVersionLast="47" xr6:coauthVersionMax="47" xr10:uidLastSave="{00000000-0000-0000-0000-000000000000}"/>
  <bookViews>
    <workbookView xWindow="-120" yWindow="-120" windowWidth="20730" windowHeight="11160" activeTab="3" xr2:uid="{2959AC13-8511-4F37-A373-B9049BA71F07}"/>
  </bookViews>
  <sheets>
    <sheet name="Sheet1" sheetId="1" r:id="rId1"/>
    <sheet name="Sheet3" sheetId="3" r:id="rId2"/>
    <sheet name="Capex" sheetId="4" r:id="rId3"/>
    <sheet name="Opex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Order1" hidden="1">255</definedName>
    <definedName name="anscount" hidden="1">3</definedName>
    <definedName name="ColumnAttributes1" localSheetId="3">#REF!</definedName>
    <definedName name="ColumnAttributes1">#REF!</definedName>
    <definedName name="ColumnHeadings1" localSheetId="3">#REF!</definedName>
    <definedName name="ColumnHeadings1">#REF!</definedName>
    <definedName name="cracker" localSheetId="3">#REF!</definedName>
    <definedName name="cracker">#REF!</definedName>
    <definedName name="crackertblock" localSheetId="3">#REF!</definedName>
    <definedName name="crackertblock">#REF!</definedName>
    <definedName name="DATA1" localSheetId="3">#REF!</definedName>
    <definedName name="DATA1">#REF!</definedName>
    <definedName name="DATA10" localSheetId="3">#REF!</definedName>
    <definedName name="DATA10">#REF!</definedName>
    <definedName name="DATA11" localSheetId="3">#REF!</definedName>
    <definedName name="DATA11">#REF!</definedName>
    <definedName name="DATA12" localSheetId="3">#REF!</definedName>
    <definedName name="DATA12">#REF!</definedName>
    <definedName name="DATA13" localSheetId="3">#REF!</definedName>
    <definedName name="DATA13">#REF!</definedName>
    <definedName name="DATA14" localSheetId="3">#REF!</definedName>
    <definedName name="DATA14">#REF!</definedName>
    <definedName name="DATA15" localSheetId="3">#REF!</definedName>
    <definedName name="DATA15">#REF!</definedName>
    <definedName name="DATA16" localSheetId="3">#REF!</definedName>
    <definedName name="DATA16">#REF!</definedName>
    <definedName name="DATA17" localSheetId="3">#REF!</definedName>
    <definedName name="DATA17">#REF!</definedName>
    <definedName name="DATA2" localSheetId="3">#REF!</definedName>
    <definedName name="DATA2">#REF!</definedName>
    <definedName name="DATA3" localSheetId="3">#REF!</definedName>
    <definedName name="DATA3">#REF!</definedName>
    <definedName name="DATA4" localSheetId="3">#REF!</definedName>
    <definedName name="DATA4">#REF!</definedName>
    <definedName name="DATA5" localSheetId="3">#REF!</definedName>
    <definedName name="DATA5">#REF!</definedName>
    <definedName name="DATA6" localSheetId="3">#REF!</definedName>
    <definedName name="DATA6">#REF!</definedName>
    <definedName name="DATA7" localSheetId="3">#REF!</definedName>
    <definedName name="DATA7">#REF!</definedName>
    <definedName name="DATA8" localSheetId="3">#REF!</definedName>
    <definedName name="DATA8">#REF!</definedName>
    <definedName name="DATA9" localSheetId="3">#REF!</definedName>
    <definedName name="DATA9">#REF!</definedName>
    <definedName name="Excel_BuiltIn__FilterDatabase_2" localSheetId="3">#REF!</definedName>
    <definedName name="Excel_BuiltIn__FilterDatabase_2">#REF!</definedName>
    <definedName name="financialcalcs" localSheetId="3">#REF!</definedName>
    <definedName name="financialcalcs">#REF!</definedName>
    <definedName name="leverage" localSheetId="3">#REF!</definedName>
    <definedName name="leverage">#REF!</definedName>
    <definedName name="limcount" hidden="1">2</definedName>
    <definedName name="MOD_prices">'[1]Pricing - Current'!$3:$74</definedName>
    <definedName name="PortionInDeal" localSheetId="3">#REF!</definedName>
    <definedName name="PortionInDeal">#REF!</definedName>
    <definedName name="Price_chart" localSheetId="3">#REF!</definedName>
    <definedName name="Price_chart">#REF!</definedName>
    <definedName name="Prices_cmai" localSheetId="3">#REF!</definedName>
    <definedName name="Prices_cmai">#REF!</definedName>
    <definedName name="product" localSheetId="3">#REF!</definedName>
    <definedName name="product">#REF!</definedName>
    <definedName name="Product2" localSheetId="3">#REF!</definedName>
    <definedName name="Product2">#REF!</definedName>
    <definedName name="product25" localSheetId="3">#REF!</definedName>
    <definedName name="product25">#REF!</definedName>
    <definedName name="quantity">[2]Terms!$C$1</definedName>
    <definedName name="rate" localSheetId="3">#REF!</definedName>
    <definedName name="rate">#REF!</definedName>
    <definedName name="ReportTitle1" localSheetId="3">#REF!</definedName>
    <definedName name="ReportTitle1">#REF!</definedName>
    <definedName name="ROI_SERIES15" localSheetId="3">[3]IRR!#REF!</definedName>
    <definedName name="ROI_SERIES15">[3]IRR!#REF!</definedName>
    <definedName name="RowDetails1" localSheetId="3">#REF!</definedName>
    <definedName name="RowDetails1">#REF!</definedName>
    <definedName name="sencount" hidden="1">2</definedName>
    <definedName name="SERIES15" localSheetId="3">[3]IRR!#REF!</definedName>
    <definedName name="SERIES15">[3]IRR!#REF!</definedName>
    <definedName name="Site" localSheetId="3">#REF!</definedName>
    <definedName name="Site">#REF!</definedName>
    <definedName name="Table" localSheetId="3">#REF!</definedName>
    <definedName name="Table">#REF!</definedName>
    <definedName name="Term" localSheetId="3">#REF!</definedName>
    <definedName name="Term">#REF!</definedName>
    <definedName name="TermDiscperiods" localSheetId="3">#REF!</definedName>
    <definedName name="TermDiscperiods">#REF!</definedName>
    <definedName name="TEST1" localSheetId="3">#REF!</definedName>
    <definedName name="TEST1">#REF!</definedName>
    <definedName name="TEST2" localSheetId="3">#REF!</definedName>
    <definedName name="TEST2">#REF!</definedName>
    <definedName name="TEST3" localSheetId="3">#REF!</definedName>
    <definedName name="TEST3">#REF!</definedName>
    <definedName name="TESTHKEY" localSheetId="3">#REF!</definedName>
    <definedName name="TESTHKEY">#REF!</definedName>
    <definedName name="TESTKEYS" localSheetId="3">#REF!</definedName>
    <definedName name="TESTKEYS">#REF!</definedName>
    <definedName name="TESTVKEY" localSheetId="3">#REF!</definedName>
    <definedName name="TESTVKEY">#REF!</definedName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  <definedName name="UNIFORMANCES1R103C7" hidden="1">[4]Source!$G$103</definedName>
    <definedName name="UNIFORMANCES1R107C7" hidden="1">[4]Source!$G$107</definedName>
    <definedName name="UNIFORMANCES1R110C7" hidden="1">[4]Source!$G$110</definedName>
    <definedName name="UNIFORMANCES1R114C7" hidden="1">[4]Source!$G$114</definedName>
    <definedName name="UNIFORMANCES1R118C7" hidden="1">[4]Source!$G$118</definedName>
    <definedName name="UNIFORMANCES1R121C7" hidden="1">[4]Source!$G$121</definedName>
    <definedName name="UNIFORMANCES1R127C7" hidden="1">[4]Source!$G$127</definedName>
    <definedName name="UNIFORMANCES1R130C7" hidden="1">[4]Source!$G$130</definedName>
    <definedName name="UNIFORMANCES1R134C7" hidden="1">[4]Source!$G$134</definedName>
    <definedName name="UNIFORMANCES1R138C7" hidden="1">[4]Source!$G$138</definedName>
    <definedName name="UNIFORMANCES1R141C7" hidden="1">[4]Source!$G$141</definedName>
    <definedName name="UNIFORMANCES1R145C7" hidden="1">[4]Source!$G$145</definedName>
    <definedName name="UNIFORMANCES1R149C7" hidden="1">[4]Source!$G$149</definedName>
    <definedName name="UNIFORMANCES1R152C7" hidden="1">[4]Source!$G$152</definedName>
    <definedName name="UNIFORMANCES1R156C7" hidden="1">[4]Source!$G$156</definedName>
    <definedName name="UNIFORMANCES1R15C7" hidden="1">[4]Source!$G$15</definedName>
    <definedName name="UNIFORMANCES1R163C7" hidden="1">[4]Source!$G$163</definedName>
    <definedName name="UNIFORMANCES1R167C7" hidden="1">[4]Source!$G$167</definedName>
    <definedName name="UNIFORMANCES1R171C7" hidden="1">[4]Source!$G$171</definedName>
    <definedName name="UNIFORMANCES1R175C7" hidden="1">[4]Source!$G$175</definedName>
    <definedName name="UNIFORMANCES1R179C7" hidden="1">[4]Source!$G$179</definedName>
    <definedName name="UNIFORMANCES1R186C7" hidden="1">[4]Source!$G$186</definedName>
    <definedName name="UNIFORMANCES1R18C7" hidden="1">[4]Source!$G$18</definedName>
    <definedName name="UNIFORMANCES1R190C7" hidden="1">[4]Source!$G$190</definedName>
    <definedName name="UNIFORMANCES1R193C7" hidden="1">[4]Source!$G$193</definedName>
    <definedName name="UNIFORMANCES1R197C7" hidden="1">[4]Source!$G$197</definedName>
    <definedName name="UNIFORMANCES1R19C7" hidden="1">[4]Source!$G$19</definedName>
    <definedName name="UNIFORMANCES1R203C7" hidden="1">[4]Source!$G$203</definedName>
    <definedName name="UNIFORMANCES1R207C7" hidden="1">[4]Source!$G$207</definedName>
    <definedName name="UNIFORMANCES1R210C7" hidden="1">[4]Source!$G$210</definedName>
    <definedName name="UNIFORMANCES1R211C7" hidden="1">[4]Source!$G$211</definedName>
    <definedName name="UNIFORMANCES1R214C7" hidden="1">[4]Source!$G$214</definedName>
    <definedName name="UNIFORMANCES1R218C7" hidden="1">[4]Source!$G$218</definedName>
    <definedName name="UNIFORMANCES1R219C7" hidden="1">[4]Source!$G$219</definedName>
    <definedName name="UNIFORMANCES1R221C7" hidden="1">[4]Source!$G$221</definedName>
    <definedName name="UNIFORMANCES1R222C7" hidden="1">[4]Source!$G$222</definedName>
    <definedName name="UNIFORMANCES1R225C7" hidden="1">[4]Source!$G$225</definedName>
    <definedName name="UNIFORMANCES1R229C7" hidden="1">[4]Source!$G$229</definedName>
    <definedName name="UNIFORMANCES1R230C7" hidden="1">[4]Source!$G$230</definedName>
    <definedName name="UNIFORMANCES1R235C7" hidden="1">[4]Source!$G$235</definedName>
    <definedName name="UNIFORMANCES1R23C7" hidden="1">[4]Source!$G$23</definedName>
    <definedName name="UNIFORMANCES1R240C7" hidden="1">[4]Source!$G$240</definedName>
    <definedName name="UNIFORMANCES1R243C7" hidden="1">[4]Source!$G$243</definedName>
    <definedName name="UNIFORMANCES1R247C7" hidden="1">[4]Source!$G$247</definedName>
    <definedName name="UNIFORMANCES1R248C7" hidden="1">[4]Source!$G$248</definedName>
    <definedName name="UNIFORMANCES1R25C7" hidden="1">[4]Source!$G$25</definedName>
    <definedName name="UNIFORMANCES1R26C7" hidden="1">[4]Source!$G$26</definedName>
    <definedName name="UNIFORMANCES1R29C7" hidden="1">[4]Source!$G$29</definedName>
    <definedName name="UNIFORMANCES1R33C7" hidden="1">[4]Source!$G$33</definedName>
    <definedName name="UNIFORMANCES1R37C7" hidden="1">[4]Source!$G$37</definedName>
    <definedName name="UNIFORMANCES1R38C7" hidden="1">[4]Source!$G$38</definedName>
    <definedName name="UNIFORMANCES1R41C7" hidden="1">[4]Source!$G$41</definedName>
    <definedName name="UNIFORMANCES1R43C7" hidden="1">[4]Source!$G$43</definedName>
    <definedName name="UNIFORMANCES1R46C7" hidden="1">[4]Source!$G$46</definedName>
    <definedName name="UNIFORMANCES1R50C7" hidden="1">[4]Source!$G$50</definedName>
    <definedName name="UNIFORMANCES1R51C7" hidden="1">[4]Source!$G$51</definedName>
    <definedName name="UNIFORMANCES1R53C7" hidden="1">[4]Source!$G$53</definedName>
    <definedName name="UNIFORMANCES1R54C7" hidden="1">[4]Source!$G$54</definedName>
    <definedName name="UNIFORMANCES1R59C7" hidden="1">[4]Source!$G$59</definedName>
    <definedName name="UNIFORMANCES1R5C7" hidden="1">[4]Source!$G$5</definedName>
    <definedName name="UNIFORMANCES1R60C7" hidden="1">[4]Source!$G$60</definedName>
    <definedName name="UNIFORMANCES1R62C7" hidden="1">[4]Source!$G$62</definedName>
    <definedName name="UNIFORMANCES1R63C7" hidden="1">[4]Source!$G$63</definedName>
    <definedName name="UNIFORMANCES1R66C7" hidden="1">[4]Source!$G$66</definedName>
    <definedName name="UNIFORMANCES1R67C7" hidden="1">[4]Source!$G$67</definedName>
    <definedName name="UNIFORMANCES1R68C7" hidden="1">[4]Source!$G$68</definedName>
    <definedName name="UNIFORMANCES1R70C7" hidden="1">[4]Source!$G$70</definedName>
    <definedName name="UNIFORMANCES1R71C7" hidden="1">[4]Source!$G$71</definedName>
    <definedName name="UNIFORMANCES1R74C7" hidden="1">[4]Source!$G$74</definedName>
    <definedName name="UNIFORMANCES1R75C7" hidden="1">[4]Source!$G$75</definedName>
    <definedName name="UNIFORMANCES1R76C7" hidden="1">[4]Source!$G$76</definedName>
    <definedName name="UNIFORMANCES1R78C7" hidden="1">[4]Source!$G$78</definedName>
    <definedName name="UNIFORMANCES1R79C7" hidden="1">[4]Source!$G$79</definedName>
    <definedName name="UNIFORMANCES1R81C7" hidden="1">[4]Source!$G$81</definedName>
    <definedName name="UNIFORMANCES1R82C7" hidden="1">[4]Source!$G$82</definedName>
    <definedName name="UNIFORMANCES1R83C7" hidden="1">[4]Source!$G$83</definedName>
    <definedName name="UNIFORMANCES1R85C7" hidden="1">[4]Source!$G$85</definedName>
    <definedName name="UNIFORMANCES1R86C7" hidden="1">[4]Source!$G$86</definedName>
    <definedName name="UNIFORMANCES1R87C7" hidden="1">[4]Source!$G$87</definedName>
    <definedName name="UNIFORMANCES1R89C7" hidden="1">[4]Source!$G$89</definedName>
    <definedName name="UNIFORMANCES1R90C7" hidden="1">[4]Source!$G$90</definedName>
    <definedName name="UNIFORMANCES1R93C7" hidden="1">[4]Source!$G$93</definedName>
    <definedName name="UNIFORMANCES1R94C7" hidden="1">[4]Source!$G$94</definedName>
    <definedName name="UNIFORMANCES1R97C7" hidden="1">[4]Source!$G$97</definedName>
    <definedName name="UNIFORMANCES1R98C7" hidden="1">[4]Source!$G$98</definedName>
    <definedName name="UNIFORMANCES1R99C7" hidden="1">[4]Source!$G$99</definedName>
    <definedName name="UNIFORMANCES2R100C6" hidden="1">[5]Sheet2!$F$100</definedName>
    <definedName name="UNIFORMANCES2R101C6" hidden="1">[5]Sheet2!$F$101</definedName>
    <definedName name="UNIFORMANCES2R102C6" hidden="1">[5]Sheet2!$F$102</definedName>
    <definedName name="UNIFORMANCES2R103C6" hidden="1">[5]Sheet2!$F$103</definedName>
    <definedName name="UNIFORMANCES2R104C6" hidden="1">[5]Sheet2!$F$104</definedName>
    <definedName name="UNIFORMANCES2R105C6" hidden="1">[5]Sheet2!$F$105</definedName>
    <definedName name="UNIFORMANCES2R106C6" hidden="1">[5]Sheet2!$F$106</definedName>
    <definedName name="UNIFORMANCES2R107C6" hidden="1">[5]Sheet2!$F$107</definedName>
    <definedName name="UNIFORMANCES2R108C6" hidden="1">[5]Sheet2!$F$108</definedName>
    <definedName name="UNIFORMANCES2R109C6" hidden="1">[5]Sheet2!$F$109</definedName>
    <definedName name="UNIFORMANCES2R10C6" hidden="1">[5]Sheet2!$F$10</definedName>
    <definedName name="UNIFORMANCES2R110C6" hidden="1">[5]Sheet2!$F$110</definedName>
    <definedName name="UNIFORMANCES2R111C6" hidden="1">[5]Sheet2!$F$111</definedName>
    <definedName name="UNIFORMANCES2R112C6" hidden="1">[5]Sheet2!$F$112</definedName>
    <definedName name="UNIFORMANCES2R113C6" hidden="1">[5]Sheet2!$F$113</definedName>
    <definedName name="UNIFORMANCES2R114C6" hidden="1">[5]Sheet2!$F$114</definedName>
    <definedName name="UNIFORMANCES2R115C6" hidden="1">[5]Sheet2!$F$115</definedName>
    <definedName name="UNIFORMANCES2R116C6" hidden="1">[5]Sheet2!$F$116</definedName>
    <definedName name="UNIFORMANCES2R117C6" hidden="1">[5]Sheet2!$F$117</definedName>
    <definedName name="UNIFORMANCES2R118C6" hidden="1">[5]Sheet2!$F$118</definedName>
    <definedName name="UNIFORMANCES2R119C6" hidden="1">[5]Sheet2!$F$119</definedName>
    <definedName name="UNIFORMANCES2R11C6" hidden="1">[5]Sheet2!$F$11</definedName>
    <definedName name="UNIFORMANCES2R120C6" hidden="1">[5]Sheet2!$F$120</definedName>
    <definedName name="UNIFORMANCES2R121C6" hidden="1">[5]Sheet2!$F$121</definedName>
    <definedName name="UNIFORMANCES2R122C6" hidden="1">[5]Sheet2!$F$122</definedName>
    <definedName name="UNIFORMANCES2R123C6" hidden="1">[5]Sheet2!$F$123</definedName>
    <definedName name="UNIFORMANCES2R124C6" hidden="1">[5]Sheet2!$F$124</definedName>
    <definedName name="UNIFORMANCES2R125C6" hidden="1">[5]Sheet2!$F$125</definedName>
    <definedName name="UNIFORMANCES2R126C6" hidden="1">[5]Sheet2!$F$126</definedName>
    <definedName name="UNIFORMANCES2R128C6" hidden="1">[5]Sheet2!$F$128</definedName>
    <definedName name="UNIFORMANCES2R129C6" hidden="1">[5]Sheet2!$F$129</definedName>
    <definedName name="UNIFORMANCES2R12C6" hidden="1">[5]Sheet2!$F$12</definedName>
    <definedName name="UNIFORMANCES2R130C6" hidden="1">[5]Sheet2!$F$130</definedName>
    <definedName name="UNIFORMANCES2R131C6" hidden="1">[5]Sheet2!$F$131</definedName>
    <definedName name="UNIFORMANCES2R132C6" hidden="1">[5]Sheet2!$F$132</definedName>
    <definedName name="UNIFORMANCES2R133C6" hidden="1">[5]Sheet2!$F$133</definedName>
    <definedName name="UNIFORMANCES2R134C6" hidden="1">[5]Sheet2!$F$134</definedName>
    <definedName name="UNIFORMANCES2R135C6" hidden="1">[5]Sheet2!$F$135</definedName>
    <definedName name="UNIFORMANCES2R136C6" hidden="1">[5]Sheet2!$F$136</definedName>
    <definedName name="UNIFORMANCES2R137C6" hidden="1">[5]Sheet2!$F$137</definedName>
    <definedName name="UNIFORMANCES2R138C6" hidden="1">[5]Sheet2!$F$138</definedName>
    <definedName name="UNIFORMANCES2R139C6" hidden="1">[5]Sheet2!$F$139</definedName>
    <definedName name="UNIFORMANCES2R13C6" hidden="1">[5]Sheet2!$F$13</definedName>
    <definedName name="UNIFORMANCES2R140C6" hidden="1">[5]Sheet2!$F$140</definedName>
    <definedName name="UNIFORMANCES2R141C6" hidden="1">[5]Sheet2!$F$141</definedName>
    <definedName name="UNIFORMANCES2R142C6" hidden="1">[5]Sheet2!$F$142</definedName>
    <definedName name="UNIFORMANCES2R143C6" hidden="1">[5]Sheet2!$F$143</definedName>
    <definedName name="UNIFORMANCES2R144C6" hidden="1">[5]Sheet2!$F$144</definedName>
    <definedName name="UNIFORMANCES2R145C6" hidden="1">[5]Sheet2!$F$145</definedName>
    <definedName name="UNIFORMANCES2R146C6" hidden="1">[5]Sheet2!$F$146</definedName>
    <definedName name="UNIFORMANCES2R147C6" hidden="1">[5]Sheet2!$F$147</definedName>
    <definedName name="UNIFORMANCES2R148C6" hidden="1">[5]Sheet2!$F$148</definedName>
    <definedName name="UNIFORMANCES2R149C6" hidden="1">[5]Sheet2!$F$149</definedName>
    <definedName name="UNIFORMANCES2R14C6" hidden="1">[5]Sheet2!$F$14</definedName>
    <definedName name="UNIFORMANCES2R150C6" hidden="1">[5]Sheet2!$F$150</definedName>
    <definedName name="UNIFORMANCES2R151C6" hidden="1">[5]Sheet2!$F$151</definedName>
    <definedName name="UNIFORMANCES2R152C6" hidden="1">[5]Sheet2!$F$152</definedName>
    <definedName name="UNIFORMANCES2R153C6" hidden="1">[5]Sheet2!$F$153</definedName>
    <definedName name="UNIFORMANCES2R154C6" hidden="1">[5]Sheet2!$F$154</definedName>
    <definedName name="UNIFORMANCES2R155C6" hidden="1">[5]Sheet2!$F$155</definedName>
    <definedName name="UNIFORMANCES2R156C6" hidden="1">[5]Sheet2!$F$156</definedName>
    <definedName name="UNIFORMANCES2R157C6" hidden="1">[5]Sheet2!$F$157</definedName>
    <definedName name="UNIFORMANCES2R158C6" hidden="1">[5]Sheet2!$F$158</definedName>
    <definedName name="UNIFORMANCES2R159C6" hidden="1">[5]Sheet2!$F$159</definedName>
    <definedName name="UNIFORMANCES2R160C6" hidden="1">[5]Sheet2!$F$160</definedName>
    <definedName name="UNIFORMANCES2R161C6" hidden="1">[5]Sheet2!$F$161</definedName>
    <definedName name="UNIFORMANCES2R16C6" hidden="1">[5]Sheet2!$F$16</definedName>
    <definedName name="UNIFORMANCES2R17C6" hidden="1">[5]Sheet2!$F$17</definedName>
    <definedName name="UNIFORMANCES2R184C6" hidden="1">[5]Sheet2!$F$184</definedName>
    <definedName name="UNIFORMANCES2R185C6" hidden="1">[5]Sheet2!$F$185</definedName>
    <definedName name="UNIFORMANCES2R186C6" hidden="1">[5]Sheet2!$F$186</definedName>
    <definedName name="UNIFORMANCES2R187C6" hidden="1">[5]Sheet2!$F$187</definedName>
    <definedName name="UNIFORMANCES2R18C6" hidden="1">[5]Sheet2!$F$18</definedName>
    <definedName name="UNIFORMANCES2R191C6" hidden="1">[5]Sheet2!$F$191</definedName>
    <definedName name="UNIFORMANCES2R192C6" hidden="1">[5]Sheet2!$F$192</definedName>
    <definedName name="UNIFORMANCES2R193C6" hidden="1">[5]Sheet2!$F$193</definedName>
    <definedName name="UNIFORMANCES2R194C6" hidden="1">[5]Sheet2!$F$194</definedName>
    <definedName name="UNIFORMANCES2R195C6" hidden="1">[5]Sheet2!$F$195</definedName>
    <definedName name="UNIFORMANCES2R196C6" hidden="1">[5]Sheet2!$F$196</definedName>
    <definedName name="UNIFORMANCES2R197C6" hidden="1">[5]Sheet2!$F$197</definedName>
    <definedName name="UNIFORMANCES2R198C6" hidden="1">[5]Sheet2!$F$198</definedName>
    <definedName name="UNIFORMANCES2R199C6" hidden="1">[5]Sheet2!$F$199</definedName>
    <definedName name="UNIFORMANCES2R19C6" hidden="1">[5]Sheet2!$F$19</definedName>
    <definedName name="UNIFORMANCES2R200C6" hidden="1">[5]Sheet2!$F$200</definedName>
    <definedName name="UNIFORMANCES2R201C6" hidden="1">[5]Sheet2!$F$201</definedName>
    <definedName name="UNIFORMANCES2R202C6" hidden="1">[5]Sheet2!$F$202</definedName>
    <definedName name="UNIFORMANCES2R203C6" hidden="1">[5]Sheet2!$F$203</definedName>
    <definedName name="UNIFORMANCES2R204C6" hidden="1">[5]Sheet2!$F$204</definedName>
    <definedName name="UNIFORMANCES2R205C6" hidden="1">[5]Sheet2!$F$205</definedName>
    <definedName name="UNIFORMANCES2R206C6" hidden="1">[5]Sheet2!$F$206</definedName>
    <definedName name="UNIFORMANCES2R207C6" hidden="1">[5]Sheet2!$F$207</definedName>
    <definedName name="UNIFORMANCES2R208C6" hidden="1">[5]Sheet2!$F$208</definedName>
    <definedName name="UNIFORMANCES2R209C6" hidden="1">[5]Sheet2!$F$209</definedName>
    <definedName name="UNIFORMANCES2R20C6" hidden="1">[5]Sheet2!$F$20</definedName>
    <definedName name="UNIFORMANCES2R210C6" hidden="1">[5]Sheet2!$F$210</definedName>
    <definedName name="UNIFORMANCES2R211C6" hidden="1">[5]Sheet2!$F$211</definedName>
    <definedName name="UNIFORMANCES2R212C6" hidden="1">[5]Sheet2!$F$212</definedName>
    <definedName name="UNIFORMANCES2R213C6" hidden="1">[5]Sheet2!$F$213</definedName>
    <definedName name="UNIFORMANCES2R214C6" hidden="1">[5]Sheet2!$F$214</definedName>
    <definedName name="UNIFORMANCES2R215C6" hidden="1">[5]Sheet2!$F$215</definedName>
    <definedName name="UNIFORMANCES2R216C6" hidden="1">[5]Sheet2!$F$216</definedName>
    <definedName name="UNIFORMANCES2R217C6" hidden="1">[5]Sheet2!$F$217</definedName>
    <definedName name="UNIFORMANCES2R218C6" hidden="1">[5]Sheet2!$F$218</definedName>
    <definedName name="UNIFORMANCES2R219C6" hidden="1">[5]Sheet2!$F$219</definedName>
    <definedName name="UNIFORMANCES2R21C6" hidden="1">[5]Sheet2!$F$21</definedName>
    <definedName name="UNIFORMANCES2R220C6" hidden="1">[5]Sheet2!$F$220</definedName>
    <definedName name="UNIFORMANCES2R221C6" hidden="1">[5]Sheet2!$F$221</definedName>
    <definedName name="UNIFORMANCES2R222C6" hidden="1">[5]Sheet2!$F$222</definedName>
    <definedName name="UNIFORMANCES2R223C6" hidden="1">[5]Sheet2!$F$223</definedName>
    <definedName name="UNIFORMANCES2R224C6" hidden="1">[5]Sheet2!$F$224</definedName>
    <definedName name="UNIFORMANCES2R225C6" hidden="1">[5]Sheet2!$F$225</definedName>
    <definedName name="UNIFORMANCES2R227C6" hidden="1">[5]Sheet2!$F$227</definedName>
    <definedName name="UNIFORMANCES2R229C6" hidden="1">[5]Sheet2!$F$229</definedName>
    <definedName name="UNIFORMANCES2R22C6" hidden="1">[5]Sheet2!$F$22</definedName>
    <definedName name="UNIFORMANCES2R230C6" hidden="1">[5]Sheet2!$F$230</definedName>
    <definedName name="UNIFORMANCES2R231C6" hidden="1">[5]Sheet2!$F$231</definedName>
    <definedName name="UNIFORMANCES2R232C6" hidden="1">[5]Sheet2!$F$232</definedName>
    <definedName name="UNIFORMANCES2R233C6" hidden="1">[5]Sheet2!$F$233</definedName>
    <definedName name="UNIFORMANCES2R234C6" hidden="1">[5]Sheet2!$F$234</definedName>
    <definedName name="UNIFORMANCES2R235C6" hidden="1">[5]Sheet2!$F$235</definedName>
    <definedName name="UNIFORMANCES2R236C6" hidden="1">[5]Sheet2!$F$236</definedName>
    <definedName name="UNIFORMANCES2R237C6" hidden="1">[5]Sheet2!$F$237</definedName>
    <definedName name="UNIFORMANCES2R238C6" hidden="1">[5]Sheet2!$F$238</definedName>
    <definedName name="UNIFORMANCES2R239C6" hidden="1">[5]Sheet2!$F$239</definedName>
    <definedName name="UNIFORMANCES2R23C6" hidden="1">[5]Sheet2!$F$23</definedName>
    <definedName name="UNIFORMANCES2R240C6" hidden="1">[5]Sheet2!$F$240</definedName>
    <definedName name="UNIFORMANCES2R241C6" hidden="1">[5]Sheet2!$F$241</definedName>
    <definedName name="UNIFORMANCES2R242C6" hidden="1">[5]Sheet2!$F$242</definedName>
    <definedName name="UNIFORMANCES2R243C6" hidden="1">[5]Sheet2!$F$243</definedName>
    <definedName name="UNIFORMANCES2R24C6" hidden="1">[5]Sheet2!$F$24</definedName>
    <definedName name="UNIFORMANCES2R25C6" hidden="1">[5]Sheet2!$F$25</definedName>
    <definedName name="UNIFORMANCES2R26C6" hidden="1">[5]Sheet2!$F$26</definedName>
    <definedName name="UNIFORMANCES2R27C6" hidden="1">[5]Sheet2!$F$27</definedName>
    <definedName name="UNIFORMANCES2R28C6" hidden="1">[5]Sheet2!$F$28</definedName>
    <definedName name="UNIFORMANCES2R29C6" hidden="1">[5]Sheet2!$F$29</definedName>
    <definedName name="UNIFORMANCES2R30C6" hidden="1">[5]Sheet2!$F$30</definedName>
    <definedName name="UNIFORMANCES2R31C6" hidden="1">[5]Sheet2!$F$31</definedName>
    <definedName name="UNIFORMANCES2R32C6" hidden="1">[5]Sheet2!$F$32</definedName>
    <definedName name="UNIFORMANCES2R33C6" hidden="1">[5]Sheet2!$F$33</definedName>
    <definedName name="UNIFORMANCES2R34C6" hidden="1">[5]Sheet2!$F$34</definedName>
    <definedName name="UNIFORMANCES2R35C6" hidden="1">[5]Sheet2!$F$35</definedName>
    <definedName name="UNIFORMANCES2R36C6" hidden="1">[5]Sheet2!$F$36</definedName>
    <definedName name="UNIFORMANCES2R37C6" hidden="1">[5]Sheet2!$F$37</definedName>
    <definedName name="UNIFORMANCES2R38C6" hidden="1">[5]Sheet2!$F$38</definedName>
    <definedName name="UNIFORMANCES2R39C6" hidden="1">[5]Sheet2!$F$39</definedName>
    <definedName name="UNIFORMANCES2R40C6" hidden="1">[5]Sheet2!$F$40</definedName>
    <definedName name="UNIFORMANCES2R41C6" hidden="1">[5]Sheet2!$F$41</definedName>
    <definedName name="UNIFORMANCES2R42C6" hidden="1">[5]Sheet2!$F$42</definedName>
    <definedName name="UNIFORMANCES2R43C6" hidden="1">[5]Sheet2!$F$43</definedName>
    <definedName name="UNIFORMANCES2R44C6" hidden="1">[5]Sheet2!$F$44</definedName>
    <definedName name="UNIFORMANCES2R45C6" hidden="1">[5]Sheet2!$F$45</definedName>
    <definedName name="UNIFORMANCES2R46C6" hidden="1">[5]Sheet2!$F$46</definedName>
    <definedName name="UNIFORMANCES2R47C6" hidden="1">[5]Sheet2!$F$47</definedName>
    <definedName name="UNIFORMANCES2R48C6" hidden="1">[5]Sheet2!$F$48</definedName>
    <definedName name="UNIFORMANCES2R49C6" hidden="1">[5]Sheet2!$F$49</definedName>
    <definedName name="UNIFORMANCES2R4C6" hidden="1">[5]Sheet2!$F$4</definedName>
    <definedName name="UNIFORMANCES2R50C6" hidden="1">[5]Sheet2!$F$50</definedName>
    <definedName name="UNIFORMANCES2R51C6" hidden="1">[5]Sheet2!$F$51</definedName>
    <definedName name="UNIFORMANCES2R52C6" hidden="1">[5]Sheet2!$F$52</definedName>
    <definedName name="UNIFORMANCES2R53C6" hidden="1">[5]Sheet2!$F$53</definedName>
    <definedName name="UNIFORMANCES2R54C6" hidden="1">[5]Sheet2!$F$54</definedName>
    <definedName name="UNIFORMANCES2R55C6" hidden="1">[5]Sheet2!$F$55</definedName>
    <definedName name="UNIFORMANCES2R56C6" hidden="1">[5]Sheet2!$F$56</definedName>
    <definedName name="UNIFORMANCES2R57C6" hidden="1">[5]Sheet2!$F$57</definedName>
    <definedName name="UNIFORMANCES2R58C6" hidden="1">[5]Sheet2!$F$58</definedName>
    <definedName name="UNIFORMANCES2R59C6" hidden="1">[5]Sheet2!$F$59</definedName>
    <definedName name="UNIFORMANCES2R60C6" hidden="1">[5]Sheet2!$F$60</definedName>
    <definedName name="UNIFORMANCES2R61C6" hidden="1">[5]Sheet2!$F$61</definedName>
    <definedName name="UNIFORMANCES2R62C6" hidden="1">[5]Sheet2!$F$62</definedName>
    <definedName name="UNIFORMANCES2R63C6" hidden="1">[5]Sheet2!$F$63</definedName>
    <definedName name="UNIFORMANCES2R64C6" hidden="1">[5]Sheet2!$F$64</definedName>
    <definedName name="UNIFORMANCES2R65C6" hidden="1">[5]Sheet2!$F$65</definedName>
    <definedName name="UNIFORMANCES2R66C6" hidden="1">[5]Sheet2!$F$66</definedName>
    <definedName name="UNIFORMANCES2R67C6" hidden="1">[5]Sheet2!$F$67</definedName>
    <definedName name="UNIFORMANCES2R68C6" hidden="1">[5]Sheet2!$F$68</definedName>
    <definedName name="UNIFORMANCES2R69C6" hidden="1">[5]Sheet2!$F$69</definedName>
    <definedName name="UNIFORMANCES2R6C6" hidden="1">[5]Sheet2!$F$6</definedName>
    <definedName name="UNIFORMANCES2R70C6" hidden="1">[5]Sheet2!$F$70</definedName>
    <definedName name="UNIFORMANCES2R71C6" hidden="1">[5]Sheet2!$F$71</definedName>
    <definedName name="UNIFORMANCES2R72C6" hidden="1">[5]Sheet2!$F$72</definedName>
    <definedName name="UNIFORMANCES2R73C6" hidden="1">[5]Sheet2!$F$73</definedName>
    <definedName name="UNIFORMANCES2R74C6" hidden="1">[5]Sheet2!$F$74</definedName>
    <definedName name="UNIFORMANCES2R75C6" hidden="1">[5]Sheet2!$F$75</definedName>
    <definedName name="UNIFORMANCES2R76C6" hidden="1">[5]Sheet2!$F$76</definedName>
    <definedName name="UNIFORMANCES2R77C6" hidden="1">[5]Sheet2!$F$77</definedName>
    <definedName name="UNIFORMANCES2R78C6" hidden="1">[5]Sheet2!$F$78</definedName>
    <definedName name="UNIFORMANCES2R79C6" hidden="1">[5]Sheet2!$F$79</definedName>
    <definedName name="UNIFORMANCES2R80C6" hidden="1">[5]Sheet2!$F$80</definedName>
    <definedName name="UNIFORMANCES2R81C6" hidden="1">[5]Sheet2!$F$81</definedName>
    <definedName name="UNIFORMANCES2R82C6" hidden="1">[5]Sheet2!$F$82</definedName>
    <definedName name="UNIFORMANCES2R83C6" hidden="1">[5]Sheet2!$F$83</definedName>
    <definedName name="UNIFORMANCES2R84C6" hidden="1">[5]Sheet2!$F$84</definedName>
    <definedName name="UNIFORMANCES2R85C6" hidden="1">[5]Sheet2!$F$85</definedName>
    <definedName name="UNIFORMANCES2R86C6" hidden="1">[5]Sheet2!$F$86</definedName>
    <definedName name="UNIFORMANCES2R87C6" hidden="1">[5]Sheet2!$F$87</definedName>
    <definedName name="UNIFORMANCES2R88C6" hidden="1">[5]Sheet2!$F$88</definedName>
    <definedName name="UNIFORMANCES2R89C6" hidden="1">[5]Sheet2!$F$89</definedName>
    <definedName name="UNIFORMANCES2R8C6" hidden="1">[5]Sheet2!$F$8</definedName>
    <definedName name="UNIFORMANCES2R90C6" hidden="1">[5]Sheet2!$F$90</definedName>
    <definedName name="UNIFORMANCES2R91C6" hidden="1">[5]Sheet2!$F$91</definedName>
    <definedName name="UNIFORMANCES2R92C6" hidden="1">[5]Sheet2!$F$92</definedName>
    <definedName name="UNIFORMANCES2R93C6" hidden="1">[5]Sheet2!$F$93</definedName>
    <definedName name="UNIFORMANCES2R94C6" hidden="1">[5]Sheet2!$F$94</definedName>
    <definedName name="UNIFORMANCES2R95C6" hidden="1">[5]Sheet2!$F$95</definedName>
    <definedName name="UNIFORMANCES2R96C6" hidden="1">[5]Sheet2!$F$96</definedName>
    <definedName name="UNIFORMANCES2R97C6" hidden="1">[5]Sheet2!$F$97</definedName>
    <definedName name="UNIFORMANCES2R98C6" hidden="1">[5]Sheet2!$F$98</definedName>
    <definedName name="UNIFORMANCES2R99C6" hidden="1">[5]Sheet2!$F$99</definedName>
    <definedName name="UNIFORMANCES2R9C6" hidden="1">[5]Sheet2!$F$9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5" l="1"/>
  <c r="M19" i="3" l="1"/>
  <c r="M25" i="3"/>
  <c r="M24" i="3"/>
  <c r="M11" i="3"/>
  <c r="M22" i="3"/>
  <c r="M23" i="3"/>
  <c r="M21" i="3"/>
  <c r="M13" i="3"/>
  <c r="M14" i="3"/>
  <c r="M15" i="3"/>
  <c r="M16" i="3"/>
  <c r="M17" i="3"/>
  <c r="M18" i="3"/>
  <c r="M12" i="3"/>
  <c r="M7" i="3"/>
  <c r="M8" i="3"/>
  <c r="M9" i="3"/>
  <c r="M10" i="3"/>
  <c r="M6" i="3"/>
  <c r="N26" i="3"/>
  <c r="L11" i="3"/>
  <c r="L12" i="3" s="1"/>
  <c r="T5" i="5"/>
  <c r="T4" i="5"/>
  <c r="K28" i="3"/>
  <c r="K27" i="3"/>
  <c r="V7" i="5" l="1"/>
  <c r="U10" i="5"/>
  <c r="V10" i="5" s="1"/>
  <c r="T6" i="5"/>
  <c r="L17" i="3"/>
  <c r="L14" i="3"/>
  <c r="D8" i="5"/>
  <c r="U11" i="5" l="1"/>
  <c r="U12" i="5" s="1"/>
  <c r="D16" i="5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D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4" i="5"/>
  <c r="R11" i="5" s="1"/>
  <c r="Q4" i="5"/>
  <c r="Q11" i="5" s="1"/>
  <c r="P4" i="5"/>
  <c r="O4" i="5"/>
  <c r="O8" i="5" s="1"/>
  <c r="N4" i="5"/>
  <c r="N7" i="5" s="1"/>
  <c r="M4" i="5"/>
  <c r="M7" i="5" s="1"/>
  <c r="L4" i="5"/>
  <c r="L7" i="5" s="1"/>
  <c r="K4" i="5"/>
  <c r="K11" i="5" s="1"/>
  <c r="J4" i="5"/>
  <c r="J11" i="5" s="1"/>
  <c r="I4" i="5"/>
  <c r="I11" i="5" s="1"/>
  <c r="H4" i="5"/>
  <c r="G4" i="5"/>
  <c r="G8" i="5" s="1"/>
  <c r="F4" i="5"/>
  <c r="F7" i="5" s="1"/>
  <c r="E4" i="5"/>
  <c r="E7" i="5" s="1"/>
  <c r="R8" i="5" l="1"/>
  <c r="I10" i="5"/>
  <c r="D10" i="5"/>
  <c r="Q8" i="5"/>
  <c r="E11" i="5"/>
  <c r="F11" i="5"/>
  <c r="F10" i="5" s="1"/>
  <c r="H8" i="5"/>
  <c r="L11" i="5"/>
  <c r="L10" i="5" s="1"/>
  <c r="M11" i="5"/>
  <c r="M10" i="5" s="1"/>
  <c r="I8" i="5"/>
  <c r="J8" i="5"/>
  <c r="N11" i="5"/>
  <c r="N10" i="5" s="1"/>
  <c r="K8" i="5"/>
  <c r="P8" i="5"/>
  <c r="D9" i="5"/>
  <c r="J10" i="5"/>
  <c r="Q10" i="5"/>
  <c r="R10" i="5"/>
  <c r="K10" i="5"/>
  <c r="E10" i="5"/>
  <c r="H7" i="5"/>
  <c r="O11" i="5"/>
  <c r="O10" i="5" s="1"/>
  <c r="K7" i="5"/>
  <c r="L8" i="5"/>
  <c r="H11" i="5"/>
  <c r="H10" i="5" s="1"/>
  <c r="P11" i="5"/>
  <c r="P10" i="5" s="1"/>
  <c r="G7" i="5"/>
  <c r="I7" i="5"/>
  <c r="Q7" i="5"/>
  <c r="J7" i="5"/>
  <c r="R7" i="5"/>
  <c r="E8" i="5"/>
  <c r="E6" i="5" s="1"/>
  <c r="M8" i="5"/>
  <c r="M6" i="5" s="1"/>
  <c r="O7" i="5"/>
  <c r="P7" i="5"/>
  <c r="G11" i="5"/>
  <c r="G10" i="5" s="1"/>
  <c r="F8" i="5"/>
  <c r="N8" i="5"/>
  <c r="N6" i="5" s="1"/>
  <c r="E17" i="5" l="1"/>
  <c r="F6" i="5"/>
  <c r="F17" i="5" s="1"/>
  <c r="L9" i="5"/>
  <c r="E9" i="5"/>
  <c r="N9" i="5"/>
  <c r="N17" i="5"/>
  <c r="M17" i="5"/>
  <c r="M9" i="5"/>
  <c r="D6" i="5"/>
  <c r="D17" i="5" s="1"/>
  <c r="S17" i="5" s="1"/>
  <c r="S18" i="5" s="1"/>
  <c r="H9" i="5"/>
  <c r="H6" i="5"/>
  <c r="H17" i="5" s="1"/>
  <c r="G6" i="5"/>
  <c r="G17" i="5" s="1"/>
  <c r="G9" i="5"/>
  <c r="L6" i="5"/>
  <c r="L17" i="5" s="1"/>
  <c r="R9" i="5"/>
  <c r="R6" i="5"/>
  <c r="R17" i="5" s="1"/>
  <c r="P9" i="5"/>
  <c r="P6" i="5"/>
  <c r="P17" i="5" s="1"/>
  <c r="J6" i="5"/>
  <c r="J17" i="5" s="1"/>
  <c r="J9" i="5"/>
  <c r="Q9" i="5"/>
  <c r="Q6" i="5"/>
  <c r="Q17" i="5" s="1"/>
  <c r="F9" i="5"/>
  <c r="O6" i="5"/>
  <c r="O17" i="5" s="1"/>
  <c r="O9" i="5"/>
  <c r="I9" i="5"/>
  <c r="I6" i="5"/>
  <c r="I17" i="5" s="1"/>
  <c r="K6" i="5"/>
  <c r="K17" i="5" s="1"/>
  <c r="K9" i="5"/>
  <c r="L18" i="3" l="1"/>
  <c r="L16" i="3"/>
  <c r="L15" i="3"/>
  <c r="L13" i="3"/>
  <c r="B11" i="4"/>
  <c r="C87" i="4"/>
  <c r="C80" i="4"/>
  <c r="F43" i="4"/>
  <c r="F42" i="4"/>
  <c r="F40" i="4"/>
  <c r="F44" i="4" s="1"/>
  <c r="F45" i="4" s="1"/>
  <c r="B40" i="4"/>
  <c r="B44" i="4" s="1"/>
  <c r="B29" i="4"/>
  <c r="B20" i="4"/>
  <c r="D20" i="4" s="1"/>
  <c r="D22" i="4" s="1"/>
  <c r="E15" i="4"/>
  <c r="H14" i="4"/>
  <c r="C14" i="4"/>
  <c r="B8" i="4"/>
  <c r="B7" i="4"/>
  <c r="M6" i="4"/>
  <c r="B6" i="4"/>
  <c r="I4" i="4"/>
  <c r="J4" i="4" s="1"/>
  <c r="B41" i="4" l="1"/>
  <c r="B42" i="4"/>
  <c r="B45" i="4" s="1"/>
  <c r="B43" i="4"/>
  <c r="E43" i="4"/>
  <c r="B27" i="4"/>
  <c r="B4" i="4"/>
  <c r="B5" i="4" l="1"/>
  <c r="B28" i="4"/>
  <c r="B32" i="4" s="1"/>
  <c r="E34" i="4" l="1"/>
  <c r="B34" i="4"/>
  <c r="B9" i="4" s="1"/>
  <c r="C11" i="4" l="1"/>
  <c r="G18" i="4"/>
  <c r="B71" i="4"/>
  <c r="F34" i="4"/>
  <c r="B77" i="4" l="1"/>
  <c r="D86" i="4"/>
  <c r="D85" i="4"/>
  <c r="D84" i="4"/>
  <c r="D83" i="4"/>
  <c r="D87" i="4" l="1"/>
  <c r="E83" i="4"/>
  <c r="H83" i="4" s="1"/>
  <c r="F83" i="4" l="1"/>
  <c r="G83" i="4" s="1"/>
  <c r="E84" i="4" s="1"/>
  <c r="I83" i="4"/>
  <c r="K83" i="4" s="1"/>
  <c r="F84" i="4" l="1"/>
  <c r="G84" i="4" s="1"/>
  <c r="E85" i="4" s="1"/>
  <c r="H84" i="4"/>
  <c r="F85" i="4" l="1"/>
  <c r="G85" i="4" s="1"/>
  <c r="E86" i="4" s="1"/>
  <c r="E87" i="4" s="1"/>
  <c r="H85" i="4"/>
  <c r="I84" i="4"/>
  <c r="K84" i="4" s="1"/>
  <c r="I85" i="4" l="1"/>
  <c r="K85" i="4" s="1"/>
  <c r="F86" i="4"/>
  <c r="H86" i="4"/>
  <c r="I86" i="4" l="1"/>
  <c r="K86" i="4" s="1"/>
  <c r="K87" i="4" s="1"/>
  <c r="F87" i="4"/>
  <c r="G87" i="4" s="1"/>
  <c r="G86" i="4"/>
  <c r="H87" i="4"/>
  <c r="I87" i="4" l="1"/>
  <c r="B13" i="4"/>
  <c r="B14" i="4" s="1"/>
  <c r="B72" i="4"/>
  <c r="B76" i="4" l="1"/>
  <c r="B73" i="4"/>
  <c r="J86" i="4" l="1"/>
  <c r="J87" i="4" s="1"/>
  <c r="J85" i="4"/>
  <c r="J84" i="4"/>
  <c r="J83" i="4"/>
  <c r="B78" i="4"/>
  <c r="L19" i="3" l="1"/>
  <c r="K15" i="3"/>
  <c r="I26" i="3"/>
  <c r="J26" i="3"/>
  <c r="H26" i="3"/>
  <c r="K26" i="3"/>
  <c r="K19" i="3"/>
  <c r="J19" i="3"/>
  <c r="I19" i="3"/>
  <c r="H19" i="3"/>
  <c r="G24" i="3"/>
  <c r="G19" i="3"/>
  <c r="G11" i="3"/>
  <c r="K24" i="3"/>
  <c r="K22" i="3"/>
  <c r="K23" i="3"/>
  <c r="K21" i="3"/>
  <c r="K13" i="3"/>
  <c r="K14" i="3"/>
  <c r="K16" i="3"/>
  <c r="K17" i="3"/>
  <c r="K18" i="3"/>
  <c r="K12" i="3"/>
  <c r="K11" i="3"/>
  <c r="K7" i="3"/>
  <c r="K8" i="3"/>
  <c r="K9" i="3"/>
  <c r="K10" i="3"/>
  <c r="K6" i="3"/>
  <c r="I24" i="3"/>
  <c r="J24" i="3"/>
  <c r="H24" i="3"/>
  <c r="J11" i="3"/>
  <c r="I11" i="3"/>
  <c r="H11" i="3"/>
  <c r="J22" i="3"/>
  <c r="J23" i="3"/>
  <c r="J21" i="3"/>
  <c r="J13" i="3"/>
  <c r="J14" i="3"/>
  <c r="J15" i="3"/>
  <c r="J16" i="3"/>
  <c r="J17" i="3"/>
  <c r="J18" i="3"/>
  <c r="J12" i="3"/>
  <c r="J7" i="3"/>
  <c r="J8" i="3"/>
  <c r="J9" i="3"/>
  <c r="J10" i="3"/>
  <c r="J6" i="3"/>
  <c r="I22" i="3"/>
  <c r="I23" i="3"/>
  <c r="I21" i="3"/>
  <c r="I13" i="3"/>
  <c r="I14" i="3"/>
  <c r="I15" i="3"/>
  <c r="I16" i="3"/>
  <c r="I17" i="3"/>
  <c r="I18" i="3"/>
  <c r="I12" i="3"/>
  <c r="I7" i="3"/>
  <c r="I8" i="3"/>
  <c r="I9" i="3"/>
  <c r="I10" i="3"/>
  <c r="I6" i="3"/>
  <c r="H22" i="3"/>
  <c r="H23" i="3"/>
  <c r="H21" i="3"/>
  <c r="H7" i="3"/>
  <c r="H8" i="3"/>
  <c r="H9" i="3"/>
  <c r="H10" i="3"/>
  <c r="H12" i="3"/>
  <c r="H13" i="3"/>
  <c r="H14" i="3"/>
  <c r="H15" i="3"/>
  <c r="H16" i="3"/>
  <c r="H17" i="3"/>
  <c r="H18" i="3"/>
  <c r="H6" i="3"/>
  <c r="K9" i="1"/>
  <c r="K8" i="1"/>
  <c r="J8" i="1"/>
  <c r="I5" i="1"/>
  <c r="G7" i="1"/>
  <c r="G6" i="1"/>
  <c r="H5" i="1"/>
  <c r="G5" i="1"/>
  <c r="L23" i="3" l="1"/>
  <c r="L22" i="3"/>
  <c r="L21" i="3"/>
  <c r="L24" i="3" l="1"/>
  <c r="L26" i="3" s="1"/>
  <c r="M26" i="3" s="1"/>
  <c r="M27" i="3" s="1"/>
</calcChain>
</file>

<file path=xl/sharedStrings.xml><?xml version="1.0" encoding="utf-8"?>
<sst xmlns="http://schemas.openxmlformats.org/spreadsheetml/2006/main" count="173" uniqueCount="148">
  <si>
    <t>Year</t>
  </si>
  <si>
    <t>Average EGP/INR</t>
  </si>
  <si>
    <t>Min EGP/INR</t>
  </si>
  <si>
    <t>Max EGP/INR</t>
  </si>
  <si>
    <t>Nb of working days</t>
  </si>
  <si>
    <t>Component</t>
  </si>
  <si>
    <t>Purchased equipments PE (30% of FCI)</t>
  </si>
  <si>
    <t>Indirect costs (I.C)</t>
  </si>
  <si>
    <t>Total Purchased equipments</t>
  </si>
  <si>
    <t>Direct costs</t>
  </si>
  <si>
    <t xml:space="preserve"> St. St Mixer with stirrer (55 L)</t>
  </si>
  <si>
    <t>Reactor* St. St (750 L)</t>
  </si>
  <si>
    <t>St. St tank with stirrer (2200 L)</t>
  </si>
  <si>
    <t xml:space="preserve">Packing unit </t>
  </si>
  <si>
    <t xml:space="preserve">Purchased equipment installation (40 % of PE) </t>
  </si>
  <si>
    <t xml:space="preserve">Instrumentation and control (10 % of PE) </t>
  </si>
  <si>
    <t>Piping (30 % of PE)</t>
  </si>
  <si>
    <t xml:space="preserve">Electrical (20 % of PE) </t>
  </si>
  <si>
    <t>Building (25 % of PE)</t>
  </si>
  <si>
    <t xml:space="preserve">Yard improvement (50 % of PE) </t>
  </si>
  <si>
    <t xml:space="preserve">Service facilities (6 % of PE) </t>
  </si>
  <si>
    <t>Total direct costs (DC)</t>
  </si>
  <si>
    <t xml:space="preserve">Working capital (10 % of FCI) </t>
  </si>
  <si>
    <t>Total capital investment (TCI)</t>
  </si>
  <si>
    <t>Engineering and supervision (20% of DC)</t>
  </si>
  <si>
    <t>Construction expenses (20% of DC)</t>
  </si>
  <si>
    <t>Total indirect costs</t>
  </si>
  <si>
    <t>Vacuum dryer</t>
  </si>
  <si>
    <t xml:space="preserve">Cost L.E. For 18 tons per year </t>
  </si>
  <si>
    <t xml:space="preserve">Cost for per ton L.E. </t>
  </si>
  <si>
    <t>Cost in INR per ton</t>
  </si>
  <si>
    <t>Cost For 100 KT Plant in INR</t>
  </si>
  <si>
    <t>Cost in INR Crore</t>
  </si>
  <si>
    <t>OSBL Facilities</t>
  </si>
  <si>
    <t>Particulars</t>
  </si>
  <si>
    <t>INR Crore</t>
  </si>
  <si>
    <t>Sl No.</t>
  </si>
  <si>
    <t>Description</t>
  </si>
  <si>
    <t>Capacity</t>
  </si>
  <si>
    <t>Units</t>
  </si>
  <si>
    <t>Cost, Rs Cr.</t>
  </si>
  <si>
    <t>Land</t>
  </si>
  <si>
    <t>Cooling Tower</t>
  </si>
  <si>
    <t>M3/hr</t>
  </si>
  <si>
    <t>65 million USD</t>
  </si>
  <si>
    <t>Site development and building</t>
  </si>
  <si>
    <t>DM Water plant</t>
  </si>
  <si>
    <t>m3/hr</t>
  </si>
  <si>
    <t xml:space="preserve">Plant and Machinery </t>
  </si>
  <si>
    <t>STG for power generation</t>
  </si>
  <si>
    <t>MW</t>
  </si>
  <si>
    <t>Miscellaneous fixed assets</t>
  </si>
  <si>
    <t>Storage tanks-WNA</t>
  </si>
  <si>
    <t>MT</t>
  </si>
  <si>
    <t>Design and detailed engineering</t>
  </si>
  <si>
    <t>Storage tank-AN</t>
  </si>
  <si>
    <t>2x125</t>
  </si>
  <si>
    <t>Preliminary &amp; Pre-operative expenses</t>
  </si>
  <si>
    <t>Instrument air package</t>
  </si>
  <si>
    <t>NM3/hr</t>
  </si>
  <si>
    <t>Provision for contingency</t>
  </si>
  <si>
    <t>DM water tank</t>
  </si>
  <si>
    <t>M3</t>
  </si>
  <si>
    <t>Margin for working capital</t>
  </si>
  <si>
    <t>WTP plusTreated water tank</t>
  </si>
  <si>
    <t>m3</t>
  </si>
  <si>
    <t>Total Project cost</t>
  </si>
  <si>
    <t>Sewage Treatment Plant</t>
  </si>
  <si>
    <t>KLD</t>
  </si>
  <si>
    <t>Effluent Treatment plant with ZLD facility</t>
  </si>
  <si>
    <t>M3/day</t>
  </si>
  <si>
    <t>Interest During Construction</t>
  </si>
  <si>
    <t>Total</t>
  </si>
  <si>
    <t>Working Capital Margin</t>
  </si>
  <si>
    <t>Description of the building</t>
  </si>
  <si>
    <t>Total area required</t>
  </si>
  <si>
    <t>Rate per square meter</t>
  </si>
  <si>
    <t>Total cost</t>
  </si>
  <si>
    <t>(in square meter)</t>
  </si>
  <si>
    <t>Factory building</t>
  </si>
  <si>
    <t xml:space="preserve">Miscellaneous building including pump house,  water storage etc  Earth works, drainage, toilet, rest room, internal roads etc. at 5% of totla cost of factory and non factory building,  Architect fees </t>
  </si>
  <si>
    <t>Lumpsum</t>
  </si>
  <si>
    <t>Building</t>
  </si>
  <si>
    <t>Plant and Machinery</t>
  </si>
  <si>
    <t>Preliminary and preoperative expenses</t>
  </si>
  <si>
    <t>Provision for contigency at 10%</t>
  </si>
  <si>
    <t xml:space="preserve">Plant and machinery </t>
  </si>
  <si>
    <t>Cost of basic plant and machinery</t>
  </si>
  <si>
    <t>Auxiliary equipment and pollution control equipment at 5%</t>
  </si>
  <si>
    <t xml:space="preserve">Freight charges at 1% </t>
  </si>
  <si>
    <t>Insurance charges  at 2%</t>
  </si>
  <si>
    <t>Erection and foundation at 10% of plant machinery</t>
  </si>
  <si>
    <t>Stores and spares (2%)</t>
  </si>
  <si>
    <t>Electrification (including cost of installation, cabling, etc.)</t>
  </si>
  <si>
    <t xml:space="preserve">Steam generation and auxiliaries </t>
  </si>
  <si>
    <t>Water storage tank, borewell etc.</t>
  </si>
  <si>
    <t>Storage tanks</t>
  </si>
  <si>
    <t>Laboratory equipment</t>
  </si>
  <si>
    <t>Office machinery equipment</t>
  </si>
  <si>
    <t>Material handling equipment, weight balance, etc.</t>
  </si>
  <si>
    <t>Preliminary and Pre operative expenses</t>
  </si>
  <si>
    <t>Preliminary and Pre-operative expenses, establishment and rent rate and taxes</t>
  </si>
  <si>
    <t>Establishment</t>
  </si>
  <si>
    <t>Rent rate and taxes</t>
  </si>
  <si>
    <t>Traveling expenses</t>
  </si>
  <si>
    <t>Interest and commitment charges on borrowing</t>
  </si>
  <si>
    <t>Project cost with out IDC</t>
  </si>
  <si>
    <t>Rs lakhs</t>
  </si>
  <si>
    <t>IDC</t>
  </si>
  <si>
    <t>Total project cost with IDC</t>
  </si>
  <si>
    <t>Debt:Equity</t>
  </si>
  <si>
    <t>Debt</t>
  </si>
  <si>
    <t>Equity</t>
  </si>
  <si>
    <t>Construction Period Months</t>
  </si>
  <si>
    <t>Interest Rate (Term Loan)</t>
  </si>
  <si>
    <t>S.No</t>
  </si>
  <si>
    <t>Half yearly</t>
  </si>
  <si>
    <t>Phasing</t>
  </si>
  <si>
    <t>Rs Lakhs</t>
  </si>
  <si>
    <t>Half yrly</t>
  </si>
  <si>
    <t>Cumulative</t>
  </si>
  <si>
    <t>Balance</t>
  </si>
  <si>
    <t>Cumultive</t>
  </si>
  <si>
    <t>Interest</t>
  </si>
  <si>
    <t>First half yr</t>
  </si>
  <si>
    <t>Secod half yr</t>
  </si>
  <si>
    <t>Third half yr</t>
  </si>
  <si>
    <t>Fourth half yr</t>
  </si>
  <si>
    <t xml:space="preserve"> </t>
  </si>
  <si>
    <t>Cost in INR Crore India</t>
  </si>
  <si>
    <t xml:space="preserve">Contingency (10% of FC I) </t>
  </si>
  <si>
    <t>Capacity Utilisation</t>
  </si>
  <si>
    <t>%</t>
  </si>
  <si>
    <t xml:space="preserve">Variable Cost </t>
  </si>
  <si>
    <t>Tonne</t>
  </si>
  <si>
    <t>INR / Tonne</t>
  </si>
  <si>
    <t>Sub-Total</t>
  </si>
  <si>
    <t>Fixed  Cost</t>
  </si>
  <si>
    <t>Salary and Wages</t>
  </si>
  <si>
    <t>Maintenance and repairs (2.0% of fixed-capital investment)(Capex)</t>
  </si>
  <si>
    <t>Insurance (0.5% of project cost)</t>
  </si>
  <si>
    <t xml:space="preserve">Plant Overhead and Administrative Costs </t>
  </si>
  <si>
    <t xml:space="preserve">Acrylic Acid </t>
  </si>
  <si>
    <t>NaOH</t>
  </si>
  <si>
    <t>Chemicals &amp; Catayst</t>
  </si>
  <si>
    <t>100000 MTPA Super Absorbent Polymer</t>
  </si>
  <si>
    <t>Total  Production Cost- SAP</t>
  </si>
  <si>
    <t>SAP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</si>
</sst>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FF"/>
      <name val="Helvetica"/>
    </font>
    <font>
      <b/>
      <sz val="10"/>
      <color rgb="FF00008B"/>
      <name val="Helvetica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9" fillId="4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3" fontId="10" fillId="0" borderId="2" xfId="0" applyNumberFormat="1" applyFont="1" applyBorder="1" applyAlignment="1">
      <alignment horizontal="left"/>
    </xf>
    <xf numFmtId="165" fontId="10" fillId="0" borderId="2" xfId="0" applyNumberFormat="1" applyFont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3" fontId="10" fillId="0" borderId="2" xfId="0" applyNumberFormat="1" applyFont="1" applyBorder="1"/>
    <xf numFmtId="0" fontId="9" fillId="4" borderId="2" xfId="0" applyFont="1" applyFill="1" applyBorder="1" applyAlignment="1">
      <alignment horizontal="left"/>
    </xf>
    <xf numFmtId="1" fontId="9" fillId="4" borderId="2" xfId="0" applyNumberFormat="1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165" fontId="6" fillId="6" borderId="0" xfId="0" applyNumberFormat="1" applyFont="1" applyFill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 vertical="top" wrapText="1"/>
    </xf>
    <xf numFmtId="0" fontId="8" fillId="0" borderId="2" xfId="0" applyFont="1" applyBorder="1"/>
    <xf numFmtId="1" fontId="8" fillId="3" borderId="0" xfId="0" applyNumberFormat="1" applyFont="1" applyFill="1"/>
    <xf numFmtId="164" fontId="8" fillId="0" borderId="2" xfId="0" applyNumberFormat="1" applyFont="1" applyBorder="1"/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vertical="center"/>
    </xf>
    <xf numFmtId="1" fontId="8" fillId="0" borderId="2" xfId="0" applyNumberFormat="1" applyFont="1" applyBorder="1"/>
    <xf numFmtId="1" fontId="8" fillId="5" borderId="2" xfId="0" applyNumberFormat="1" applyFont="1" applyFill="1" applyBorder="1"/>
    <xf numFmtId="2" fontId="8" fillId="7" borderId="2" xfId="0" applyNumberFormat="1" applyFont="1" applyFill="1" applyBorder="1"/>
    <xf numFmtId="2" fontId="8" fillId="0" borderId="2" xfId="0" applyNumberFormat="1" applyFont="1" applyBorder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1" fillId="0" borderId="0" xfId="0" applyFont="1"/>
    <xf numFmtId="0" fontId="10" fillId="0" borderId="2" xfId="0" applyFont="1" applyBorder="1"/>
    <xf numFmtId="1" fontId="10" fillId="0" borderId="2" xfId="0" applyNumberFormat="1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9" fontId="10" fillId="0" borderId="2" xfId="0" applyNumberFormat="1" applyFont="1" applyBorder="1"/>
    <xf numFmtId="1" fontId="10" fillId="0" borderId="2" xfId="0" applyNumberFormat="1" applyFont="1" applyBorder="1"/>
    <xf numFmtId="1" fontId="7" fillId="0" borderId="2" xfId="0" applyNumberFormat="1" applyFont="1" applyBorder="1"/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/>
    <xf numFmtId="3" fontId="10" fillId="6" borderId="2" xfId="0" applyNumberFormat="1" applyFont="1" applyFill="1" applyBorder="1" applyAlignment="1">
      <alignment horizontal="center"/>
    </xf>
    <xf numFmtId="0" fontId="10" fillId="6" borderId="0" xfId="0" applyFont="1" applyFill="1"/>
    <xf numFmtId="0" fontId="11" fillId="3" borderId="0" xfId="0" applyFont="1" applyFill="1"/>
    <xf numFmtId="9" fontId="10" fillId="6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9" fontId="10" fillId="0" borderId="2" xfId="0" applyNumberFormat="1" applyFont="1" applyBorder="1" applyAlignment="1">
      <alignment horizontal="center"/>
    </xf>
    <xf numFmtId="0" fontId="7" fillId="0" borderId="2" xfId="0" applyFont="1" applyBorder="1"/>
    <xf numFmtId="3" fontId="7" fillId="6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wrapText="1"/>
    </xf>
    <xf numFmtId="0" fontId="0" fillId="3" borderId="2" xfId="0" applyFill="1" applyBorder="1"/>
    <xf numFmtId="0" fontId="0" fillId="3" borderId="4" xfId="0" applyFill="1" applyBorder="1"/>
    <xf numFmtId="0" fontId="0" fillId="6" borderId="0" xfId="0" applyFill="1"/>
    <xf numFmtId="0" fontId="9" fillId="4" borderId="4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wrapText="1"/>
    </xf>
    <xf numFmtId="9" fontId="7" fillId="0" borderId="4" xfId="0" applyNumberFormat="1" applyFont="1" applyBorder="1" applyAlignment="1">
      <alignment horizontal="center" wrapText="1"/>
    </xf>
    <xf numFmtId="0" fontId="2" fillId="6" borderId="0" xfId="0" applyFont="1" applyFill="1"/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3" fillId="6" borderId="0" xfId="0" applyFont="1" applyFill="1"/>
    <xf numFmtId="0" fontId="10" fillId="8" borderId="2" xfId="0" applyFont="1" applyFill="1" applyBorder="1" applyAlignment="1">
      <alignment horizontal="center" wrapText="1"/>
    </xf>
    <xf numFmtId="0" fontId="10" fillId="8" borderId="2" xfId="0" applyFont="1" applyFill="1" applyBorder="1" applyAlignment="1">
      <alignment horizontal="center" vertical="center"/>
    </xf>
    <xf numFmtId="2" fontId="10" fillId="8" borderId="2" xfId="0" applyNumberFormat="1" applyFont="1" applyFill="1" applyBorder="1" applyAlignment="1">
      <alignment horizontal="center"/>
    </xf>
    <xf numFmtId="2" fontId="10" fillId="8" borderId="4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2" fontId="10" fillId="8" borderId="2" xfId="0" applyNumberFormat="1" applyFont="1" applyFill="1" applyBorder="1" applyAlignment="1">
      <alignment horizontal="center" wrapText="1"/>
    </xf>
    <xf numFmtId="2" fontId="10" fillId="8" borderId="4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2" fontId="10" fillId="6" borderId="2" xfId="0" applyNumberFormat="1" applyFont="1" applyFill="1" applyBorder="1" applyAlignment="1">
      <alignment horizontal="center"/>
    </xf>
    <xf numFmtId="2" fontId="10" fillId="6" borderId="4" xfId="0" applyNumberFormat="1" applyFont="1" applyFill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" fontId="13" fillId="6" borderId="0" xfId="0" applyNumberFormat="1" applyFont="1" applyFill="1"/>
    <xf numFmtId="0" fontId="10" fillId="0" borderId="2" xfId="0" applyFont="1" applyBorder="1" applyAlignment="1">
      <alignment horizontal="center" vertical="top" wrapText="1"/>
    </xf>
    <xf numFmtId="2" fontId="10" fillId="0" borderId="2" xfId="0" applyNumberFormat="1" applyFont="1" applyBorder="1" applyAlignment="1">
      <alignment horizontal="center" vertical="top"/>
    </xf>
    <xf numFmtId="2" fontId="10" fillId="0" borderId="4" xfId="0" applyNumberFormat="1" applyFont="1" applyBorder="1" applyAlignment="1">
      <alignment horizontal="center" vertical="top"/>
    </xf>
    <xf numFmtId="2" fontId="9" fillId="4" borderId="2" xfId="0" applyNumberFormat="1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0" fontId="0" fillId="3" borderId="0" xfId="0" applyFill="1"/>
    <xf numFmtId="2" fontId="0" fillId="6" borderId="0" xfId="0" applyNumberFormat="1" applyFill="1"/>
    <xf numFmtId="1" fontId="10" fillId="6" borderId="2" xfId="0" applyNumberFormat="1" applyFont="1" applyFill="1" applyBorder="1" applyAlignment="1">
      <alignment horizontal="center"/>
    </xf>
    <xf numFmtId="1" fontId="10" fillId="8" borderId="2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 vertical="top"/>
    </xf>
    <xf numFmtId="9" fontId="13" fillId="6" borderId="0" xfId="2" applyFont="1" applyFill="1"/>
    <xf numFmtId="43" fontId="0" fillId="6" borderId="0" xfId="1" applyFont="1" applyFill="1"/>
    <xf numFmtId="0" fontId="5" fillId="3" borderId="0" xfId="0" applyFont="1" applyFill="1" applyAlignment="1">
      <alignment horizontal="left" vertical="top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6</xdr:col>
      <xdr:colOff>400050</xdr:colOff>
      <xdr:row>10</xdr:row>
      <xdr:rowOff>9525</xdr:rowOff>
    </xdr:to>
    <xdr:grpSp>
      <xdr:nvGrpSpPr>
        <xdr:cNvPr id="3095" name="Group 23">
          <a:extLst>
            <a:ext uri="{FF2B5EF4-FFF2-40B4-BE49-F238E27FC236}">
              <a16:creationId xmlns:a16="http://schemas.microsoft.com/office/drawing/2014/main" id="{052A5759-8A7B-3CF5-2AD2-D9657E44CF91}"/>
            </a:ext>
          </a:extLst>
        </xdr:cNvPr>
        <xdr:cNvGrpSpPr>
          <a:grpSpLocks/>
        </xdr:cNvGrpSpPr>
      </xdr:nvGrpSpPr>
      <xdr:grpSpPr bwMode="auto">
        <a:xfrm>
          <a:off x="5924550" y="1905000"/>
          <a:ext cx="400050" cy="9525"/>
          <a:chOff x="0" y="0"/>
          <a:chExt cx="627" cy="15"/>
        </a:xfrm>
      </xdr:grpSpPr>
      <xdr:sp macro="" textlink="">
        <xdr:nvSpPr>
          <xdr:cNvPr id="3096" name="Line 24">
            <a:extLst>
              <a:ext uri="{FF2B5EF4-FFF2-40B4-BE49-F238E27FC236}">
                <a16:creationId xmlns:a16="http://schemas.microsoft.com/office/drawing/2014/main" id="{3435C54D-23A7-224A-7B34-368383CF0713}"/>
              </a:ext>
            </a:extLst>
          </xdr:cNvPr>
          <xdr:cNvSpPr>
            <a:spLocks noChangeShapeType="1"/>
          </xdr:cNvSpPr>
        </xdr:nvSpPr>
        <xdr:spPr bwMode="auto">
          <a:xfrm>
            <a:off x="0" y="7"/>
            <a:ext cx="626" cy="0"/>
          </a:xfrm>
          <a:prstGeom prst="line">
            <a:avLst/>
          </a:prstGeom>
          <a:noFill/>
          <a:ln w="8966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Backup\D\Studies%20&amp;%20Reports\Chem%20Report%202002%20for%20Sabic\App%20V%20Case%20I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My%20Documents\EXCEL\03\BP\Data%20file%20BP2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Kribhco%20Hard%20Copy%20Files\TEFR-%20WNA+AN%20Shahajahanpur%20Location%20March%2007%202023%20rev1.xlsx" TargetMode="External"/><Relationship Id="rId1" Type="http://schemas.openxmlformats.org/officeDocument/2006/relationships/externalLinkPath" Target="/Users/hardik.malhotra/Desktop/Kribhco%20Hard%20Copy%20Files/TEFR-%20WNA+AN%20Shahajahanpur%20Location%20March%2007%202023%20re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ort\Monthly\2020\11.%20November\Copy%20of%20CPP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.9\TechSci%20Research\Users\21065\Desktop\Excel\CPP%20Monitoring%20She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hosh/Downloads/TEFR-%20WNA+AN%20Shahajahanpur%20Location%2030%20Oct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Total Cash Flow (Unleveraged)"/>
      <sheetName val="Total cash flow"/>
      <sheetName val="Olefin cash flow"/>
      <sheetName val="LLDPE cash flow"/>
      <sheetName val="HDPE cash flow"/>
      <sheetName val="MEG cash flow"/>
      <sheetName val="Butene-1 cash flow"/>
      <sheetName val="Oxygen"/>
      <sheetName val="Pricing - Current"/>
      <sheetName val="Pricing - Const"/>
      <sheetName val="Netback"/>
      <sheetName val="Mass Balance"/>
      <sheetName val="Purchases &amp; Sales"/>
      <sheetName val="Capital Costs"/>
      <sheetName val="Financing"/>
      <sheetName val="Taxation"/>
      <sheetName val="Expats"/>
      <sheetName val="Factors"/>
      <sheetName val="Backup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Ethane</v>
          </cell>
          <cell r="B3" t="str">
            <v xml:space="preserve">1.25/MM btu for the first 10 years of commercial operations; escalation at 3% per year </v>
          </cell>
          <cell r="D3" t="str">
            <v>$/ton</v>
          </cell>
          <cell r="E3">
            <v>0</v>
          </cell>
          <cell r="F3">
            <v>61.108654999999999</v>
          </cell>
          <cell r="G3">
            <v>61.108654999999999</v>
          </cell>
          <cell r="H3">
            <v>61.108654999999999</v>
          </cell>
          <cell r="I3">
            <v>61.108654999999999</v>
          </cell>
          <cell r="J3">
            <v>61.108654999999999</v>
          </cell>
          <cell r="K3">
            <v>61.108654999999999</v>
          </cell>
          <cell r="L3">
            <v>61.108654999999999</v>
          </cell>
          <cell r="M3">
            <v>61.108654999999999</v>
          </cell>
          <cell r="N3">
            <v>61.108654999999999</v>
          </cell>
          <cell r="O3">
            <v>61.108654999999999</v>
          </cell>
          <cell r="P3">
            <v>61.108654999999999</v>
          </cell>
          <cell r="Q3">
            <v>61.108654999999999</v>
          </cell>
          <cell r="R3">
            <v>61.108654999999999</v>
          </cell>
          <cell r="S3">
            <v>61.108654999999999</v>
          </cell>
          <cell r="T3">
            <v>61.108654999999999</v>
          </cell>
          <cell r="U3">
            <v>62.941914650000001</v>
          </cell>
          <cell r="V3">
            <v>64.830172089499996</v>
          </cell>
          <cell r="W3">
            <v>66.775077252185</v>
          </cell>
          <cell r="X3">
            <v>68.778329569750554</v>
          </cell>
          <cell r="Y3">
            <v>70.841679456843067</v>
          </cell>
          <cell r="Z3">
            <v>72.96692984054836</v>
          </cell>
          <cell r="AA3">
            <v>75.155937735764809</v>
          </cell>
          <cell r="AB3">
            <v>77.410615867837748</v>
          </cell>
          <cell r="AC3">
            <v>79.732934343872884</v>
          </cell>
          <cell r="AD3">
            <v>82.124922374189069</v>
          </cell>
          <cell r="AE3">
            <v>84.588670045414744</v>
          </cell>
          <cell r="AF3">
            <v>87.126330146777192</v>
          </cell>
          <cell r="AG3">
            <v>89.740120051180511</v>
          </cell>
          <cell r="AH3">
            <v>92.432323652715922</v>
          </cell>
        </row>
        <row r="4">
          <cell r="A4" t="str">
            <v>Methane</v>
          </cell>
          <cell r="B4" t="str">
            <v>0.75/ MM btu for the first 10 years of project life; escalation at 3% per year</v>
          </cell>
          <cell r="D4" t="str">
            <v>$/ton</v>
          </cell>
          <cell r="E4">
            <v>0</v>
          </cell>
          <cell r="F4">
            <v>35.5426407</v>
          </cell>
          <cell r="G4">
            <v>35.5426407</v>
          </cell>
          <cell r="H4">
            <v>35.5426407</v>
          </cell>
          <cell r="I4">
            <v>35.5426407</v>
          </cell>
          <cell r="J4">
            <v>35.5426407</v>
          </cell>
          <cell r="K4">
            <v>35.5426407</v>
          </cell>
          <cell r="L4">
            <v>35.5426407</v>
          </cell>
          <cell r="M4">
            <v>35.5426407</v>
          </cell>
          <cell r="N4">
            <v>35.5426407</v>
          </cell>
          <cell r="O4">
            <v>35.5426407</v>
          </cell>
          <cell r="P4">
            <v>35.5426407</v>
          </cell>
          <cell r="Q4">
            <v>35.5426407</v>
          </cell>
          <cell r="R4">
            <v>36.608919921000002</v>
          </cell>
          <cell r="S4">
            <v>37.707187518630001</v>
          </cell>
          <cell r="T4">
            <v>38.838403144188902</v>
          </cell>
          <cell r="U4">
            <v>40.003555238514572</v>
          </cell>
          <cell r="V4">
            <v>41.20366189567001</v>
          </cell>
          <cell r="W4">
            <v>42.439771752540111</v>
          </cell>
          <cell r="X4">
            <v>43.712964905116316</v>
          </cell>
          <cell r="Y4">
            <v>45.024353852269805</v>
          </cell>
          <cell r="Z4">
            <v>46.375084467837901</v>
          </cell>
          <cell r="AA4">
            <v>47.76633700187304</v>
          </cell>
          <cell r="AB4">
            <v>49.199327111929236</v>
          </cell>
          <cell r="AC4">
            <v>50.675306925287117</v>
          </cell>
          <cell r="AD4">
            <v>52.19556613304573</v>
          </cell>
          <cell r="AE4">
            <v>53.7614331170371</v>
          </cell>
          <cell r="AF4">
            <v>55.374276110548216</v>
          </cell>
          <cell r="AG4">
            <v>57.035504393864663</v>
          </cell>
          <cell r="AH4">
            <v>58.746569525680606</v>
          </cell>
        </row>
        <row r="5">
          <cell r="A5" t="str">
            <v>Catalyst (Ethylene)</v>
          </cell>
          <cell r="B5" t="str">
            <v>2.75 in const 2001</v>
          </cell>
          <cell r="D5" t="str">
            <v>$/ton C2</v>
          </cell>
          <cell r="E5">
            <v>2.75</v>
          </cell>
          <cell r="F5">
            <v>2.8022499999999999</v>
          </cell>
          <cell r="G5">
            <v>2.8654999999999999</v>
          </cell>
          <cell r="H5">
            <v>2.9370000000000003</v>
          </cell>
          <cell r="I5">
            <v>3.01125</v>
          </cell>
          <cell r="J5">
            <v>3.0882499999999999</v>
          </cell>
          <cell r="K5">
            <v>3.1652499999999999</v>
          </cell>
          <cell r="L5">
            <v>3.2422500000000003</v>
          </cell>
          <cell r="M5">
            <v>3.3247500000000003</v>
          </cell>
          <cell r="N5">
            <v>3.4072500000000003</v>
          </cell>
          <cell r="O5">
            <v>3.4925000000000002</v>
          </cell>
          <cell r="P5">
            <v>3.5805000000000002</v>
          </cell>
          <cell r="Q5">
            <v>3.6685000000000003</v>
          </cell>
          <cell r="R5">
            <v>3.7620000000000005</v>
          </cell>
          <cell r="S5">
            <v>3.8554999999999997</v>
          </cell>
          <cell r="T5">
            <v>3.9517500000000001</v>
          </cell>
          <cell r="U5">
            <v>4.0507499999999999</v>
          </cell>
          <cell r="V5">
            <v>4.1524999999999999</v>
          </cell>
          <cell r="W5">
            <v>4.2569999999999997</v>
          </cell>
          <cell r="X5">
            <v>4.3615000000000004</v>
          </cell>
          <cell r="Y5">
            <v>4.4705374999999998</v>
          </cell>
          <cell r="Z5">
            <v>4.5823009375000003</v>
          </cell>
          <cell r="AA5">
            <v>4.6968584609374995</v>
          </cell>
          <cell r="AB5">
            <v>4.8142799224609361</v>
          </cell>
          <cell r="AC5">
            <v>4.9346369205224594</v>
          </cell>
          <cell r="AD5">
            <v>5.0580028435355198</v>
          </cell>
          <cell r="AE5">
            <v>5.1844529146239076</v>
          </cell>
          <cell r="AF5">
            <v>5.3140642374895046</v>
          </cell>
          <cell r="AG5">
            <v>5.4469158434267415</v>
          </cell>
          <cell r="AH5">
            <v>5.5830887395124105</v>
          </cell>
        </row>
        <row r="6">
          <cell r="A6" t="str">
            <v>Power</v>
          </cell>
          <cell r="B6" t="str">
            <v>$30/MWH fixed</v>
          </cell>
          <cell r="C6">
            <v>0.91576190190550455</v>
          </cell>
          <cell r="D6" t="str">
            <v>$/MWH</v>
          </cell>
          <cell r="E6">
            <v>30</v>
          </cell>
          <cell r="F6">
            <v>30</v>
          </cell>
          <cell r="G6">
            <v>30</v>
          </cell>
          <cell r="H6">
            <v>30</v>
          </cell>
          <cell r="I6">
            <v>30</v>
          </cell>
          <cell r="J6">
            <v>30</v>
          </cell>
          <cell r="K6">
            <v>30</v>
          </cell>
          <cell r="L6">
            <v>30</v>
          </cell>
          <cell r="M6">
            <v>30</v>
          </cell>
          <cell r="N6">
            <v>30</v>
          </cell>
          <cell r="O6">
            <v>30</v>
          </cell>
          <cell r="P6">
            <v>30</v>
          </cell>
          <cell r="Q6">
            <v>30</v>
          </cell>
          <cell r="R6">
            <v>30</v>
          </cell>
          <cell r="S6">
            <v>30</v>
          </cell>
          <cell r="T6">
            <v>30</v>
          </cell>
          <cell r="U6">
            <v>30</v>
          </cell>
          <cell r="V6">
            <v>30</v>
          </cell>
          <cell r="W6">
            <v>30</v>
          </cell>
          <cell r="X6">
            <v>30</v>
          </cell>
          <cell r="Y6">
            <v>30</v>
          </cell>
          <cell r="Z6">
            <v>30</v>
          </cell>
          <cell r="AA6">
            <v>30</v>
          </cell>
          <cell r="AB6">
            <v>30</v>
          </cell>
          <cell r="AC6">
            <v>30</v>
          </cell>
          <cell r="AD6">
            <v>30</v>
          </cell>
          <cell r="AE6">
            <v>30</v>
          </cell>
          <cell r="AF6">
            <v>30</v>
          </cell>
          <cell r="AG6">
            <v>30</v>
          </cell>
          <cell r="AH6">
            <v>30</v>
          </cell>
        </row>
        <row r="7">
          <cell r="A7" t="str">
            <v>Steam</v>
          </cell>
          <cell r="B7" t="str">
            <v>$4.5/ton fixed</v>
          </cell>
          <cell r="C7">
            <v>0</v>
          </cell>
          <cell r="D7" t="str">
            <v>$/ton</v>
          </cell>
          <cell r="E7">
            <v>4.5</v>
          </cell>
          <cell r="F7">
            <v>4.5</v>
          </cell>
          <cell r="G7">
            <v>4.5</v>
          </cell>
          <cell r="H7">
            <v>4.5</v>
          </cell>
          <cell r="I7">
            <v>4.5</v>
          </cell>
          <cell r="J7">
            <v>4.5</v>
          </cell>
          <cell r="K7">
            <v>4.5</v>
          </cell>
          <cell r="L7">
            <v>4.5</v>
          </cell>
          <cell r="M7">
            <v>4.5</v>
          </cell>
          <cell r="N7">
            <v>4.5</v>
          </cell>
          <cell r="O7">
            <v>4.5</v>
          </cell>
          <cell r="P7">
            <v>4.5</v>
          </cell>
          <cell r="Q7">
            <v>4.5</v>
          </cell>
          <cell r="R7">
            <v>4.5</v>
          </cell>
          <cell r="S7">
            <v>4.5</v>
          </cell>
          <cell r="T7">
            <v>4.5</v>
          </cell>
          <cell r="U7">
            <v>4.5</v>
          </cell>
          <cell r="V7">
            <v>4.5</v>
          </cell>
          <cell r="W7">
            <v>4.5</v>
          </cell>
          <cell r="X7">
            <v>4.5</v>
          </cell>
          <cell r="Y7">
            <v>4.5</v>
          </cell>
          <cell r="Z7">
            <v>4.5</v>
          </cell>
          <cell r="AA7">
            <v>4.5</v>
          </cell>
          <cell r="AB7">
            <v>4.5</v>
          </cell>
          <cell r="AC7">
            <v>4.5</v>
          </cell>
          <cell r="AD7">
            <v>4.5</v>
          </cell>
          <cell r="AE7">
            <v>4.5</v>
          </cell>
          <cell r="AF7">
            <v>4.5</v>
          </cell>
          <cell r="AG7">
            <v>4.5</v>
          </cell>
          <cell r="AH7">
            <v>4.5</v>
          </cell>
        </row>
        <row r="8">
          <cell r="A8" t="str">
            <v>Cooling Water</v>
          </cell>
          <cell r="B8" t="str">
            <v>$17/kton fixed</v>
          </cell>
          <cell r="C8">
            <v>0</v>
          </cell>
          <cell r="D8" t="str">
            <v>$/kton</v>
          </cell>
          <cell r="E8">
            <v>17</v>
          </cell>
          <cell r="F8">
            <v>17</v>
          </cell>
          <cell r="G8">
            <v>17</v>
          </cell>
          <cell r="H8">
            <v>17</v>
          </cell>
          <cell r="I8">
            <v>17</v>
          </cell>
          <cell r="J8">
            <v>17</v>
          </cell>
          <cell r="K8">
            <v>17</v>
          </cell>
          <cell r="L8">
            <v>17</v>
          </cell>
          <cell r="M8">
            <v>17</v>
          </cell>
          <cell r="N8">
            <v>17</v>
          </cell>
          <cell r="O8">
            <v>17</v>
          </cell>
          <cell r="P8">
            <v>17</v>
          </cell>
          <cell r="Q8">
            <v>17</v>
          </cell>
          <cell r="R8">
            <v>17</v>
          </cell>
          <cell r="S8">
            <v>17</v>
          </cell>
          <cell r="T8">
            <v>17</v>
          </cell>
          <cell r="U8">
            <v>17</v>
          </cell>
          <cell r="V8">
            <v>17</v>
          </cell>
          <cell r="W8">
            <v>17</v>
          </cell>
          <cell r="X8">
            <v>17</v>
          </cell>
          <cell r="Y8">
            <v>17</v>
          </cell>
          <cell r="Z8">
            <v>17</v>
          </cell>
          <cell r="AA8">
            <v>17</v>
          </cell>
          <cell r="AB8">
            <v>17</v>
          </cell>
          <cell r="AC8">
            <v>17</v>
          </cell>
          <cell r="AD8">
            <v>17</v>
          </cell>
          <cell r="AE8">
            <v>17</v>
          </cell>
          <cell r="AF8">
            <v>17</v>
          </cell>
          <cell r="AG8">
            <v>17</v>
          </cell>
          <cell r="AH8">
            <v>17</v>
          </cell>
        </row>
        <row r="9">
          <cell r="A9" t="str">
            <v>Nitrogen</v>
          </cell>
          <cell r="B9" t="str">
            <v>$0.05/std M3</v>
          </cell>
          <cell r="C9">
            <v>0</v>
          </cell>
          <cell r="D9" t="str">
            <v>std M3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</row>
        <row r="10">
          <cell r="A10" t="str">
            <v>Worker</v>
          </cell>
          <cell r="B10" t="str">
            <v>$13000 average, to be escalated by 2.5% per year</v>
          </cell>
          <cell r="C10">
            <v>0</v>
          </cell>
          <cell r="D10" t="str">
            <v>$/yr</v>
          </cell>
          <cell r="E10">
            <v>0</v>
          </cell>
          <cell r="F10">
            <v>0</v>
          </cell>
          <cell r="G10">
            <v>13546</v>
          </cell>
          <cell r="H10">
            <v>14231.099999999999</v>
          </cell>
          <cell r="I10">
            <v>14955.646874999995</v>
          </cell>
          <cell r="J10">
            <v>15721.526234374995</v>
          </cell>
          <cell r="K10">
            <v>16516.352282421867</v>
          </cell>
          <cell r="L10">
            <v>17341.093678974601</v>
          </cell>
          <cell r="M10">
            <v>18226.901454051989</v>
          </cell>
          <cell r="N10">
            <v>19146.161434333892</v>
          </cell>
          <cell r="O10">
            <v>20115.831837888731</v>
          </cell>
          <cell r="P10">
            <v>21138.254629334177</v>
          </cell>
          <cell r="Q10">
            <v>22199.226165453212</v>
          </cell>
          <cell r="R10">
            <v>23334.149122337702</v>
          </cell>
          <cell r="S10">
            <v>24511.943710713003</v>
          </cell>
          <cell r="T10">
            <v>25751.964828888697</v>
          </cell>
          <cell r="U10">
            <v>27057.035697826632</v>
          </cell>
          <cell r="V10">
            <v>28430.093008357882</v>
          </cell>
          <cell r="W10">
            <v>29874.191110173146</v>
          </cell>
          <cell r="X10">
            <v>31372.72530894895</v>
          </cell>
          <cell r="Y10">
            <v>32960.969527714486</v>
          </cell>
          <cell r="Z10">
            <v>34629.618610055033</v>
          </cell>
          <cell r="AA10">
            <v>36382.743052189056</v>
          </cell>
          <cell r="AB10">
            <v>38224.619419206123</v>
          </cell>
          <cell r="AC10">
            <v>40159.740777303421</v>
          </cell>
          <cell r="AD10">
            <v>42192.827654154389</v>
          </cell>
          <cell r="AE10">
            <v>44328.839554145954</v>
          </cell>
          <cell r="AF10">
            <v>46572.987056574588</v>
          </cell>
          <cell r="AG10">
            <v>48930.744526313669</v>
          </cell>
          <cell r="AH10">
            <v>51407.86346795829</v>
          </cell>
        </row>
        <row r="11">
          <cell r="A11" t="str">
            <v>Hydrogen - Reformer</v>
          </cell>
          <cell r="B11" t="str">
            <v>fixed at ratio to methane</v>
          </cell>
          <cell r="C11">
            <v>0</v>
          </cell>
          <cell r="D11" t="str">
            <v>Nm3</v>
          </cell>
          <cell r="E11">
            <v>0</v>
          </cell>
          <cell r="G11">
            <v>0.63846274691357874</v>
          </cell>
          <cell r="H11">
            <v>0.63846274691357874</v>
          </cell>
          <cell r="I11">
            <v>0.63846274691357874</v>
          </cell>
          <cell r="J11">
            <v>0.63846274691357874</v>
          </cell>
          <cell r="K11">
            <v>0.63846274691357874</v>
          </cell>
          <cell r="L11">
            <v>0.63846274691357874</v>
          </cell>
          <cell r="M11">
            <v>0.63846274691357874</v>
          </cell>
          <cell r="N11">
            <v>0.63846274691357874</v>
          </cell>
          <cell r="O11">
            <v>0.63846274691357874</v>
          </cell>
          <cell r="P11">
            <v>0.63846274691357874</v>
          </cell>
          <cell r="Q11">
            <v>0.63846274691357874</v>
          </cell>
          <cell r="R11">
            <v>0.65761662932098619</v>
          </cell>
          <cell r="S11">
            <v>0.67734512820061576</v>
          </cell>
          <cell r="T11">
            <v>0.69766548204663426</v>
          </cell>
          <cell r="U11">
            <v>0.71859544650803331</v>
          </cell>
          <cell r="V11">
            <v>0.74015330990327433</v>
          </cell>
          <cell r="W11">
            <v>0.76235790920037261</v>
          </cell>
          <cell r="X11">
            <v>0.7852286464763838</v>
          </cell>
          <cell r="Y11">
            <v>0.80878550587067533</v>
          </cell>
          <cell r="Z11">
            <v>0.8330490710467956</v>
          </cell>
          <cell r="AA11">
            <v>0.85804054317819944</v>
          </cell>
          <cell r="AB11">
            <v>0.88378175947354554</v>
          </cell>
          <cell r="AC11">
            <v>0.91029521225775201</v>
          </cell>
          <cell r="AD11">
            <v>0.93760406862548451</v>
          </cell>
          <cell r="AE11">
            <v>0.96573219068424909</v>
          </cell>
          <cell r="AF11">
            <v>0.99470415640477661</v>
          </cell>
          <cell r="AG11">
            <v>1.0245452810969198</v>
          </cell>
          <cell r="AH11">
            <v>1.0552816395298275</v>
          </cell>
        </row>
        <row r="12">
          <cell r="A12" t="str">
            <v>Propylene</v>
          </cell>
          <cell r="B12" t="str">
            <v>methane * 0.9157</v>
          </cell>
          <cell r="C12">
            <v>0</v>
          </cell>
          <cell r="D12" t="str">
            <v>$/ton</v>
          </cell>
          <cell r="E12">
            <v>0</v>
          </cell>
          <cell r="F12">
            <v>32.548596246176011</v>
          </cell>
          <cell r="G12">
            <v>32.548596246176011</v>
          </cell>
          <cell r="H12">
            <v>32.548596246176011</v>
          </cell>
          <cell r="I12">
            <v>32.548596246176011</v>
          </cell>
          <cell r="J12">
            <v>32.548596246176011</v>
          </cell>
          <cell r="K12">
            <v>32.548596246176011</v>
          </cell>
          <cell r="L12">
            <v>32.548596246176011</v>
          </cell>
          <cell r="M12">
            <v>32.548596246176011</v>
          </cell>
          <cell r="N12">
            <v>32.548596246176011</v>
          </cell>
          <cell r="O12">
            <v>32.548596246176011</v>
          </cell>
          <cell r="P12">
            <v>32.548596246176011</v>
          </cell>
          <cell r="Q12">
            <v>32.548596246176011</v>
          </cell>
          <cell r="R12">
            <v>33.525054133561291</v>
          </cell>
          <cell r="S12">
            <v>34.530805757568132</v>
          </cell>
          <cell r="T12">
            <v>35.566729930295175</v>
          </cell>
          <cell r="U12">
            <v>36.633731828204034</v>
          </cell>
          <cell r="V12">
            <v>37.732743783050154</v>
          </cell>
          <cell r="W12">
            <v>38.864726096541659</v>
          </cell>
          <cell r="X12">
            <v>40.030667879437907</v>
          </cell>
          <cell r="Y12">
            <v>41.231587915821045</v>
          </cell>
          <cell r="Z12">
            <v>42.468535553295681</v>
          </cell>
          <cell r="AA12">
            <v>43.742591619894554</v>
          </cell>
          <cell r="AB12">
            <v>45.054869368491396</v>
          </cell>
          <cell r="AC12">
            <v>46.406515449546141</v>
          </cell>
          <cell r="AD12">
            <v>47.798710913032522</v>
          </cell>
          <cell r="AE12">
            <v>49.232672240423497</v>
          </cell>
          <cell r="AF12">
            <v>50.709652407636206</v>
          </cell>
          <cell r="AG12">
            <v>52.230941979865293</v>
          </cell>
          <cell r="AH12">
            <v>53.79787023926125</v>
          </cell>
        </row>
        <row r="13">
          <cell r="A13" t="str">
            <v>Catalyst (LLDPE)</v>
          </cell>
          <cell r="B13">
            <v>0</v>
          </cell>
          <cell r="C13">
            <v>0</v>
          </cell>
          <cell r="D13" t="str">
            <v>$/ton LLDPE</v>
          </cell>
          <cell r="E13">
            <v>19.013865573983026</v>
          </cell>
          <cell r="F13">
            <v>19.3751290198887</v>
          </cell>
          <cell r="G13">
            <v>19.812447928090315</v>
          </cell>
          <cell r="H13">
            <v>20.306808433013874</v>
          </cell>
          <cell r="I13">
            <v>20.820182803511411</v>
          </cell>
          <cell r="J13">
            <v>21.352571039582937</v>
          </cell>
          <cell r="K13">
            <v>21.884959275654463</v>
          </cell>
          <cell r="L13">
            <v>22.417347511725989</v>
          </cell>
          <cell r="M13">
            <v>22.987763478945478</v>
          </cell>
          <cell r="N13">
            <v>23.558179446164971</v>
          </cell>
          <cell r="O13">
            <v>24.147609278958441</v>
          </cell>
          <cell r="P13">
            <v>24.756052977325901</v>
          </cell>
          <cell r="Q13">
            <v>25.364496675693356</v>
          </cell>
          <cell r="R13">
            <v>26.010968105208782</v>
          </cell>
          <cell r="S13">
            <v>26.657439534724201</v>
          </cell>
          <cell r="T13">
            <v>27.322924829813608</v>
          </cell>
          <cell r="U13">
            <v>28.007423990476997</v>
          </cell>
          <cell r="V13">
            <v>28.710937016714368</v>
          </cell>
          <cell r="W13">
            <v>29.433463908525724</v>
          </cell>
          <cell r="X13">
            <v>30.155990800337079</v>
          </cell>
          <cell r="Y13">
            <v>30.909890570345507</v>
          </cell>
          <cell r="Z13">
            <v>31.682637834604144</v>
          </cell>
          <cell r="AA13">
            <v>32.474703780469241</v>
          </cell>
          <cell r="AB13">
            <v>33.286571374980966</v>
          </cell>
          <cell r="AC13">
            <v>34.118735659355487</v>
          </cell>
          <cell r="AD13">
            <v>34.971704050839371</v>
          </cell>
          <cell r="AE13">
            <v>35.845996652110351</v>
          </cell>
          <cell r="AF13">
            <v>36.742146568413105</v>
          </cell>
          <cell r="AG13">
            <v>37.660700232623434</v>
          </cell>
          <cell r="AH13">
            <v>38.602217738439016</v>
          </cell>
        </row>
        <row r="14">
          <cell r="A14" t="str">
            <v>Ethylene (Transfer)</v>
          </cell>
          <cell r="B14">
            <v>0</v>
          </cell>
          <cell r="C14">
            <v>0</v>
          </cell>
          <cell r="D14" t="str">
            <v>$/ton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329.38502610927588</v>
          </cell>
          <cell r="K14">
            <v>331.98766118099729</v>
          </cell>
          <cell r="L14">
            <v>333.97305245152791</v>
          </cell>
          <cell r="M14">
            <v>336.67711703416199</v>
          </cell>
          <cell r="N14">
            <v>339.24092101481102</v>
          </cell>
          <cell r="O14">
            <v>345.2097862522661</v>
          </cell>
          <cell r="P14">
            <v>350.41465571815678</v>
          </cell>
          <cell r="Q14">
            <v>355.82306669261396</v>
          </cell>
          <cell r="R14">
            <v>361.4449983878863</v>
          </cell>
          <cell r="S14">
            <v>366.26042526646603</v>
          </cell>
          <cell r="T14">
            <v>372.2487955777944</v>
          </cell>
          <cell r="U14">
            <v>378.21541400097635</v>
          </cell>
          <cell r="V14">
            <v>384.45712027367603</v>
          </cell>
          <cell r="W14">
            <v>390.85150621425839</v>
          </cell>
          <cell r="X14">
            <v>397.14533435843288</v>
          </cell>
          <cell r="Y14">
            <v>403.69073189653864</v>
          </cell>
          <cell r="Z14">
            <v>410.3151834775756</v>
          </cell>
          <cell r="AA14">
            <v>417.01855093022908</v>
          </cell>
          <cell r="AB14">
            <v>423.80063976584171</v>
          </cell>
          <cell r="AC14">
            <v>430.66119644890358</v>
          </cell>
          <cell r="AD14">
            <v>437.59990556626491</v>
          </cell>
          <cell r="AE14">
            <v>444.61638689171377</v>
          </cell>
          <cell r="AF14">
            <v>451.71019234245614</v>
          </cell>
          <cell r="AG14">
            <v>458.88080282392832</v>
          </cell>
          <cell r="AH14">
            <v>466.12762495926012</v>
          </cell>
        </row>
        <row r="15">
          <cell r="A15" t="str">
            <v>Ethylene (Market)</v>
          </cell>
          <cell r="B15">
            <v>0</v>
          </cell>
          <cell r="C15">
            <v>0</v>
          </cell>
          <cell r="D15" t="str">
            <v>$/ton</v>
          </cell>
          <cell r="E15">
            <v>398.51430960387404</v>
          </cell>
          <cell r="F15">
            <v>341.31615941915805</v>
          </cell>
          <cell r="G15">
            <v>323.48703635073281</v>
          </cell>
          <cell r="H15">
            <v>328.45511575313981</v>
          </cell>
          <cell r="I15">
            <v>324.99663286028039</v>
          </cell>
          <cell r="J15">
            <v>328.8320182764931</v>
          </cell>
          <cell r="K15">
            <v>333.1038628266981</v>
          </cell>
          <cell r="L15">
            <v>336.94363671606953</v>
          </cell>
          <cell r="M15">
            <v>341.46148192391337</v>
          </cell>
          <cell r="N15">
            <v>345.88114471036766</v>
          </cell>
          <cell r="O15">
            <v>352.77185037658626</v>
          </cell>
          <cell r="P15">
            <v>359.21525900270967</v>
          </cell>
          <cell r="Q15">
            <v>365.8011466848298</v>
          </cell>
          <cell r="R15">
            <v>372.7114988715204</v>
          </cell>
          <cell r="S15">
            <v>379.05729768652617</v>
          </cell>
          <cell r="T15">
            <v>386.31165690445602</v>
          </cell>
          <cell r="U15">
            <v>393.63828980068342</v>
          </cell>
          <cell r="V15">
            <v>401.24498419157317</v>
          </cell>
          <cell r="W15">
            <v>409.04605434998081</v>
          </cell>
          <cell r="X15">
            <v>416.77673405090297</v>
          </cell>
          <cell r="Y15">
            <v>424.82788732757706</v>
          </cell>
          <cell r="Z15">
            <v>433.02111280930291</v>
          </cell>
          <cell r="AA15">
            <v>441.35848213553533</v>
          </cell>
          <cell r="AB15">
            <v>449.84208173257349</v>
          </cell>
          <cell r="AC15">
            <v>458.47401225812894</v>
          </cell>
          <cell r="AD15">
            <v>467.25638800887924</v>
          </cell>
          <cell r="AE15">
            <v>476.19133628950573</v>
          </cell>
          <cell r="AF15">
            <v>485.28099674165804</v>
          </cell>
          <cell r="AG15">
            <v>494.52752063123705</v>
          </cell>
          <cell r="AH15">
            <v>503.93307009233149</v>
          </cell>
        </row>
        <row r="16">
          <cell r="A16" t="str">
            <v>Ethylene (NWE)</v>
          </cell>
          <cell r="B16">
            <v>0</v>
          </cell>
          <cell r="C16">
            <v>0</v>
          </cell>
          <cell r="D16" t="str">
            <v>$/ton</v>
          </cell>
          <cell r="E16">
            <v>569.30615657696296</v>
          </cell>
          <cell r="F16">
            <v>487.5945134559401</v>
          </cell>
          <cell r="G16">
            <v>462.12433764390397</v>
          </cell>
          <cell r="H16">
            <v>469.22159393305691</v>
          </cell>
          <cell r="I16">
            <v>464.2809040861149</v>
          </cell>
          <cell r="J16">
            <v>469.76002610927588</v>
          </cell>
          <cell r="K16">
            <v>475.86266118099729</v>
          </cell>
          <cell r="L16">
            <v>481.34805245152791</v>
          </cell>
          <cell r="M16">
            <v>487.80211703416199</v>
          </cell>
          <cell r="N16">
            <v>494.11592101481102</v>
          </cell>
          <cell r="O16">
            <v>503.9597862522661</v>
          </cell>
          <cell r="P16">
            <v>513.16465571815672</v>
          </cell>
          <cell r="Q16">
            <v>522.57306669261402</v>
          </cell>
          <cell r="R16">
            <v>532.44499838788636</v>
          </cell>
          <cell r="S16">
            <v>541.51042526646597</v>
          </cell>
          <cell r="T16">
            <v>551.87379557779445</v>
          </cell>
          <cell r="U16">
            <v>562.34041400097635</v>
          </cell>
          <cell r="V16">
            <v>573.20712027367597</v>
          </cell>
          <cell r="W16">
            <v>584.35150621425839</v>
          </cell>
          <cell r="X16">
            <v>595.39533435843293</v>
          </cell>
          <cell r="Y16">
            <v>606.89698189653859</v>
          </cell>
          <cell r="Z16">
            <v>618.60158972757563</v>
          </cell>
          <cell r="AA16">
            <v>630.51211733647904</v>
          </cell>
          <cell r="AB16">
            <v>642.63154533224792</v>
          </cell>
          <cell r="AC16">
            <v>654.96287465446994</v>
          </cell>
          <cell r="AD16">
            <v>667.50912572697041</v>
          </cell>
          <cell r="AE16">
            <v>680.27333755643679</v>
          </cell>
          <cell r="AF16">
            <v>693.25856677379727</v>
          </cell>
          <cell r="AG16">
            <v>706.46788661605297</v>
          </cell>
          <cell r="AH16">
            <v>719.90438584618789</v>
          </cell>
        </row>
        <row r="17">
          <cell r="A17" t="str">
            <v>Butene-1 (Transfer)</v>
          </cell>
          <cell r="B17">
            <v>1</v>
          </cell>
          <cell r="C17" t="str">
            <v>* NWE</v>
          </cell>
          <cell r="D17" t="str">
            <v>$/ton</v>
          </cell>
          <cell r="E17">
            <v>850</v>
          </cell>
          <cell r="F17">
            <v>790.74399999999991</v>
          </cell>
          <cell r="G17">
            <v>762.74400000000003</v>
          </cell>
          <cell r="H17">
            <v>774.30000000000007</v>
          </cell>
          <cell r="I17">
            <v>771.97500000000002</v>
          </cell>
          <cell r="J17">
            <v>781.60799999999995</v>
          </cell>
          <cell r="K17">
            <v>791.88800000000003</v>
          </cell>
          <cell r="L17">
            <v>801.72</v>
          </cell>
          <cell r="M17">
            <v>813.65700000000004</v>
          </cell>
          <cell r="N17">
            <v>825.17400000000009</v>
          </cell>
          <cell r="O17">
            <v>840.74</v>
          </cell>
          <cell r="P17">
            <v>855.41399999999999</v>
          </cell>
          <cell r="Q17">
            <v>869.76800000000003</v>
          </cell>
          <cell r="R17">
            <v>886.46400000000006</v>
          </cell>
          <cell r="S17">
            <v>901.48599999999999</v>
          </cell>
          <cell r="T17">
            <v>918.24300000000005</v>
          </cell>
          <cell r="U17">
            <v>933.88200000000006</v>
          </cell>
          <cell r="V17">
            <v>952.81000000000006</v>
          </cell>
          <cell r="W17">
            <v>970.596</v>
          </cell>
          <cell r="X17">
            <v>988.07800000000009</v>
          </cell>
          <cell r="Y17">
            <v>1006.2773500000001</v>
          </cell>
          <cell r="Z17">
            <v>1024.76911875</v>
          </cell>
          <cell r="AA17">
            <v>1043.55655259375</v>
          </cell>
          <cell r="AB17">
            <v>1062.6428774304684</v>
          </cell>
          <cell r="AC17">
            <v>1082.0312956636519</v>
          </cell>
          <cell r="AD17">
            <v>1101.7249830101005</v>
          </cell>
          <cell r="AE17">
            <v>1121.7270851640817</v>
          </cell>
          <cell r="AF17">
            <v>1142.0407143113807</v>
          </cell>
          <cell r="AG17">
            <v>1162.6689454878172</v>
          </cell>
          <cell r="AH17">
            <v>1183.614812776631</v>
          </cell>
        </row>
        <row r="18">
          <cell r="A18" t="str">
            <v>Butene-1 (Market)</v>
          </cell>
          <cell r="B18">
            <v>1</v>
          </cell>
          <cell r="C18" t="str">
            <v>* NWE</v>
          </cell>
          <cell r="D18" t="str">
            <v>$/ton</v>
          </cell>
          <cell r="E18">
            <v>730</v>
          </cell>
          <cell r="F18">
            <v>668.46399999999994</v>
          </cell>
          <cell r="G18">
            <v>637.70400000000006</v>
          </cell>
          <cell r="H18">
            <v>646.14</v>
          </cell>
          <cell r="I18">
            <v>640.57499999999993</v>
          </cell>
          <cell r="J18">
            <v>646.84799999999996</v>
          </cell>
          <cell r="K18">
            <v>653.76800000000003</v>
          </cell>
          <cell r="L18">
            <v>660.24</v>
          </cell>
          <cell r="M18">
            <v>668.577</v>
          </cell>
          <cell r="N18">
            <v>676.49400000000003</v>
          </cell>
          <cell r="O18">
            <v>688.34</v>
          </cell>
          <cell r="P18">
            <v>699.17399999999998</v>
          </cell>
          <cell r="Q18">
            <v>709.68799999999999</v>
          </cell>
          <cell r="R18">
            <v>722.30400000000009</v>
          </cell>
          <cell r="S18">
            <v>733.24599999999998</v>
          </cell>
          <cell r="T18">
            <v>745.803</v>
          </cell>
          <cell r="U18">
            <v>757.12200000000007</v>
          </cell>
          <cell r="V18">
            <v>771.61</v>
          </cell>
          <cell r="W18">
            <v>784.83600000000001</v>
          </cell>
          <cell r="X18">
            <v>797.75800000000004</v>
          </cell>
          <cell r="Y18">
            <v>811.19934999999998</v>
          </cell>
          <cell r="Z18">
            <v>824.81416875000002</v>
          </cell>
          <cell r="AA18">
            <v>838.6027288437499</v>
          </cell>
          <cell r="AB18">
            <v>852.56520808671848</v>
          </cell>
          <cell r="AC18">
            <v>866.70168458630826</v>
          </cell>
          <cell r="AD18">
            <v>881.01213165582328</v>
          </cell>
          <cell r="AE18">
            <v>895.49641252594768</v>
          </cell>
          <cell r="AF18">
            <v>910.15427485729333</v>
          </cell>
          <cell r="AG18">
            <v>924.98534504737756</v>
          </cell>
          <cell r="AH18">
            <v>939.98912232518035</v>
          </cell>
        </row>
        <row r="19">
          <cell r="A19" t="str">
            <v>Butene-1 (NWE)</v>
          </cell>
          <cell r="B19">
            <v>0</v>
          </cell>
          <cell r="C19">
            <v>0</v>
          </cell>
          <cell r="D19" t="str">
            <v>$/ton</v>
          </cell>
          <cell r="E19">
            <v>730</v>
          </cell>
          <cell r="F19">
            <v>668.46399999999994</v>
          </cell>
          <cell r="G19">
            <v>637.70400000000006</v>
          </cell>
          <cell r="H19">
            <v>646.14</v>
          </cell>
          <cell r="I19">
            <v>640.57499999999993</v>
          </cell>
          <cell r="J19">
            <v>646.84799999999996</v>
          </cell>
          <cell r="K19">
            <v>653.76800000000003</v>
          </cell>
          <cell r="L19">
            <v>660.24</v>
          </cell>
          <cell r="M19">
            <v>668.577</v>
          </cell>
          <cell r="N19">
            <v>676.49400000000003</v>
          </cell>
          <cell r="O19">
            <v>688.34</v>
          </cell>
          <cell r="P19">
            <v>699.17399999999998</v>
          </cell>
          <cell r="Q19">
            <v>709.68799999999999</v>
          </cell>
          <cell r="R19">
            <v>722.30400000000009</v>
          </cell>
          <cell r="S19">
            <v>733.24599999999998</v>
          </cell>
          <cell r="T19">
            <v>745.803</v>
          </cell>
          <cell r="U19">
            <v>757.12200000000007</v>
          </cell>
          <cell r="V19">
            <v>771.61</v>
          </cell>
          <cell r="W19">
            <v>784.83600000000001</v>
          </cell>
          <cell r="X19">
            <v>797.75800000000004</v>
          </cell>
          <cell r="Y19">
            <v>811.19934999999998</v>
          </cell>
          <cell r="Z19">
            <v>824.81416875000002</v>
          </cell>
          <cell r="AA19">
            <v>838.6027288437499</v>
          </cell>
          <cell r="AB19">
            <v>852.56520808671848</v>
          </cell>
          <cell r="AC19">
            <v>866.70168458630826</v>
          </cell>
          <cell r="AD19">
            <v>881.01213165582328</v>
          </cell>
          <cell r="AE19">
            <v>895.49641252594768</v>
          </cell>
          <cell r="AF19">
            <v>910.15427485729333</v>
          </cell>
          <cell r="AG19">
            <v>924.98534504737756</v>
          </cell>
          <cell r="AH19">
            <v>939.98912232518035</v>
          </cell>
        </row>
        <row r="20">
          <cell r="A20" t="str">
            <v>Catalyst (HDPE)</v>
          </cell>
          <cell r="B20">
            <v>0</v>
          </cell>
          <cell r="C20">
            <v>0</v>
          </cell>
          <cell r="D20" t="str">
            <v>$/ton HDPE</v>
          </cell>
          <cell r="E20">
            <v>19.013865573983026</v>
          </cell>
          <cell r="F20">
            <v>19.3751290198887</v>
          </cell>
          <cell r="G20">
            <v>19.812447928090315</v>
          </cell>
          <cell r="H20">
            <v>20.306808433013874</v>
          </cell>
          <cell r="I20">
            <v>20.820182803511411</v>
          </cell>
          <cell r="J20">
            <v>21.352571039582937</v>
          </cell>
          <cell r="K20">
            <v>21.884959275654463</v>
          </cell>
          <cell r="L20">
            <v>22.417347511725989</v>
          </cell>
          <cell r="M20">
            <v>22.987763478945478</v>
          </cell>
          <cell r="N20">
            <v>23.558179446164971</v>
          </cell>
          <cell r="O20">
            <v>24.147609278958441</v>
          </cell>
          <cell r="P20">
            <v>24.756052977325901</v>
          </cell>
          <cell r="Q20">
            <v>25.364496675693356</v>
          </cell>
          <cell r="R20">
            <v>26.010968105208782</v>
          </cell>
          <cell r="S20">
            <v>26.657439534724201</v>
          </cell>
          <cell r="T20">
            <v>27.322924829813608</v>
          </cell>
          <cell r="U20">
            <v>28.007423990476997</v>
          </cell>
          <cell r="V20">
            <v>28.710937016714368</v>
          </cell>
          <cell r="W20">
            <v>29.433463908525724</v>
          </cell>
          <cell r="X20">
            <v>30.155990800337079</v>
          </cell>
          <cell r="Y20">
            <v>30.909890570345507</v>
          </cell>
          <cell r="Z20">
            <v>31.682637834604144</v>
          </cell>
          <cell r="AA20">
            <v>32.474703780469241</v>
          </cell>
          <cell r="AB20">
            <v>33.286571374980966</v>
          </cell>
          <cell r="AC20">
            <v>34.118735659355487</v>
          </cell>
          <cell r="AD20">
            <v>34.971704050839371</v>
          </cell>
          <cell r="AE20">
            <v>35.845996652110351</v>
          </cell>
          <cell r="AF20">
            <v>36.742146568413105</v>
          </cell>
          <cell r="AG20">
            <v>37.660700232623434</v>
          </cell>
          <cell r="AH20">
            <v>38.602217738439016</v>
          </cell>
        </row>
        <row r="21">
          <cell r="A21" t="str">
            <v>Catalyst (MEG)</v>
          </cell>
          <cell r="B21">
            <v>0</v>
          </cell>
          <cell r="C21">
            <v>0</v>
          </cell>
          <cell r="D21" t="str">
            <v>$/ton MEG</v>
          </cell>
          <cell r="E21">
            <v>11.863442766503693</v>
          </cell>
          <cell r="F21">
            <v>12.088848179067263</v>
          </cell>
          <cell r="G21">
            <v>12.361707362696849</v>
          </cell>
          <cell r="H21">
            <v>12.670156874625945</v>
          </cell>
          <cell r="I21">
            <v>12.990469829321544</v>
          </cell>
          <cell r="J21">
            <v>13.322646226783649</v>
          </cell>
          <cell r="K21">
            <v>13.654822624245751</v>
          </cell>
          <cell r="L21">
            <v>13.986999021707856</v>
          </cell>
          <cell r="M21">
            <v>14.342902304702966</v>
          </cell>
          <cell r="N21">
            <v>14.698805587698077</v>
          </cell>
          <cell r="O21">
            <v>15.066572313459691</v>
          </cell>
          <cell r="P21">
            <v>15.446202481987809</v>
          </cell>
          <cell r="Q21">
            <v>15.825832650515927</v>
          </cell>
          <cell r="R21">
            <v>16.229189704577053</v>
          </cell>
          <cell r="S21">
            <v>16.632546758638178</v>
          </cell>
          <cell r="T21">
            <v>17.047767255465807</v>
          </cell>
          <cell r="U21">
            <v>17.474851195059941</v>
          </cell>
          <cell r="V21">
            <v>17.913798577420579</v>
          </cell>
          <cell r="W21">
            <v>18.364609402547718</v>
          </cell>
          <cell r="X21">
            <v>18.81542022767486</v>
          </cell>
          <cell r="Y21">
            <v>19.285805733366729</v>
          </cell>
          <cell r="Z21">
            <v>19.767950876700898</v>
          </cell>
          <cell r="AA21">
            <v>20.262149648618418</v>
          </cell>
          <cell r="AB21">
            <v>20.768703389833874</v>
          </cell>
          <cell r="AC21">
            <v>21.28792097457972</v>
          </cell>
          <cell r="AD21">
            <v>21.82011899894421</v>
          </cell>
          <cell r="AE21">
            <v>22.365621973917811</v>
          </cell>
          <cell r="AF21">
            <v>22.924762523265755</v>
          </cell>
          <cell r="AG21">
            <v>23.497881586347397</v>
          </cell>
          <cell r="AH21">
            <v>24.085328626006081</v>
          </cell>
        </row>
        <row r="22">
          <cell r="A22" t="str">
            <v>Oxygen</v>
          </cell>
          <cell r="B22">
            <v>0</v>
          </cell>
          <cell r="C22">
            <v>0</v>
          </cell>
          <cell r="D22" t="str">
            <v>$/ton</v>
          </cell>
          <cell r="E22">
            <v>57.534934556052903</v>
          </cell>
          <cell r="F22">
            <v>58.628098312617901</v>
          </cell>
          <cell r="G22">
            <v>59.95140180740713</v>
          </cell>
          <cell r="H22">
            <v>61.447310105864503</v>
          </cell>
          <cell r="I22">
            <v>63.000753338877928</v>
          </cell>
          <cell r="J22">
            <v>64.611731506447413</v>
          </cell>
          <cell r="K22">
            <v>66.222709674016897</v>
          </cell>
          <cell r="L22">
            <v>67.833687841586382</v>
          </cell>
          <cell r="M22">
            <v>69.559735878267958</v>
          </cell>
          <cell r="N22">
            <v>71.285783914949548</v>
          </cell>
          <cell r="O22">
            <v>73.069366886187183</v>
          </cell>
          <cell r="P22">
            <v>74.910484791980878</v>
          </cell>
          <cell r="Q22">
            <v>76.751602697774572</v>
          </cell>
          <cell r="R22">
            <v>78.707790472680372</v>
          </cell>
          <cell r="S22">
            <v>80.663978247586172</v>
          </cell>
          <cell r="T22">
            <v>82.677700957048032</v>
          </cell>
          <cell r="U22">
            <v>84.748958601065937</v>
          </cell>
          <cell r="V22">
            <v>86.877751179639887</v>
          </cell>
          <cell r="W22">
            <v>89.064078692769897</v>
          </cell>
          <cell r="X22">
            <v>91.250406205899907</v>
          </cell>
          <cell r="Y22">
            <v>93.5316663610474</v>
          </cell>
          <cell r="Z22">
            <v>95.869958020073582</v>
          </cell>
          <cell r="AA22">
            <v>98.266706970575413</v>
          </cell>
          <cell r="AB22">
            <v>100.72337464483978</v>
          </cell>
          <cell r="AC22">
            <v>103.24145901096077</v>
          </cell>
          <cell r="AD22">
            <v>105.82249548623477</v>
          </cell>
          <cell r="AE22">
            <v>108.46805787339063</v>
          </cell>
          <cell r="AF22">
            <v>111.17975932022539</v>
          </cell>
          <cell r="AG22">
            <v>113.95925330323101</v>
          </cell>
          <cell r="AH22">
            <v>116.80823463581179</v>
          </cell>
        </row>
        <row r="23">
          <cell r="A23" t="str">
            <v>DEG (Export)</v>
          </cell>
          <cell r="B23">
            <v>0</v>
          </cell>
          <cell r="C23">
            <v>0</v>
          </cell>
          <cell r="D23" t="str">
            <v>$/ton</v>
          </cell>
          <cell r="E23">
            <v>504.83590781180197</v>
          </cell>
          <cell r="F23">
            <v>525.26493238830369</v>
          </cell>
          <cell r="G23">
            <v>511.1429950318842</v>
          </cell>
          <cell r="H23">
            <v>519.5322865147424</v>
          </cell>
          <cell r="I23">
            <v>519.45336652409947</v>
          </cell>
          <cell r="J23">
            <v>527.48423267330827</v>
          </cell>
          <cell r="K23">
            <v>535.81937067579418</v>
          </cell>
          <cell r="L23">
            <v>543.76656194907991</v>
          </cell>
          <cell r="M23">
            <v>552.63609839389346</v>
          </cell>
          <cell r="N23">
            <v>561.39422867079998</v>
          </cell>
          <cell r="O23">
            <v>572.62852509793129</v>
          </cell>
          <cell r="P23">
            <v>583.66178099870785</v>
          </cell>
          <cell r="Q23">
            <v>594.76568403862029</v>
          </cell>
          <cell r="R23">
            <v>606.5259976347561</v>
          </cell>
          <cell r="S23">
            <v>617.76665198466219</v>
          </cell>
          <cell r="T23">
            <v>629.93009282937396</v>
          </cell>
          <cell r="U23">
            <v>642.31830778980031</v>
          </cell>
          <cell r="V23">
            <v>655.10274662130405</v>
          </cell>
          <cell r="W23">
            <v>668.21055789510513</v>
          </cell>
          <cell r="X23">
            <v>681.20914660611277</v>
          </cell>
          <cell r="Y23">
            <v>694.7671031579639</v>
          </cell>
          <cell r="Z23">
            <v>708.59490075170015</v>
          </cell>
          <cell r="AA23">
            <v>722.69790997451935</v>
          </cell>
          <cell r="AB23">
            <v>737.08160830324073</v>
          </cell>
          <cell r="AC23">
            <v>751.75158223170615</v>
          </cell>
          <cell r="AD23">
            <v>766.7135294405216</v>
          </cell>
          <cell r="AE23">
            <v>781.97326100998271</v>
          </cell>
          <cell r="AF23">
            <v>797.53670367704513</v>
          </cell>
          <cell r="AG23">
            <v>813.40990213721238</v>
          </cell>
          <cell r="AH23">
            <v>829.59902139223982</v>
          </cell>
        </row>
        <row r="24">
          <cell r="A24" t="str">
            <v>TEG (Export)</v>
          </cell>
          <cell r="B24">
            <v>0</v>
          </cell>
          <cell r="C24">
            <v>0</v>
          </cell>
          <cell r="D24" t="str">
            <v>$/ton</v>
          </cell>
          <cell r="E24">
            <v>504.83590781180197</v>
          </cell>
          <cell r="F24">
            <v>525.26493238830369</v>
          </cell>
          <cell r="G24">
            <v>511.1429950318842</v>
          </cell>
          <cell r="H24">
            <v>519.5322865147424</v>
          </cell>
          <cell r="I24">
            <v>519.45336652409947</v>
          </cell>
          <cell r="J24">
            <v>527.48423267330827</v>
          </cell>
          <cell r="K24">
            <v>535.81937067579418</v>
          </cell>
          <cell r="L24">
            <v>543.76656194907991</v>
          </cell>
          <cell r="M24">
            <v>552.63609839389346</v>
          </cell>
          <cell r="N24">
            <v>561.39422867079998</v>
          </cell>
          <cell r="O24">
            <v>572.62852509793129</v>
          </cell>
          <cell r="P24">
            <v>583.66178099870785</v>
          </cell>
          <cell r="Q24">
            <v>594.76568403862029</v>
          </cell>
          <cell r="R24">
            <v>606.5259976347561</v>
          </cell>
          <cell r="S24">
            <v>617.76665198466219</v>
          </cell>
          <cell r="T24">
            <v>629.93009282937396</v>
          </cell>
          <cell r="U24">
            <v>642.31830778980031</v>
          </cell>
          <cell r="V24">
            <v>655.10274662130405</v>
          </cell>
          <cell r="W24">
            <v>668.21055789510513</v>
          </cell>
          <cell r="X24">
            <v>681.20914660611277</v>
          </cell>
          <cell r="Y24">
            <v>694.7671031579639</v>
          </cell>
          <cell r="Z24">
            <v>708.59490075170015</v>
          </cell>
          <cell r="AA24">
            <v>722.69790997451935</v>
          </cell>
          <cell r="AB24">
            <v>737.08160830324073</v>
          </cell>
          <cell r="AC24">
            <v>751.75158223170615</v>
          </cell>
          <cell r="AD24">
            <v>766.7135294405216</v>
          </cell>
          <cell r="AE24">
            <v>781.97326100998271</v>
          </cell>
          <cell r="AF24">
            <v>797.53670367704513</v>
          </cell>
          <cell r="AG24">
            <v>813.40990213721238</v>
          </cell>
          <cell r="AH24">
            <v>829.59902139223982</v>
          </cell>
        </row>
        <row r="25">
          <cell r="A25" t="str">
            <v>Oxygen (Internal)</v>
          </cell>
          <cell r="B25" t="str">
            <v>Direct into Current</v>
          </cell>
          <cell r="C25">
            <v>2</v>
          </cell>
          <cell r="D25" t="str">
            <v>$/ton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36.370543003982917</v>
          </cell>
          <cell r="K25">
            <v>35.647920332226917</v>
          </cell>
          <cell r="L25">
            <v>35.495409347815233</v>
          </cell>
          <cell r="M25">
            <v>35.709374301776421</v>
          </cell>
          <cell r="N25">
            <v>35.926926300713419</v>
          </cell>
          <cell r="O25">
            <v>36.153849780370187</v>
          </cell>
          <cell r="P25">
            <v>36.390395867163186</v>
          </cell>
          <cell r="Q25">
            <v>36.631075495528677</v>
          </cell>
          <cell r="R25">
            <v>36.887616904910523</v>
          </cell>
          <cell r="S25">
            <v>37.148755394496895</v>
          </cell>
          <cell r="T25">
            <v>37.420532393547298</v>
          </cell>
          <cell r="U25">
            <v>37.703250633092615</v>
          </cell>
          <cell r="V25">
            <v>37.997225011419118</v>
          </cell>
          <cell r="W25">
            <v>38.302783043249534</v>
          </cell>
          <cell r="X25">
            <v>38.614178200821314</v>
          </cell>
          <cell r="Y25">
            <v>38.941736809206958</v>
          </cell>
          <cell r="Z25">
            <v>39.28184846806635</v>
          </cell>
          <cell r="AA25">
            <v>39.635047935477829</v>
          </cell>
          <cell r="AB25">
            <v>40.001894523144891</v>
          </cell>
          <cell r="AC25">
            <v>40.382973276460952</v>
          </cell>
          <cell r="AD25">
            <v>40.77889621274069</v>
          </cell>
          <cell r="AE25">
            <v>41.190303620523558</v>
          </cell>
          <cell r="AF25">
            <v>41.617865423000751</v>
          </cell>
          <cell r="AG25">
            <v>42.062282608770559</v>
          </cell>
          <cell r="AH25">
            <v>43.914204537430805</v>
          </cell>
        </row>
        <row r="26">
          <cell r="A26" t="str">
            <v>Catalyst (Butene-1)</v>
          </cell>
          <cell r="B26" t="str">
            <v>0.0056$/lb in 1998</v>
          </cell>
          <cell r="C26">
            <v>0</v>
          </cell>
          <cell r="D26" t="str">
            <v>$/ton Butene-1</v>
          </cell>
          <cell r="E26">
            <v>12.104867121951218</v>
          </cell>
          <cell r="F26">
            <v>12.33485959726829</v>
          </cell>
          <cell r="G26">
            <v>12.61327154107317</v>
          </cell>
          <cell r="H26">
            <v>12.927998086243901</v>
          </cell>
          <cell r="I26">
            <v>13.254829498536584</v>
          </cell>
          <cell r="J26">
            <v>13.593765777951218</v>
          </cell>
          <cell r="K26">
            <v>13.932702057365852</v>
          </cell>
          <cell r="L26">
            <v>14.271638336780486</v>
          </cell>
          <cell r="M26">
            <v>14.634784350439023</v>
          </cell>
          <cell r="N26">
            <v>14.997930364097559</v>
          </cell>
          <cell r="O26">
            <v>15.373181244878047</v>
          </cell>
          <cell r="P26">
            <v>15.760536992780485</v>
          </cell>
          <cell r="Q26">
            <v>16.147892740682924</v>
          </cell>
          <cell r="R26">
            <v>16.559458222829267</v>
          </cell>
          <cell r="S26">
            <v>16.971023704975607</v>
          </cell>
          <cell r="T26">
            <v>17.394694054243899</v>
          </cell>
          <cell r="U26">
            <v>17.830469270634143</v>
          </cell>
          <cell r="V26">
            <v>18.278349354146339</v>
          </cell>
          <cell r="W26">
            <v>18.738334304780487</v>
          </cell>
          <cell r="X26">
            <v>19.198319255414631</v>
          </cell>
          <cell r="Y26">
            <v>19.678277236799996</v>
          </cell>
          <cell r="Z26">
            <v>20.170234167719997</v>
          </cell>
          <cell r="AA26">
            <v>20.674490021912995</v>
          </cell>
          <cell r="AB26">
            <v>21.191352272460815</v>
          </cell>
          <cell r="AC26">
            <v>21.721136079272334</v>
          </cell>
          <cell r="AD26">
            <v>22.264164481254138</v>
          </cell>
          <cell r="AE26">
            <v>22.820768593285489</v>
          </cell>
          <cell r="AF26">
            <v>23.391287808117625</v>
          </cell>
          <cell r="AG26">
            <v>23.976070003320565</v>
          </cell>
          <cell r="AH26">
            <v>24.57547175340358</v>
          </cell>
        </row>
        <row r="27">
          <cell r="A27" t="str">
            <v>Ethylene/Propylene Mix</v>
          </cell>
          <cell r="B27" t="str">
            <v>50% of C2 price</v>
          </cell>
          <cell r="C27">
            <v>0</v>
          </cell>
          <cell r="D27" t="str">
            <v>$/ton</v>
          </cell>
          <cell r="E27">
            <v>199.25715480193702</v>
          </cell>
          <cell r="F27">
            <v>170.65807970957903</v>
          </cell>
          <cell r="G27">
            <v>161.7435181753664</v>
          </cell>
          <cell r="H27">
            <v>164.2275578765699</v>
          </cell>
          <cell r="I27">
            <v>162.49831643014019</v>
          </cell>
          <cell r="J27">
            <v>164.41600913824655</v>
          </cell>
          <cell r="K27">
            <v>166.55193141334905</v>
          </cell>
          <cell r="L27">
            <v>168.47181835803477</v>
          </cell>
          <cell r="M27">
            <v>170.73074096195668</v>
          </cell>
          <cell r="N27">
            <v>172.94057235518383</v>
          </cell>
          <cell r="O27">
            <v>176.38592518829313</v>
          </cell>
          <cell r="P27">
            <v>179.60762950135484</v>
          </cell>
          <cell r="Q27">
            <v>182.9005733424149</v>
          </cell>
          <cell r="R27">
            <v>186.3557494357602</v>
          </cell>
          <cell r="S27">
            <v>189.52864884326308</v>
          </cell>
          <cell r="T27">
            <v>193.15582845222801</v>
          </cell>
          <cell r="U27">
            <v>196.81914490034171</v>
          </cell>
          <cell r="V27">
            <v>200.62249209578658</v>
          </cell>
          <cell r="W27">
            <v>204.5230271749904</v>
          </cell>
          <cell r="X27">
            <v>208.38836702545149</v>
          </cell>
          <cell r="Y27">
            <v>212.41394366378853</v>
          </cell>
          <cell r="Z27">
            <v>216.51055640465145</v>
          </cell>
          <cell r="AA27">
            <v>220.67924106776766</v>
          </cell>
          <cell r="AB27">
            <v>224.92104086628675</v>
          </cell>
          <cell r="AC27">
            <v>229.23700612906447</v>
          </cell>
          <cell r="AD27">
            <v>233.62819400443962</v>
          </cell>
          <cell r="AE27">
            <v>238.09566814475286</v>
          </cell>
          <cell r="AF27">
            <v>242.64049837082902</v>
          </cell>
          <cell r="AG27">
            <v>247.26376031561853</v>
          </cell>
          <cell r="AH27">
            <v>251.96653504616575</v>
          </cell>
        </row>
        <row r="28">
          <cell r="A28" t="str">
            <v>C4 Mix</v>
          </cell>
          <cell r="B28" t="str">
            <v>45% of C2 price</v>
          </cell>
          <cell r="C28">
            <v>0</v>
          </cell>
          <cell r="D28" t="str">
            <v>$/ton</v>
          </cell>
          <cell r="E28">
            <v>179.33143932174332</v>
          </cell>
          <cell r="F28">
            <v>153.59227173862112</v>
          </cell>
          <cell r="G28">
            <v>145.56916635782977</v>
          </cell>
          <cell r="H28">
            <v>147.80480208891291</v>
          </cell>
          <cell r="I28">
            <v>146.24848478712619</v>
          </cell>
          <cell r="J28">
            <v>147.97440822442189</v>
          </cell>
          <cell r="K28">
            <v>149.89673827201415</v>
          </cell>
          <cell r="L28">
            <v>151.62463652223127</v>
          </cell>
          <cell r="M28">
            <v>153.65766686576103</v>
          </cell>
          <cell r="N28">
            <v>155.64651511966548</v>
          </cell>
          <cell r="O28">
            <v>158.74733266946382</v>
          </cell>
          <cell r="P28">
            <v>161.64686655121938</v>
          </cell>
          <cell r="Q28">
            <v>164.61051600817342</v>
          </cell>
          <cell r="R28">
            <v>167.72017449218421</v>
          </cell>
          <cell r="S28">
            <v>170.5757839589368</v>
          </cell>
          <cell r="T28">
            <v>173.84024560700522</v>
          </cell>
          <cell r="U28">
            <v>177.13723041030755</v>
          </cell>
          <cell r="V28">
            <v>180.56024288620793</v>
          </cell>
          <cell r="W28">
            <v>184.07072445749139</v>
          </cell>
          <cell r="X28">
            <v>187.54953032290635</v>
          </cell>
          <cell r="Y28">
            <v>191.17254929740966</v>
          </cell>
          <cell r="Z28">
            <v>194.85950076418632</v>
          </cell>
          <cell r="AA28">
            <v>198.61131696099088</v>
          </cell>
          <cell r="AB28">
            <v>202.42893677965807</v>
          </cell>
          <cell r="AC28">
            <v>206.31330551615801</v>
          </cell>
          <cell r="AD28">
            <v>210.26537460399564</v>
          </cell>
          <cell r="AE28">
            <v>214.28610133027757</v>
          </cell>
          <cell r="AF28">
            <v>218.37644853374613</v>
          </cell>
          <cell r="AG28">
            <v>222.53738428405666</v>
          </cell>
          <cell r="AH28">
            <v>226.76988154154918</v>
          </cell>
        </row>
        <row r="29">
          <cell r="A29" t="str">
            <v>C5+ LAO's</v>
          </cell>
          <cell r="B29" t="str">
            <v>150% of C2 price</v>
          </cell>
          <cell r="C29">
            <v>0</v>
          </cell>
          <cell r="D29" t="str">
            <v>$/ton</v>
          </cell>
          <cell r="E29">
            <v>597.771464405811</v>
          </cell>
          <cell r="F29">
            <v>511.97423912873705</v>
          </cell>
          <cell r="G29">
            <v>485.23055452609918</v>
          </cell>
          <cell r="H29">
            <v>492.68267362970971</v>
          </cell>
          <cell r="I29">
            <v>487.49494929042055</v>
          </cell>
          <cell r="J29">
            <v>493.24802741473968</v>
          </cell>
          <cell r="K29">
            <v>499.6557942400471</v>
          </cell>
          <cell r="L29">
            <v>505.41545507410433</v>
          </cell>
          <cell r="M29">
            <v>512.19222288587002</v>
          </cell>
          <cell r="N29">
            <v>518.82171706555152</v>
          </cell>
          <cell r="O29">
            <v>529.15777556487944</v>
          </cell>
          <cell r="P29">
            <v>538.82288850406451</v>
          </cell>
          <cell r="Q29">
            <v>548.70172002724473</v>
          </cell>
          <cell r="R29">
            <v>559.06724830728069</v>
          </cell>
          <cell r="S29">
            <v>568.58594652978923</v>
          </cell>
          <cell r="T29">
            <v>579.46748535668405</v>
          </cell>
          <cell r="U29">
            <v>590.45743470102514</v>
          </cell>
          <cell r="V29">
            <v>601.86747628735975</v>
          </cell>
          <cell r="W29">
            <v>613.56908152497124</v>
          </cell>
          <cell r="X29">
            <v>625.16510107635452</v>
          </cell>
          <cell r="Y29">
            <v>637.24183099136553</v>
          </cell>
          <cell r="Z29">
            <v>649.53166921395439</v>
          </cell>
          <cell r="AA29">
            <v>662.0377232033029</v>
          </cell>
          <cell r="AB29">
            <v>674.76312259886026</v>
          </cell>
          <cell r="AC29">
            <v>687.71101838719346</v>
          </cell>
          <cell r="AD29">
            <v>700.88458201331889</v>
          </cell>
          <cell r="AE29">
            <v>714.28700443425862</v>
          </cell>
          <cell r="AF29">
            <v>727.92149511248704</v>
          </cell>
          <cell r="AG29">
            <v>741.79128094685564</v>
          </cell>
          <cell r="AH29">
            <v>755.89960513849724</v>
          </cell>
        </row>
        <row r="30">
          <cell r="A30" t="str">
            <v>Purge Gas</v>
          </cell>
          <cell r="B30" t="str">
            <v>Methane equivalent</v>
          </cell>
          <cell r="C30">
            <v>0</v>
          </cell>
          <cell r="D30" t="str">
            <v>$/ton</v>
          </cell>
          <cell r="E30">
            <v>0</v>
          </cell>
          <cell r="F30">
            <v>32.679611640000005</v>
          </cell>
          <cell r="G30">
            <v>32.679611640000005</v>
          </cell>
          <cell r="H30">
            <v>32.679611640000005</v>
          </cell>
          <cell r="I30">
            <v>32.679611640000005</v>
          </cell>
          <cell r="J30">
            <v>32.679611640000005</v>
          </cell>
          <cell r="K30">
            <v>32.679611640000005</v>
          </cell>
          <cell r="L30">
            <v>32.679611640000005</v>
          </cell>
          <cell r="M30">
            <v>32.679611640000005</v>
          </cell>
          <cell r="N30">
            <v>32.679611640000005</v>
          </cell>
          <cell r="O30">
            <v>32.679611640000005</v>
          </cell>
          <cell r="P30">
            <v>32.679611640000005</v>
          </cell>
          <cell r="Q30">
            <v>32.679611640000005</v>
          </cell>
          <cell r="R30">
            <v>32.679611640000005</v>
          </cell>
          <cell r="S30">
            <v>32.679611640000005</v>
          </cell>
          <cell r="T30">
            <v>32.679611640000005</v>
          </cell>
          <cell r="U30">
            <v>32.679611640000005</v>
          </cell>
          <cell r="V30">
            <v>32.679611640000005</v>
          </cell>
          <cell r="W30">
            <v>32.679611640000005</v>
          </cell>
          <cell r="X30">
            <v>32.679611640000005</v>
          </cell>
          <cell r="Y30">
            <v>32.679611640000005</v>
          </cell>
          <cell r="Z30">
            <v>32.679611640000005</v>
          </cell>
          <cell r="AA30">
            <v>32.679611640000005</v>
          </cell>
          <cell r="AB30">
            <v>32.679611640000005</v>
          </cell>
          <cell r="AC30">
            <v>32.679611640000005</v>
          </cell>
          <cell r="AD30">
            <v>32.679611640000005</v>
          </cell>
          <cell r="AE30">
            <v>32.679611640000005</v>
          </cell>
          <cell r="AF30">
            <v>32.679611640000005</v>
          </cell>
          <cell r="AG30">
            <v>32.679611640000005</v>
          </cell>
          <cell r="AH30">
            <v>32.679611640000005</v>
          </cell>
        </row>
        <row r="31">
          <cell r="A31" t="str">
            <v>Polymer Freight (Western Europe)</v>
          </cell>
          <cell r="B31">
            <v>0</v>
          </cell>
          <cell r="C31">
            <v>0</v>
          </cell>
          <cell r="D31" t="str">
            <v>$/ton</v>
          </cell>
          <cell r="E31">
            <v>60</v>
          </cell>
          <cell r="F31">
            <v>61.139999999999993</v>
          </cell>
          <cell r="G31">
            <v>62.52</v>
          </cell>
          <cell r="H31">
            <v>64.08</v>
          </cell>
          <cell r="I31">
            <v>65.7</v>
          </cell>
          <cell r="J31">
            <v>67.38</v>
          </cell>
          <cell r="K31">
            <v>69.06</v>
          </cell>
          <cell r="L31">
            <v>70.740000000000009</v>
          </cell>
          <cell r="M31">
            <v>72.540000000000006</v>
          </cell>
          <cell r="N31">
            <v>74.34</v>
          </cell>
          <cell r="O31">
            <v>76.2</v>
          </cell>
          <cell r="P31">
            <v>78.12</v>
          </cell>
          <cell r="Q31">
            <v>80.040000000000006</v>
          </cell>
          <cell r="R31">
            <v>82.080000000000013</v>
          </cell>
          <cell r="S31">
            <v>84.11999999999999</v>
          </cell>
          <cell r="T31">
            <v>86.22</v>
          </cell>
          <cell r="U31">
            <v>88.38000000000001</v>
          </cell>
          <cell r="V31">
            <v>90.6</v>
          </cell>
          <cell r="W31">
            <v>92.88</v>
          </cell>
          <cell r="X31">
            <v>95.160000000000011</v>
          </cell>
          <cell r="Y31">
            <v>97.539000000000001</v>
          </cell>
          <cell r="Z31">
            <v>99.977474999999998</v>
          </cell>
          <cell r="AA31">
            <v>102.47691187499998</v>
          </cell>
          <cell r="AB31">
            <v>105.03883467187497</v>
          </cell>
          <cell r="AC31">
            <v>107.66480553867183</v>
          </cell>
          <cell r="AD31">
            <v>110.35642567713862</v>
          </cell>
          <cell r="AE31">
            <v>113.11533631906707</v>
          </cell>
          <cell r="AF31">
            <v>115.94321972704374</v>
          </cell>
          <cell r="AG31">
            <v>118.84180022021982</v>
          </cell>
          <cell r="AH31">
            <v>121.81284522572531</v>
          </cell>
        </row>
        <row r="32">
          <cell r="A32" t="str">
            <v>Polymer Freight (East Asia)</v>
          </cell>
          <cell r="B32">
            <v>0</v>
          </cell>
          <cell r="C32">
            <v>0</v>
          </cell>
          <cell r="D32" t="str">
            <v>$/ton</v>
          </cell>
          <cell r="E32">
            <v>56</v>
          </cell>
          <cell r="F32">
            <v>57.063999999999993</v>
          </cell>
          <cell r="G32">
            <v>58.352000000000004</v>
          </cell>
          <cell r="H32">
            <v>59.808000000000007</v>
          </cell>
          <cell r="I32">
            <v>61.32</v>
          </cell>
          <cell r="J32">
            <v>62.887999999999998</v>
          </cell>
          <cell r="K32">
            <v>64.456000000000003</v>
          </cell>
          <cell r="L32">
            <v>66.024000000000001</v>
          </cell>
          <cell r="M32">
            <v>67.704000000000008</v>
          </cell>
          <cell r="N32">
            <v>69.384</v>
          </cell>
          <cell r="O32">
            <v>71.12</v>
          </cell>
          <cell r="P32">
            <v>72.912000000000006</v>
          </cell>
          <cell r="Q32">
            <v>74.704000000000008</v>
          </cell>
          <cell r="R32">
            <v>76.608000000000004</v>
          </cell>
          <cell r="S32">
            <v>78.512</v>
          </cell>
          <cell r="T32">
            <v>80.472000000000008</v>
          </cell>
          <cell r="U32">
            <v>82.488</v>
          </cell>
          <cell r="V32">
            <v>84.56</v>
          </cell>
          <cell r="W32">
            <v>86.688000000000002</v>
          </cell>
          <cell r="X32">
            <v>88.816000000000003</v>
          </cell>
          <cell r="Y32">
            <v>91.0364</v>
          </cell>
          <cell r="Z32">
            <v>93.312309999999997</v>
          </cell>
          <cell r="AA32">
            <v>95.645117749999983</v>
          </cell>
          <cell r="AB32">
            <v>98.036245693749976</v>
          </cell>
          <cell r="AC32">
            <v>100.48715183609372</v>
          </cell>
          <cell r="AD32">
            <v>102.99933063199605</v>
          </cell>
          <cell r="AE32">
            <v>105.57431389779593</v>
          </cell>
          <cell r="AF32">
            <v>108.21367174524082</v>
          </cell>
          <cell r="AG32">
            <v>110.91901353887184</v>
          </cell>
          <cell r="AH32">
            <v>113.69198887734363</v>
          </cell>
        </row>
        <row r="33">
          <cell r="A33" t="str">
            <v>Polymer Freight (West Asia)</v>
          </cell>
          <cell r="B33">
            <v>0</v>
          </cell>
          <cell r="C33">
            <v>0</v>
          </cell>
          <cell r="D33" t="str">
            <v>$/ton</v>
          </cell>
          <cell r="E33">
            <v>40</v>
          </cell>
          <cell r="F33">
            <v>40.76</v>
          </cell>
          <cell r="G33">
            <v>41.68</v>
          </cell>
          <cell r="H33">
            <v>42.72</v>
          </cell>
          <cell r="I33">
            <v>43.8</v>
          </cell>
          <cell r="J33">
            <v>44.92</v>
          </cell>
          <cell r="K33">
            <v>46.04</v>
          </cell>
          <cell r="L33">
            <v>47.160000000000004</v>
          </cell>
          <cell r="M33">
            <v>48.36</v>
          </cell>
          <cell r="N33">
            <v>49.56</v>
          </cell>
          <cell r="O33">
            <v>50.8</v>
          </cell>
          <cell r="P33">
            <v>52.08</v>
          </cell>
          <cell r="Q33">
            <v>53.36</v>
          </cell>
          <cell r="R33">
            <v>54.720000000000006</v>
          </cell>
          <cell r="S33">
            <v>56.08</v>
          </cell>
          <cell r="T33">
            <v>57.480000000000004</v>
          </cell>
          <cell r="U33">
            <v>58.92</v>
          </cell>
          <cell r="V33">
            <v>60.4</v>
          </cell>
          <cell r="W33">
            <v>61.92</v>
          </cell>
          <cell r="X33">
            <v>63.440000000000005</v>
          </cell>
          <cell r="Y33">
            <v>65.025999999999996</v>
          </cell>
          <cell r="Z33">
            <v>66.651650000000004</v>
          </cell>
          <cell r="AA33">
            <v>68.31794124999999</v>
          </cell>
          <cell r="AB33">
            <v>70.025889781249987</v>
          </cell>
          <cell r="AC33">
            <v>71.776537025781224</v>
          </cell>
          <cell r="AD33">
            <v>73.570950451425745</v>
          </cell>
          <cell r="AE33">
            <v>75.410224212711384</v>
          </cell>
          <cell r="AF33">
            <v>77.29547981802915</v>
          </cell>
          <cell r="AG33">
            <v>79.227866813479878</v>
          </cell>
          <cell r="AH33">
            <v>81.208563483816874</v>
          </cell>
        </row>
        <row r="34">
          <cell r="A34" t="str">
            <v>Polymer Freight (Iran)</v>
          </cell>
          <cell r="B34">
            <v>0</v>
          </cell>
          <cell r="C34">
            <v>0</v>
          </cell>
          <cell r="D34" t="str">
            <v>$/ton</v>
          </cell>
          <cell r="E34">
            <v>20</v>
          </cell>
          <cell r="F34">
            <v>20.38</v>
          </cell>
          <cell r="G34">
            <v>20.84</v>
          </cell>
          <cell r="H34">
            <v>21.36</v>
          </cell>
          <cell r="I34">
            <v>21.9</v>
          </cell>
          <cell r="J34">
            <v>22.46</v>
          </cell>
          <cell r="K34">
            <v>23.02</v>
          </cell>
          <cell r="L34">
            <v>23.580000000000002</v>
          </cell>
          <cell r="M34">
            <v>24.18</v>
          </cell>
          <cell r="N34">
            <v>24.78</v>
          </cell>
          <cell r="O34">
            <v>25.4</v>
          </cell>
          <cell r="P34">
            <v>26.04</v>
          </cell>
          <cell r="Q34">
            <v>26.68</v>
          </cell>
          <cell r="R34">
            <v>27.360000000000003</v>
          </cell>
          <cell r="S34">
            <v>28.04</v>
          </cell>
          <cell r="T34">
            <v>28.740000000000002</v>
          </cell>
          <cell r="U34">
            <v>29.46</v>
          </cell>
          <cell r="V34">
            <v>30.2</v>
          </cell>
          <cell r="W34">
            <v>30.96</v>
          </cell>
          <cell r="X34">
            <v>31.720000000000002</v>
          </cell>
          <cell r="Y34">
            <v>32.512999999999998</v>
          </cell>
          <cell r="Z34">
            <v>33.325825000000002</v>
          </cell>
          <cell r="AA34">
            <v>34.158970624999995</v>
          </cell>
          <cell r="AB34">
            <v>35.012944890624993</v>
          </cell>
          <cell r="AC34">
            <v>35.888268512890612</v>
          </cell>
          <cell r="AD34">
            <v>36.785475225712872</v>
          </cell>
          <cell r="AE34">
            <v>37.705112106355692</v>
          </cell>
          <cell r="AF34">
            <v>38.647739909014575</v>
          </cell>
          <cell r="AG34">
            <v>39.613933406739939</v>
          </cell>
          <cell r="AH34">
            <v>40.604281741908437</v>
          </cell>
        </row>
        <row r="35">
          <cell r="A35" t="str">
            <v>MEG Freight (Western Europe)</v>
          </cell>
          <cell r="B35">
            <v>0</v>
          </cell>
          <cell r="C35">
            <v>0</v>
          </cell>
          <cell r="D35" t="str">
            <v>$/ton</v>
          </cell>
          <cell r="E35">
            <v>67</v>
          </cell>
          <cell r="F35">
            <v>68.272999999999996</v>
          </cell>
          <cell r="G35">
            <v>69.814000000000007</v>
          </cell>
          <cell r="H35">
            <v>71.555999999999997</v>
          </cell>
          <cell r="I35">
            <v>73.364999999999995</v>
          </cell>
          <cell r="J35">
            <v>75.241</v>
          </cell>
          <cell r="K35">
            <v>77.117000000000004</v>
          </cell>
          <cell r="L35">
            <v>78.993000000000009</v>
          </cell>
          <cell r="M35">
            <v>81.003</v>
          </cell>
          <cell r="N35">
            <v>83.013000000000005</v>
          </cell>
          <cell r="O35">
            <v>85.09</v>
          </cell>
          <cell r="P35">
            <v>87.234000000000009</v>
          </cell>
          <cell r="Q35">
            <v>89.378</v>
          </cell>
          <cell r="R35">
            <v>91.656000000000006</v>
          </cell>
          <cell r="S35">
            <v>93.933999999999997</v>
          </cell>
          <cell r="T35">
            <v>96.279000000000011</v>
          </cell>
          <cell r="U35">
            <v>98.691000000000003</v>
          </cell>
          <cell r="V35">
            <v>101.17</v>
          </cell>
          <cell r="W35">
            <v>103.71600000000001</v>
          </cell>
          <cell r="X35">
            <v>106.262</v>
          </cell>
          <cell r="Y35">
            <v>108.91855</v>
          </cell>
          <cell r="Z35">
            <v>111.64151375</v>
          </cell>
          <cell r="AA35">
            <v>114.43255159374999</v>
          </cell>
          <cell r="AB35">
            <v>117.29336538359372</v>
          </cell>
          <cell r="AC35">
            <v>120.22569951818355</v>
          </cell>
          <cell r="AD35">
            <v>123.23134200613812</v>
          </cell>
          <cell r="AE35">
            <v>126.31212555629156</v>
          </cell>
          <cell r="AF35">
            <v>129.46992869519883</v>
          </cell>
          <cell r="AG35">
            <v>132.70667691257881</v>
          </cell>
          <cell r="AH35">
            <v>136.02434383539327</v>
          </cell>
        </row>
        <row r="36">
          <cell r="A36" t="str">
            <v>MEG Freight (East Asia)</v>
          </cell>
          <cell r="B36">
            <v>0</v>
          </cell>
          <cell r="C36">
            <v>0</v>
          </cell>
          <cell r="D36" t="str">
            <v>$/ton</v>
          </cell>
          <cell r="E36">
            <v>45</v>
          </cell>
          <cell r="F36">
            <v>45.854999999999997</v>
          </cell>
          <cell r="G36">
            <v>46.89</v>
          </cell>
          <cell r="H36">
            <v>48.06</v>
          </cell>
          <cell r="I36">
            <v>49.274999999999999</v>
          </cell>
          <cell r="J36">
            <v>50.534999999999997</v>
          </cell>
          <cell r="K36">
            <v>51.795000000000002</v>
          </cell>
          <cell r="L36">
            <v>53.055</v>
          </cell>
          <cell r="M36">
            <v>54.405000000000001</v>
          </cell>
          <cell r="N36">
            <v>55.755000000000003</v>
          </cell>
          <cell r="O36">
            <v>57.15</v>
          </cell>
          <cell r="P36">
            <v>58.59</v>
          </cell>
          <cell r="Q36">
            <v>60.03</v>
          </cell>
          <cell r="R36">
            <v>61.56</v>
          </cell>
          <cell r="S36">
            <v>63.089999999999996</v>
          </cell>
          <cell r="T36">
            <v>64.665000000000006</v>
          </cell>
          <cell r="U36">
            <v>66.285000000000011</v>
          </cell>
          <cell r="V36">
            <v>67.95</v>
          </cell>
          <cell r="W36">
            <v>69.66</v>
          </cell>
          <cell r="X36">
            <v>71.37</v>
          </cell>
          <cell r="Y36">
            <v>73.154250000000005</v>
          </cell>
          <cell r="Z36">
            <v>74.983106250000006</v>
          </cell>
          <cell r="AA36">
            <v>76.857683906249989</v>
          </cell>
          <cell r="AB36">
            <v>78.779126003906228</v>
          </cell>
          <cell r="AC36">
            <v>80.748604154003871</v>
          </cell>
          <cell r="AD36">
            <v>82.767319257853956</v>
          </cell>
          <cell r="AE36">
            <v>84.836502239300302</v>
          </cell>
          <cell r="AF36">
            <v>86.957414795282801</v>
          </cell>
          <cell r="AG36">
            <v>89.131350165164861</v>
          </cell>
          <cell r="AH36">
            <v>91.359633919293984</v>
          </cell>
        </row>
        <row r="37">
          <cell r="A37" t="str">
            <v>MEG Freight (West Asia)</v>
          </cell>
          <cell r="B37">
            <v>0</v>
          </cell>
          <cell r="C37">
            <v>0</v>
          </cell>
          <cell r="D37" t="str">
            <v>$/ton</v>
          </cell>
          <cell r="E37">
            <v>40</v>
          </cell>
          <cell r="F37">
            <v>40.76</v>
          </cell>
          <cell r="G37">
            <v>41.68</v>
          </cell>
          <cell r="H37">
            <v>42.72</v>
          </cell>
          <cell r="I37">
            <v>43.8</v>
          </cell>
          <cell r="J37">
            <v>44.92</v>
          </cell>
          <cell r="K37">
            <v>46.04</v>
          </cell>
          <cell r="L37">
            <v>47.160000000000004</v>
          </cell>
          <cell r="M37">
            <v>48.36</v>
          </cell>
          <cell r="N37">
            <v>49.56</v>
          </cell>
          <cell r="O37">
            <v>50.8</v>
          </cell>
          <cell r="P37">
            <v>52.08</v>
          </cell>
          <cell r="Q37">
            <v>53.36</v>
          </cell>
          <cell r="R37">
            <v>54.720000000000006</v>
          </cell>
          <cell r="S37">
            <v>56.08</v>
          </cell>
          <cell r="T37">
            <v>57.480000000000004</v>
          </cell>
          <cell r="U37">
            <v>58.92</v>
          </cell>
          <cell r="V37">
            <v>60.4</v>
          </cell>
          <cell r="W37">
            <v>61.92</v>
          </cell>
          <cell r="X37">
            <v>63.440000000000005</v>
          </cell>
          <cell r="Y37">
            <v>65.025999999999996</v>
          </cell>
          <cell r="Z37">
            <v>66.651650000000004</v>
          </cell>
          <cell r="AA37">
            <v>68.31794124999999</v>
          </cell>
          <cell r="AB37">
            <v>70.025889781249987</v>
          </cell>
          <cell r="AC37">
            <v>71.776537025781224</v>
          </cell>
          <cell r="AD37">
            <v>73.570950451425745</v>
          </cell>
          <cell r="AE37">
            <v>75.410224212711384</v>
          </cell>
          <cell r="AF37">
            <v>77.29547981802915</v>
          </cell>
          <cell r="AG37">
            <v>79.227866813479878</v>
          </cell>
          <cell r="AH37">
            <v>81.208563483816874</v>
          </cell>
        </row>
        <row r="38">
          <cell r="A38" t="str">
            <v>MEG Freight (Iran)</v>
          </cell>
          <cell r="B38">
            <v>0</v>
          </cell>
          <cell r="C38">
            <v>0</v>
          </cell>
          <cell r="D38" t="str">
            <v>$/ton</v>
          </cell>
          <cell r="E38">
            <v>20</v>
          </cell>
          <cell r="F38">
            <v>20.38</v>
          </cell>
          <cell r="G38">
            <v>20.84</v>
          </cell>
          <cell r="H38">
            <v>21.36</v>
          </cell>
          <cell r="I38">
            <v>21.9</v>
          </cell>
          <cell r="J38">
            <v>22.46</v>
          </cell>
          <cell r="K38">
            <v>23.02</v>
          </cell>
          <cell r="L38">
            <v>23.580000000000002</v>
          </cell>
          <cell r="M38">
            <v>24.18</v>
          </cell>
          <cell r="N38">
            <v>24.78</v>
          </cell>
          <cell r="O38">
            <v>25.4</v>
          </cell>
          <cell r="P38">
            <v>26.04</v>
          </cell>
          <cell r="Q38">
            <v>26.68</v>
          </cell>
          <cell r="R38">
            <v>27.360000000000003</v>
          </cell>
          <cell r="S38">
            <v>28.04</v>
          </cell>
          <cell r="T38">
            <v>28.740000000000002</v>
          </cell>
          <cell r="U38">
            <v>29.46</v>
          </cell>
          <cell r="V38">
            <v>30.2</v>
          </cell>
          <cell r="W38">
            <v>30.96</v>
          </cell>
          <cell r="X38">
            <v>31.720000000000002</v>
          </cell>
          <cell r="Y38">
            <v>32.512999999999998</v>
          </cell>
          <cell r="Z38">
            <v>33.325825000000002</v>
          </cell>
          <cell r="AA38">
            <v>34.158970624999995</v>
          </cell>
          <cell r="AB38">
            <v>35.012944890624993</v>
          </cell>
          <cell r="AC38">
            <v>35.888268512890612</v>
          </cell>
          <cell r="AD38">
            <v>36.785475225712872</v>
          </cell>
          <cell r="AE38">
            <v>37.705112106355692</v>
          </cell>
          <cell r="AF38">
            <v>38.647739909014575</v>
          </cell>
          <cell r="AG38">
            <v>39.613933406739939</v>
          </cell>
          <cell r="AH38">
            <v>40.604281741908437</v>
          </cell>
        </row>
        <row r="39">
          <cell r="A39" t="str">
            <v>Styrene Freight (Western Europe)</v>
          </cell>
          <cell r="B39">
            <v>0</v>
          </cell>
          <cell r="C39">
            <v>0</v>
          </cell>
          <cell r="D39" t="str">
            <v>$/ton</v>
          </cell>
          <cell r="E39">
            <v>70</v>
          </cell>
          <cell r="F39">
            <v>71.33</v>
          </cell>
          <cell r="G39">
            <v>72.94</v>
          </cell>
          <cell r="H39">
            <v>74.760000000000005</v>
          </cell>
          <cell r="I39">
            <v>76.649999999999991</v>
          </cell>
          <cell r="J39">
            <v>78.61</v>
          </cell>
          <cell r="K39">
            <v>80.570000000000007</v>
          </cell>
          <cell r="L39">
            <v>82.53</v>
          </cell>
          <cell r="M39">
            <v>84.63000000000001</v>
          </cell>
          <cell r="N39">
            <v>86.73</v>
          </cell>
          <cell r="O39">
            <v>88.9</v>
          </cell>
          <cell r="P39">
            <v>91.14</v>
          </cell>
          <cell r="Q39">
            <v>93.38000000000001</v>
          </cell>
          <cell r="R39">
            <v>95.76</v>
          </cell>
          <cell r="S39">
            <v>98.14</v>
          </cell>
          <cell r="T39">
            <v>100.59</v>
          </cell>
          <cell r="U39">
            <v>103.11</v>
          </cell>
          <cell r="V39">
            <v>105.7</v>
          </cell>
          <cell r="W39">
            <v>108.36</v>
          </cell>
          <cell r="X39">
            <v>111.02000000000001</v>
          </cell>
          <cell r="Y39">
            <v>113.7955</v>
          </cell>
          <cell r="Z39">
            <v>116.6403875</v>
          </cell>
          <cell r="AA39">
            <v>119.55639718749998</v>
          </cell>
          <cell r="AB39">
            <v>122.54530711718746</v>
          </cell>
          <cell r="AC39">
            <v>125.60893979511714</v>
          </cell>
          <cell r="AD39">
            <v>128.74916328999504</v>
          </cell>
          <cell r="AE39">
            <v>131.9678923722449</v>
          </cell>
          <cell r="AF39">
            <v>135.26708968155103</v>
          </cell>
          <cell r="AG39">
            <v>138.64876692358979</v>
          </cell>
          <cell r="AH39">
            <v>142.11498609667953</v>
          </cell>
        </row>
        <row r="40">
          <cell r="A40" t="str">
            <v>Styrene Freight (East Asia)</v>
          </cell>
          <cell r="B40">
            <v>0</v>
          </cell>
          <cell r="C40">
            <v>0</v>
          </cell>
          <cell r="D40" t="str">
            <v>$/ton</v>
          </cell>
          <cell r="E40">
            <v>47</v>
          </cell>
          <cell r="F40">
            <v>47.892999999999994</v>
          </cell>
          <cell r="G40">
            <v>48.974000000000004</v>
          </cell>
          <cell r="H40">
            <v>50.196000000000005</v>
          </cell>
          <cell r="I40">
            <v>51.464999999999996</v>
          </cell>
          <cell r="J40">
            <v>52.780999999999999</v>
          </cell>
          <cell r="K40">
            <v>54.097000000000001</v>
          </cell>
          <cell r="L40">
            <v>55.413000000000004</v>
          </cell>
          <cell r="M40">
            <v>56.823</v>
          </cell>
          <cell r="N40">
            <v>58.233000000000004</v>
          </cell>
          <cell r="O40">
            <v>59.69</v>
          </cell>
          <cell r="P40">
            <v>61.194000000000003</v>
          </cell>
          <cell r="Q40">
            <v>62.698</v>
          </cell>
          <cell r="R40">
            <v>64.296000000000006</v>
          </cell>
          <cell r="S40">
            <v>65.893999999999991</v>
          </cell>
          <cell r="T40">
            <v>67.539000000000001</v>
          </cell>
          <cell r="U40">
            <v>69.231000000000009</v>
          </cell>
          <cell r="V40">
            <v>70.97</v>
          </cell>
          <cell r="W40">
            <v>72.756</v>
          </cell>
          <cell r="X40">
            <v>74.542000000000002</v>
          </cell>
          <cell r="Y40">
            <v>76.405550000000005</v>
          </cell>
          <cell r="Z40">
            <v>78.315688750000007</v>
          </cell>
          <cell r="AA40">
            <v>80.273580968749997</v>
          </cell>
          <cell r="AB40">
            <v>82.28042049296873</v>
          </cell>
          <cell r="AC40">
            <v>84.337431005292942</v>
          </cell>
          <cell r="AD40">
            <v>86.445866780425249</v>
          </cell>
          <cell r="AE40">
            <v>88.607013449935863</v>
          </cell>
          <cell r="AF40">
            <v>90.822188786184256</v>
          </cell>
          <cell r="AG40">
            <v>93.092743505838854</v>
          </cell>
          <cell r="AH40">
            <v>95.42006209348483</v>
          </cell>
        </row>
        <row r="41">
          <cell r="A41" t="str">
            <v>Styrene Freight (West Asia)</v>
          </cell>
          <cell r="B41">
            <v>0</v>
          </cell>
          <cell r="C41">
            <v>0</v>
          </cell>
          <cell r="D41" t="str">
            <v>$/ton</v>
          </cell>
          <cell r="E41">
            <v>42</v>
          </cell>
          <cell r="F41">
            <v>42.797999999999995</v>
          </cell>
          <cell r="G41">
            <v>43.764000000000003</v>
          </cell>
          <cell r="H41">
            <v>44.856000000000002</v>
          </cell>
          <cell r="I41">
            <v>45.99</v>
          </cell>
          <cell r="J41">
            <v>47.165999999999997</v>
          </cell>
          <cell r="K41">
            <v>48.341999999999999</v>
          </cell>
          <cell r="L41">
            <v>49.518000000000001</v>
          </cell>
          <cell r="M41">
            <v>50.778000000000006</v>
          </cell>
          <cell r="N41">
            <v>52.038000000000004</v>
          </cell>
          <cell r="O41">
            <v>53.34</v>
          </cell>
          <cell r="P41">
            <v>54.684000000000005</v>
          </cell>
          <cell r="Q41">
            <v>56.028000000000006</v>
          </cell>
          <cell r="R41">
            <v>57.456000000000003</v>
          </cell>
          <cell r="S41">
            <v>58.883999999999993</v>
          </cell>
          <cell r="T41">
            <v>60.353999999999999</v>
          </cell>
          <cell r="U41">
            <v>61.866000000000007</v>
          </cell>
          <cell r="V41">
            <v>63.42</v>
          </cell>
          <cell r="W41">
            <v>65.016000000000005</v>
          </cell>
          <cell r="X41">
            <v>66.612000000000009</v>
          </cell>
          <cell r="Y41">
            <v>68.277299999999997</v>
          </cell>
          <cell r="Z41">
            <v>69.984232500000005</v>
          </cell>
          <cell r="AA41">
            <v>71.733838312499998</v>
          </cell>
          <cell r="AB41">
            <v>73.527184270312475</v>
          </cell>
          <cell r="AC41">
            <v>75.36536387707028</v>
          </cell>
          <cell r="AD41">
            <v>77.249497973997023</v>
          </cell>
          <cell r="AE41">
            <v>79.180735423346945</v>
          </cell>
          <cell r="AF41">
            <v>81.160253808930619</v>
          </cell>
          <cell r="AG41">
            <v>83.189260154153871</v>
          </cell>
          <cell r="AH41">
            <v>85.268991658007721</v>
          </cell>
        </row>
        <row r="42">
          <cell r="A42" t="str">
            <v>Styrene Freight (Iran)</v>
          </cell>
          <cell r="B42">
            <v>0</v>
          </cell>
          <cell r="C42">
            <v>0</v>
          </cell>
          <cell r="D42" t="str">
            <v>$/ton</v>
          </cell>
          <cell r="E42">
            <v>21.5</v>
          </cell>
          <cell r="F42">
            <v>21.908499999999997</v>
          </cell>
          <cell r="G42">
            <v>22.403000000000002</v>
          </cell>
          <cell r="H42">
            <v>22.962</v>
          </cell>
          <cell r="I42">
            <v>23.5425</v>
          </cell>
          <cell r="J42">
            <v>24.144500000000001</v>
          </cell>
          <cell r="K42">
            <v>24.746500000000001</v>
          </cell>
          <cell r="L42">
            <v>25.348500000000001</v>
          </cell>
          <cell r="M42">
            <v>25.993500000000001</v>
          </cell>
          <cell r="N42">
            <v>26.638500000000001</v>
          </cell>
          <cell r="O42">
            <v>27.305</v>
          </cell>
          <cell r="P42">
            <v>27.993000000000002</v>
          </cell>
          <cell r="Q42">
            <v>28.681000000000001</v>
          </cell>
          <cell r="R42">
            <v>29.412000000000003</v>
          </cell>
          <cell r="S42">
            <v>30.142999999999997</v>
          </cell>
          <cell r="T42">
            <v>30.895500000000002</v>
          </cell>
          <cell r="U42">
            <v>31.669500000000003</v>
          </cell>
          <cell r="V42">
            <v>32.465000000000003</v>
          </cell>
          <cell r="W42">
            <v>33.282000000000004</v>
          </cell>
          <cell r="X42">
            <v>34.099000000000004</v>
          </cell>
          <cell r="Y42">
            <v>34.951475000000002</v>
          </cell>
          <cell r="Z42">
            <v>35.825261875000002</v>
          </cell>
          <cell r="AA42">
            <v>36.720893421874997</v>
          </cell>
          <cell r="AB42">
            <v>37.638915757421863</v>
          </cell>
          <cell r="AC42">
            <v>38.579888651357408</v>
          </cell>
          <cell r="AD42">
            <v>39.544385867641338</v>
          </cell>
          <cell r="AE42">
            <v>40.532995514332363</v>
          </cell>
          <cell r="AF42">
            <v>41.546320402190673</v>
          </cell>
          <cell r="AG42">
            <v>42.584978412245434</v>
          </cell>
          <cell r="AH42">
            <v>43.649602872551569</v>
          </cell>
        </row>
        <row r="43">
          <cell r="A43" t="str">
            <v>Packaging</v>
          </cell>
          <cell r="B43">
            <v>0</v>
          </cell>
          <cell r="C43">
            <v>0</v>
          </cell>
          <cell r="D43" t="str">
            <v>$/ton</v>
          </cell>
          <cell r="E43">
            <v>15</v>
          </cell>
          <cell r="F43">
            <v>15.284999999999998</v>
          </cell>
          <cell r="G43">
            <v>15.63</v>
          </cell>
          <cell r="H43">
            <v>16.02</v>
          </cell>
          <cell r="I43">
            <v>16.425000000000001</v>
          </cell>
          <cell r="J43">
            <v>16.844999999999999</v>
          </cell>
          <cell r="K43">
            <v>17.265000000000001</v>
          </cell>
          <cell r="L43">
            <v>17.685000000000002</v>
          </cell>
          <cell r="M43">
            <v>18.135000000000002</v>
          </cell>
          <cell r="N43">
            <v>18.585000000000001</v>
          </cell>
          <cell r="O43">
            <v>19.05</v>
          </cell>
          <cell r="P43">
            <v>19.53</v>
          </cell>
          <cell r="Q43">
            <v>20.010000000000002</v>
          </cell>
          <cell r="R43">
            <v>20.520000000000003</v>
          </cell>
          <cell r="S43">
            <v>21.029999999999998</v>
          </cell>
          <cell r="T43">
            <v>21.555</v>
          </cell>
          <cell r="U43">
            <v>22.095000000000002</v>
          </cell>
          <cell r="V43">
            <v>22.65</v>
          </cell>
          <cell r="W43">
            <v>23.22</v>
          </cell>
          <cell r="X43">
            <v>23.790000000000003</v>
          </cell>
          <cell r="Y43">
            <v>24.38475</v>
          </cell>
          <cell r="Z43">
            <v>24.99436875</v>
          </cell>
          <cell r="AA43">
            <v>25.619227968749996</v>
          </cell>
          <cell r="AB43">
            <v>26.259708667968741</v>
          </cell>
          <cell r="AC43">
            <v>26.916201384667957</v>
          </cell>
          <cell r="AD43">
            <v>27.589106419284654</v>
          </cell>
          <cell r="AE43">
            <v>28.278834079766767</v>
          </cell>
          <cell r="AF43">
            <v>28.985804931760935</v>
          </cell>
          <cell r="AG43">
            <v>29.710450055054956</v>
          </cell>
          <cell r="AH43">
            <v>30.453211306431328</v>
          </cell>
        </row>
        <row r="44">
          <cell r="A44" t="str">
            <v>Sales Support (LLDPE)</v>
          </cell>
          <cell r="B44">
            <v>0</v>
          </cell>
          <cell r="C44">
            <v>0</v>
          </cell>
          <cell r="D44" t="str">
            <v>$/ton</v>
          </cell>
          <cell r="E44">
            <v>28.337500000000002</v>
          </cell>
          <cell r="F44">
            <v>27.054449999999999</v>
          </cell>
          <cell r="G44">
            <v>32.823</v>
          </cell>
          <cell r="H44">
            <v>33.588600000000007</v>
          </cell>
          <cell r="I44">
            <v>34.4925</v>
          </cell>
          <cell r="J44">
            <v>34.9253</v>
          </cell>
          <cell r="K44">
            <v>35.335700000000003</v>
          </cell>
          <cell r="L44">
            <v>35.782650000000004</v>
          </cell>
          <cell r="M44">
            <v>36.209550000000007</v>
          </cell>
          <cell r="N44">
            <v>36.612450000000003</v>
          </cell>
          <cell r="O44">
            <v>37.147500000000001</v>
          </cell>
          <cell r="P44">
            <v>37.758000000000003</v>
          </cell>
          <cell r="Q44">
            <v>38.352499999999999</v>
          </cell>
          <cell r="R44">
            <v>38.988</v>
          </cell>
          <cell r="S44">
            <v>39.606499999999997</v>
          </cell>
          <cell r="T44">
            <v>40.236000000000004</v>
          </cell>
          <cell r="U44">
            <v>40.949400000000004</v>
          </cell>
          <cell r="V44">
            <v>41.600500000000004</v>
          </cell>
          <cell r="W44">
            <v>42.260400000000004</v>
          </cell>
          <cell r="X44">
            <v>42.901300000000006</v>
          </cell>
          <cell r="Y44">
            <v>43.571141726190483</v>
          </cell>
          <cell r="Z44">
            <v>44.251442061750502</v>
          </cell>
          <cell r="AA44">
            <v>44.942364302732962</v>
          </cell>
          <cell r="AB44">
            <v>45.644074294822332</v>
          </cell>
          <cell r="AC44">
            <v>46.356740473143482</v>
          </cell>
          <cell r="AD44">
            <v>47.080533902692096</v>
          </cell>
          <cell r="AE44">
            <v>47.815628319396204</v>
          </cell>
          <cell r="AF44">
            <v>48.562200171818994</v>
          </cell>
          <cell r="AG44">
            <v>49.320428663512679</v>
          </cell>
          <cell r="AH44">
            <v>50.090495796033636</v>
          </cell>
        </row>
        <row r="45">
          <cell r="A45" t="str">
            <v>Sales Support (HDPE)</v>
          </cell>
          <cell r="B45">
            <v>0</v>
          </cell>
          <cell r="C45">
            <v>0</v>
          </cell>
          <cell r="D45" t="str">
            <v>$/ton</v>
          </cell>
          <cell r="E45">
            <v>28.911500000000004</v>
          </cell>
          <cell r="F45">
            <v>25.627849999999999</v>
          </cell>
          <cell r="G45">
            <v>31.364200000000004</v>
          </cell>
          <cell r="H45">
            <v>32.146800000000006</v>
          </cell>
          <cell r="I45">
            <v>33.014250000000004</v>
          </cell>
          <cell r="J45">
            <v>33.40925</v>
          </cell>
          <cell r="K45">
            <v>33.781850000000006</v>
          </cell>
          <cell r="L45">
            <v>34.249950000000005</v>
          </cell>
          <cell r="M45">
            <v>34.577400000000004</v>
          </cell>
          <cell r="N45">
            <v>34.939800000000005</v>
          </cell>
          <cell r="O45">
            <v>35.496500000000005</v>
          </cell>
          <cell r="P45">
            <v>36.000300000000003</v>
          </cell>
          <cell r="Q45">
            <v>36.618300000000005</v>
          </cell>
          <cell r="R45">
            <v>37.141200000000005</v>
          </cell>
          <cell r="S45">
            <v>37.713799999999999</v>
          </cell>
          <cell r="T45">
            <v>38.296050000000001</v>
          </cell>
          <cell r="U45">
            <v>38.960850000000008</v>
          </cell>
          <cell r="V45">
            <v>39.562000000000005</v>
          </cell>
          <cell r="W45">
            <v>40.170600000000007</v>
          </cell>
          <cell r="X45">
            <v>40.760200000000005</v>
          </cell>
          <cell r="Y45">
            <v>41.37670784200386</v>
          </cell>
          <cell r="Z45">
            <v>42.002540513602568</v>
          </cell>
          <cell r="AA45">
            <v>42.637839055089621</v>
          </cell>
          <cell r="AB45">
            <v>43.2827466400269</v>
          </cell>
          <cell r="AC45">
            <v>43.937408607510925</v>
          </cell>
          <cell r="AD45">
            <v>44.601972494927026</v>
          </cell>
          <cell r="AE45">
            <v>45.276588071199029</v>
          </cell>
          <cell r="AF45">
            <v>45.961407370541821</v>
          </cell>
          <cell r="AG45">
            <v>46.656584726724383</v>
          </cell>
          <cell r="AH45">
            <v>47.362276807851131</v>
          </cell>
        </row>
        <row r="46">
          <cell r="A46" t="str">
            <v>Sales Support (MEG)</v>
          </cell>
          <cell r="B46">
            <v>0</v>
          </cell>
          <cell r="C46">
            <v>0</v>
          </cell>
          <cell r="D46" t="str">
            <v>$/ton</v>
          </cell>
          <cell r="E46">
            <v>12.949374899999999</v>
          </cell>
          <cell r="F46">
            <v>12.289139999999998</v>
          </cell>
          <cell r="G46">
            <v>14.25456</v>
          </cell>
          <cell r="H46">
            <v>13.200480000000001</v>
          </cell>
          <cell r="I46">
            <v>13.567049999999998</v>
          </cell>
          <cell r="J46">
            <v>13.711829999999999</v>
          </cell>
          <cell r="K46">
            <v>13.84653</v>
          </cell>
          <cell r="L46">
            <v>14.00652</v>
          </cell>
          <cell r="M46">
            <v>14.181570000000001</v>
          </cell>
          <cell r="N46">
            <v>14.310449999999999</v>
          </cell>
          <cell r="O46">
            <v>14.5161</v>
          </cell>
          <cell r="P46">
            <v>14.725619999999999</v>
          </cell>
          <cell r="Q46">
            <v>14.96748</v>
          </cell>
          <cell r="R46">
            <v>15.184800000000001</v>
          </cell>
          <cell r="S46">
            <v>15.478079999999999</v>
          </cell>
          <cell r="T46">
            <v>15.69204</v>
          </cell>
          <cell r="U46">
            <v>15.952590000000001</v>
          </cell>
          <cell r="V46">
            <v>16.217400000000001</v>
          </cell>
          <cell r="W46">
            <v>16.4862</v>
          </cell>
          <cell r="X46">
            <v>16.700579999999999</v>
          </cell>
          <cell r="Y46">
            <v>16.925214561971831</v>
          </cell>
          <cell r="Z46">
            <v>17.152870616995536</v>
          </cell>
          <cell r="AA46">
            <v>17.383588806280478</v>
          </cell>
          <cell r="AB46">
            <v>17.617410317688893</v>
          </cell>
          <cell r="AC46">
            <v>17.854376893088794</v>
          </cell>
          <cell r="AD46">
            <v>18.784209224817129</v>
          </cell>
          <cell r="AE46">
            <v>19.15461403590524</v>
          </cell>
          <cell r="AF46">
            <v>19.531798956782254</v>
          </cell>
          <cell r="AG46">
            <v>19.915871489930669</v>
          </cell>
          <cell r="AH46">
            <v>20.306940275388524</v>
          </cell>
        </row>
        <row r="47">
          <cell r="A47" t="str">
            <v>Sales Support (Styrene)</v>
          </cell>
          <cell r="B47">
            <v>0</v>
          </cell>
          <cell r="C47">
            <v>0</v>
          </cell>
          <cell r="D47" t="str">
            <v>$/ton</v>
          </cell>
          <cell r="E47">
            <v>14.783849999999999</v>
          </cell>
          <cell r="F47">
            <v>12.319709999999999</v>
          </cell>
          <cell r="G47">
            <v>17.161739999999998</v>
          </cell>
          <cell r="H47">
            <v>17.39772</v>
          </cell>
          <cell r="I47">
            <v>17.640449999999998</v>
          </cell>
          <cell r="J47">
            <v>17.788319999999999</v>
          </cell>
          <cell r="K47">
            <v>18.024660000000001</v>
          </cell>
          <cell r="L47">
            <v>18.286290000000001</v>
          </cell>
          <cell r="M47">
            <v>18.53397</v>
          </cell>
          <cell r="N47">
            <v>18.808020000000003</v>
          </cell>
          <cell r="O47">
            <v>19.126199999999997</v>
          </cell>
          <cell r="P47">
            <v>19.451879999999999</v>
          </cell>
          <cell r="Q47">
            <v>19.809899999999999</v>
          </cell>
          <cell r="R47">
            <v>20.191680000000002</v>
          </cell>
          <cell r="S47">
            <v>20.525279999999999</v>
          </cell>
          <cell r="T47">
            <v>20.908349999999999</v>
          </cell>
          <cell r="U47">
            <v>21.299579999999999</v>
          </cell>
          <cell r="V47">
            <v>21.698699999999999</v>
          </cell>
          <cell r="W47">
            <v>22.105439999999998</v>
          </cell>
          <cell r="X47">
            <v>22.50534</v>
          </cell>
          <cell r="Y47">
            <v>22.922587112394957</v>
          </cell>
          <cell r="Z47">
            <v>23.347569951190934</v>
          </cell>
          <cell r="AA47">
            <v>23.780431936105341</v>
          </cell>
          <cell r="AB47">
            <v>24.221319145845101</v>
          </cell>
          <cell r="AC47">
            <v>24.670380367404093</v>
          </cell>
          <cell r="AD47">
            <v>25.117452178491529</v>
          </cell>
          <cell r="AE47">
            <v>25.567342989755481</v>
          </cell>
          <cell r="AF47">
            <v>26.025292012521998</v>
          </cell>
          <cell r="AG47">
            <v>26.491443581307347</v>
          </cell>
          <cell r="AH47">
            <v>26.965944615873006</v>
          </cell>
        </row>
        <row r="48">
          <cell r="A48" t="str">
            <v>LLDPE price (Western Europe)</v>
          </cell>
          <cell r="B48">
            <v>0</v>
          </cell>
          <cell r="C48">
            <v>0</v>
          </cell>
          <cell r="D48" t="str">
            <v>$/ton</v>
          </cell>
          <cell r="E48">
            <v>623.77266671155905</v>
          </cell>
          <cell r="F48">
            <v>640.02978399268511</v>
          </cell>
          <cell r="G48">
            <v>627.34633444320423</v>
          </cell>
          <cell r="H48">
            <v>635.86551514896905</v>
          </cell>
          <cell r="I48">
            <v>633.51709875493214</v>
          </cell>
          <cell r="J48">
            <v>641.18641724338329</v>
          </cell>
          <cell r="K48">
            <v>649.86760728656941</v>
          </cell>
          <cell r="L48">
            <v>657.87986305880293</v>
          </cell>
          <cell r="M48">
            <v>687.70567510775834</v>
          </cell>
          <cell r="N48">
            <v>696.95216420479846</v>
          </cell>
          <cell r="O48">
            <v>709.64221079593221</v>
          </cell>
          <cell r="P48">
            <v>721.791848865926</v>
          </cell>
          <cell r="Q48">
            <v>734.0430353444757</v>
          </cell>
          <cell r="R48">
            <v>746.98656513890705</v>
          </cell>
          <cell r="S48">
            <v>759.04804488098137</v>
          </cell>
          <cell r="T48">
            <v>772.43386986249266</v>
          </cell>
          <cell r="U48">
            <v>785.98212635551852</v>
          </cell>
          <cell r="V48">
            <v>799.97670010011939</v>
          </cell>
          <cell r="W48">
            <v>814.29517281285587</v>
          </cell>
          <cell r="X48">
            <v>828.40877348461947</v>
          </cell>
          <cell r="Y48">
            <v>843.12916054936306</v>
          </cell>
          <cell r="Z48">
            <v>858.10104172724584</v>
          </cell>
          <cell r="AA48">
            <v>873.32841939239927</v>
          </cell>
          <cell r="AB48">
            <v>888.8153507186795</v>
          </cell>
          <cell r="AC48">
            <v>904.5659481423636</v>
          </cell>
          <cell r="AD48">
            <v>920.58437981796931</v>
          </cell>
          <cell r="AE48">
            <v>936.87487006664117</v>
          </cell>
          <cell r="AF48">
            <v>953.44169981653147</v>
          </cell>
          <cell r="AG48">
            <v>970.28920703457686</v>
          </cell>
          <cell r="AH48">
            <v>987.42178714904992</v>
          </cell>
        </row>
        <row r="49">
          <cell r="A49" t="str">
            <v>LLDPE price (East Asia)</v>
          </cell>
          <cell r="B49">
            <v>0</v>
          </cell>
          <cell r="C49">
            <v>0</v>
          </cell>
          <cell r="D49" t="str">
            <v>$/ton</v>
          </cell>
          <cell r="E49">
            <v>549.74749999999995</v>
          </cell>
          <cell r="F49">
            <v>524.85632999999996</v>
          </cell>
          <cell r="G49">
            <v>636.76620000000003</v>
          </cell>
          <cell r="H49">
            <v>651.61883999999998</v>
          </cell>
          <cell r="I49">
            <v>669.15449999999998</v>
          </cell>
          <cell r="J49">
            <v>677.55081999999993</v>
          </cell>
          <cell r="K49">
            <v>685.51258000000007</v>
          </cell>
          <cell r="L49">
            <v>694.18340999999998</v>
          </cell>
          <cell r="M49">
            <v>724.19100000000003</v>
          </cell>
          <cell r="N49">
            <v>732.24900000000002</v>
          </cell>
          <cell r="O49">
            <v>742.95</v>
          </cell>
          <cell r="P49">
            <v>755.16000000000008</v>
          </cell>
          <cell r="Q49">
            <v>767.05000000000007</v>
          </cell>
          <cell r="R49">
            <v>779.7600000000001</v>
          </cell>
          <cell r="S49">
            <v>792.13</v>
          </cell>
          <cell r="T49">
            <v>804.72</v>
          </cell>
          <cell r="U49">
            <v>818.98800000000006</v>
          </cell>
          <cell r="V49">
            <v>832.01</v>
          </cell>
          <cell r="W49">
            <v>845.20799999999997</v>
          </cell>
          <cell r="X49">
            <v>858.02600000000007</v>
          </cell>
          <cell r="Y49">
            <v>871.42283452380957</v>
          </cell>
          <cell r="Z49">
            <v>885.02884123500996</v>
          </cell>
          <cell r="AA49">
            <v>898.84728605465909</v>
          </cell>
          <cell r="AB49">
            <v>912.88148589644652</v>
          </cell>
          <cell r="AC49">
            <v>927.13480946286973</v>
          </cell>
          <cell r="AD49">
            <v>941.61067805384187</v>
          </cell>
          <cell r="AE49">
            <v>956.31256638792399</v>
          </cell>
          <cell r="AF49">
            <v>971.2440034363799</v>
          </cell>
          <cell r="AG49">
            <v>986.40857327025356</v>
          </cell>
          <cell r="AH49">
            <v>1001.8099159206726</v>
          </cell>
        </row>
        <row r="50">
          <cell r="A50" t="str">
            <v>LLDPE price (West Asia)</v>
          </cell>
          <cell r="B50">
            <v>0</v>
          </cell>
          <cell r="C50">
            <v>0</v>
          </cell>
          <cell r="D50" t="str">
            <v>$/ton</v>
          </cell>
          <cell r="E50">
            <v>549.74749999999995</v>
          </cell>
          <cell r="F50">
            <v>524.85632999999996</v>
          </cell>
          <cell r="G50">
            <v>636.76620000000003</v>
          </cell>
          <cell r="H50">
            <v>651.61883999999998</v>
          </cell>
          <cell r="I50">
            <v>669.15449999999998</v>
          </cell>
          <cell r="J50">
            <v>677.55081999999993</v>
          </cell>
          <cell r="K50">
            <v>685.51258000000007</v>
          </cell>
          <cell r="L50">
            <v>694.18340999999998</v>
          </cell>
          <cell r="M50">
            <v>724.19100000000003</v>
          </cell>
          <cell r="N50">
            <v>732.24900000000002</v>
          </cell>
          <cell r="O50">
            <v>742.95</v>
          </cell>
          <cell r="P50">
            <v>755.16000000000008</v>
          </cell>
          <cell r="Q50">
            <v>767.05000000000007</v>
          </cell>
          <cell r="R50">
            <v>779.7600000000001</v>
          </cell>
          <cell r="S50">
            <v>792.13</v>
          </cell>
          <cell r="T50">
            <v>804.72</v>
          </cell>
          <cell r="U50">
            <v>818.98800000000006</v>
          </cell>
          <cell r="V50">
            <v>832.01</v>
          </cell>
          <cell r="W50">
            <v>845.20799999999997</v>
          </cell>
          <cell r="X50">
            <v>858.02600000000007</v>
          </cell>
          <cell r="Y50">
            <v>871.42283452380957</v>
          </cell>
          <cell r="Z50">
            <v>885.02884123500996</v>
          </cell>
          <cell r="AA50">
            <v>898.84728605465909</v>
          </cell>
          <cell r="AB50">
            <v>912.88148589644652</v>
          </cell>
          <cell r="AC50">
            <v>927.13480946286973</v>
          </cell>
          <cell r="AD50">
            <v>941.61067805384187</v>
          </cell>
          <cell r="AE50">
            <v>956.31256638792399</v>
          </cell>
          <cell r="AF50">
            <v>971.2440034363799</v>
          </cell>
          <cell r="AG50">
            <v>986.40857327025356</v>
          </cell>
          <cell r="AH50">
            <v>1001.8099159206726</v>
          </cell>
        </row>
        <row r="51">
          <cell r="A51" t="str">
            <v>LLDPE price (Iran)</v>
          </cell>
          <cell r="B51">
            <v>0</v>
          </cell>
          <cell r="C51">
            <v>0</v>
          </cell>
          <cell r="D51" t="str">
            <v>$/ton</v>
          </cell>
          <cell r="E51">
            <v>549.74749999999995</v>
          </cell>
          <cell r="F51">
            <v>524.85632999999996</v>
          </cell>
          <cell r="G51">
            <v>636.76620000000003</v>
          </cell>
          <cell r="H51">
            <v>651.61883999999998</v>
          </cell>
          <cell r="I51">
            <v>669.15449999999998</v>
          </cell>
          <cell r="J51">
            <v>677.55081999999993</v>
          </cell>
          <cell r="K51">
            <v>685.51258000000007</v>
          </cell>
          <cell r="L51">
            <v>694.18340999999998</v>
          </cell>
          <cell r="M51">
            <v>724.19100000000003</v>
          </cell>
          <cell r="N51">
            <v>732.24900000000002</v>
          </cell>
          <cell r="O51">
            <v>742.95</v>
          </cell>
          <cell r="P51">
            <v>755.16000000000008</v>
          </cell>
          <cell r="Q51">
            <v>767.05000000000007</v>
          </cell>
          <cell r="R51">
            <v>779.7600000000001</v>
          </cell>
          <cell r="S51">
            <v>792.13</v>
          </cell>
          <cell r="T51">
            <v>804.72</v>
          </cell>
          <cell r="U51">
            <v>818.98800000000006</v>
          </cell>
          <cell r="V51">
            <v>832.01</v>
          </cell>
          <cell r="W51">
            <v>845.20799999999997</v>
          </cell>
          <cell r="X51">
            <v>858.02600000000007</v>
          </cell>
          <cell r="Y51">
            <v>871.42283452380957</v>
          </cell>
          <cell r="Z51">
            <v>885.02884123500996</v>
          </cell>
          <cell r="AA51">
            <v>898.84728605465909</v>
          </cell>
          <cell r="AB51">
            <v>912.88148589644652</v>
          </cell>
          <cell r="AC51">
            <v>927.13480946286973</v>
          </cell>
          <cell r="AD51">
            <v>941.61067805384187</v>
          </cell>
          <cell r="AE51">
            <v>956.31256638792399</v>
          </cell>
          <cell r="AF51">
            <v>971.2440034363799</v>
          </cell>
          <cell r="AG51">
            <v>986.40857327025356</v>
          </cell>
          <cell r="AH51">
            <v>1001.8099159206726</v>
          </cell>
        </row>
        <row r="52">
          <cell r="A52" t="str">
            <v>HDPE price (Western Europe)</v>
          </cell>
          <cell r="B52">
            <v>0</v>
          </cell>
          <cell r="C52">
            <v>0</v>
          </cell>
          <cell r="D52" t="str">
            <v>$/ton</v>
          </cell>
          <cell r="E52">
            <v>710.47582374822866</v>
          </cell>
          <cell r="F52">
            <v>646.76540813299584</v>
          </cell>
          <cell r="G52">
            <v>633.96608778763573</v>
          </cell>
          <cell r="H52">
            <v>642.58258064594872</v>
          </cell>
          <cell r="I52">
            <v>640.22330870601218</v>
          </cell>
          <cell r="J52">
            <v>647.9824670444159</v>
          </cell>
          <cell r="K52">
            <v>656.763798109915</v>
          </cell>
          <cell r="L52">
            <v>664.86968801856585</v>
          </cell>
          <cell r="M52">
            <v>695.02131343273174</v>
          </cell>
          <cell r="N52">
            <v>704.37531204646177</v>
          </cell>
          <cell r="O52">
            <v>717.20787474650251</v>
          </cell>
          <cell r="P52">
            <v>729.49520593423961</v>
          </cell>
          <cell r="Q52">
            <v>741.8853159858279</v>
          </cell>
          <cell r="R52">
            <v>754.97566687474807</v>
          </cell>
          <cell r="S52">
            <v>767.17537561769859</v>
          </cell>
          <cell r="T52">
            <v>780.71328773578159</v>
          </cell>
          <cell r="U52">
            <v>794.41588044057153</v>
          </cell>
          <cell r="V52">
            <v>808.56988840630311</v>
          </cell>
          <cell r="W52">
            <v>823.05167924347916</v>
          </cell>
          <cell r="X52">
            <v>837.32680459758592</v>
          </cell>
          <cell r="Y52">
            <v>852.21570455409187</v>
          </cell>
          <cell r="Z52">
            <v>867.35928280131304</v>
          </cell>
          <cell r="AA52">
            <v>882.76160188080587</v>
          </cell>
          <cell r="AB52">
            <v>898.42678027076079</v>
          </cell>
          <cell r="AC52">
            <v>914.35899287017992</v>
          </cell>
          <cell r="AD52">
            <v>930.56247147658655</v>
          </cell>
          <cell r="AE52">
            <v>947.04150525671332</v>
          </cell>
          <cell r="AF52">
            <v>963.80044120960645</v>
          </cell>
          <cell r="AG52">
            <v>980.84368462155533</v>
          </cell>
          <cell r="AH52">
            <v>998.17569951223538</v>
          </cell>
        </row>
        <row r="53">
          <cell r="A53" t="str">
            <v>HDPE price (East Asia)</v>
          </cell>
          <cell r="B53">
            <v>0</v>
          </cell>
          <cell r="C53">
            <v>0</v>
          </cell>
          <cell r="D53" t="str">
            <v>$/ton</v>
          </cell>
          <cell r="E53">
            <v>560.88310000000001</v>
          </cell>
          <cell r="F53">
            <v>497.1802899999999</v>
          </cell>
          <cell r="G53">
            <v>608.46547999999996</v>
          </cell>
          <cell r="H53">
            <v>623.64792</v>
          </cell>
          <cell r="I53">
            <v>640.47645</v>
          </cell>
          <cell r="J53">
            <v>648.1394499999999</v>
          </cell>
          <cell r="K53">
            <v>655.36788999999999</v>
          </cell>
          <cell r="L53">
            <v>664.44902999999999</v>
          </cell>
          <cell r="M53">
            <v>691.548</v>
          </cell>
          <cell r="N53">
            <v>698.79600000000005</v>
          </cell>
          <cell r="O53">
            <v>709.93000000000006</v>
          </cell>
          <cell r="P53">
            <v>720.00599999999997</v>
          </cell>
          <cell r="Q53">
            <v>732.36599999999999</v>
          </cell>
          <cell r="R53">
            <v>742.82400000000007</v>
          </cell>
          <cell r="S53">
            <v>754.27599999999995</v>
          </cell>
          <cell r="T53">
            <v>765.92100000000005</v>
          </cell>
          <cell r="U53">
            <v>779.2170000000001</v>
          </cell>
          <cell r="V53">
            <v>791.24</v>
          </cell>
          <cell r="W53">
            <v>803.41200000000003</v>
          </cell>
          <cell r="X53">
            <v>815.20400000000006</v>
          </cell>
          <cell r="Y53">
            <v>827.53415684007712</v>
          </cell>
          <cell r="Z53">
            <v>840.05081027205131</v>
          </cell>
          <cell r="AA53">
            <v>852.75678110179228</v>
          </cell>
          <cell r="AB53">
            <v>865.65493280053795</v>
          </cell>
          <cell r="AC53">
            <v>878.74817215021847</v>
          </cell>
          <cell r="AD53">
            <v>892.0394498985404</v>
          </cell>
          <cell r="AE53">
            <v>905.53176142398058</v>
          </cell>
          <cell r="AF53">
            <v>919.22814741083641</v>
          </cell>
          <cell r="AG53">
            <v>933.13169453448756</v>
          </cell>
          <cell r="AH53">
            <v>947.24553615702268</v>
          </cell>
        </row>
        <row r="54">
          <cell r="A54" t="str">
            <v>HDPE price (West Asia)</v>
          </cell>
          <cell r="B54">
            <v>0</v>
          </cell>
          <cell r="C54">
            <v>0</v>
          </cell>
          <cell r="D54" t="str">
            <v>$/ton</v>
          </cell>
          <cell r="E54">
            <v>560.88310000000001</v>
          </cell>
          <cell r="F54">
            <v>497.1802899999999</v>
          </cell>
          <cell r="G54">
            <v>608.46547999999996</v>
          </cell>
          <cell r="H54">
            <v>623.64792</v>
          </cell>
          <cell r="I54">
            <v>640.47645</v>
          </cell>
          <cell r="J54">
            <v>648.1394499999999</v>
          </cell>
          <cell r="K54">
            <v>655.36788999999999</v>
          </cell>
          <cell r="L54">
            <v>664.44902999999999</v>
          </cell>
          <cell r="M54">
            <v>691.548</v>
          </cell>
          <cell r="N54">
            <v>698.79600000000005</v>
          </cell>
          <cell r="O54">
            <v>709.93000000000006</v>
          </cell>
          <cell r="P54">
            <v>720.00599999999997</v>
          </cell>
          <cell r="Q54">
            <v>732.36599999999999</v>
          </cell>
          <cell r="R54">
            <v>742.82400000000007</v>
          </cell>
          <cell r="S54">
            <v>754.27599999999995</v>
          </cell>
          <cell r="T54">
            <v>765.92100000000005</v>
          </cell>
          <cell r="U54">
            <v>779.2170000000001</v>
          </cell>
          <cell r="V54">
            <v>791.24</v>
          </cell>
          <cell r="W54">
            <v>803.41200000000003</v>
          </cell>
          <cell r="X54">
            <v>815.20400000000006</v>
          </cell>
          <cell r="Y54">
            <v>827.53415684007712</v>
          </cell>
          <cell r="Z54">
            <v>840.05081027205131</v>
          </cell>
          <cell r="AA54">
            <v>852.75678110179228</v>
          </cell>
          <cell r="AB54">
            <v>865.65493280053795</v>
          </cell>
          <cell r="AC54">
            <v>878.74817215021847</v>
          </cell>
          <cell r="AD54">
            <v>892.0394498985404</v>
          </cell>
          <cell r="AE54">
            <v>905.53176142398058</v>
          </cell>
          <cell r="AF54">
            <v>919.22814741083641</v>
          </cell>
          <cell r="AG54">
            <v>933.13169453448756</v>
          </cell>
          <cell r="AH54">
            <v>947.24553615702268</v>
          </cell>
        </row>
        <row r="55">
          <cell r="A55" t="str">
            <v>HDPE price (Iran)</v>
          </cell>
          <cell r="B55">
            <v>0</v>
          </cell>
          <cell r="C55">
            <v>0</v>
          </cell>
          <cell r="D55" t="str">
            <v>$/ton</v>
          </cell>
          <cell r="E55">
            <v>560.88310000000001</v>
          </cell>
          <cell r="F55">
            <v>497.1802899999999</v>
          </cell>
          <cell r="G55">
            <v>608.46547999999996</v>
          </cell>
          <cell r="H55">
            <v>623.64792</v>
          </cell>
          <cell r="I55">
            <v>640.47645</v>
          </cell>
          <cell r="J55">
            <v>648.1394499999999</v>
          </cell>
          <cell r="K55">
            <v>655.36788999999999</v>
          </cell>
          <cell r="L55">
            <v>664.44902999999999</v>
          </cell>
          <cell r="M55">
            <v>691.548</v>
          </cell>
          <cell r="N55">
            <v>698.79600000000005</v>
          </cell>
          <cell r="O55">
            <v>709.93000000000006</v>
          </cell>
          <cell r="P55">
            <v>720.00599999999997</v>
          </cell>
          <cell r="Q55">
            <v>732.36599999999999</v>
          </cell>
          <cell r="R55">
            <v>742.82400000000007</v>
          </cell>
          <cell r="S55">
            <v>754.27599999999995</v>
          </cell>
          <cell r="T55">
            <v>765.92100000000005</v>
          </cell>
          <cell r="U55">
            <v>779.2170000000001</v>
          </cell>
          <cell r="V55">
            <v>791.24</v>
          </cell>
          <cell r="W55">
            <v>803.41200000000003</v>
          </cell>
          <cell r="X55">
            <v>815.20400000000006</v>
          </cell>
          <cell r="Y55">
            <v>827.53415684007712</v>
          </cell>
          <cell r="Z55">
            <v>840.05081027205131</v>
          </cell>
          <cell r="AA55">
            <v>852.75678110179228</v>
          </cell>
          <cell r="AB55">
            <v>865.65493280053795</v>
          </cell>
          <cell r="AC55">
            <v>878.74817215021847</v>
          </cell>
          <cell r="AD55">
            <v>892.0394498985404</v>
          </cell>
          <cell r="AE55">
            <v>905.53176142398058</v>
          </cell>
          <cell r="AF55">
            <v>919.22814741083641</v>
          </cell>
          <cell r="AG55">
            <v>933.13169453448756</v>
          </cell>
          <cell r="AH55">
            <v>947.24553615702268</v>
          </cell>
        </row>
        <row r="56">
          <cell r="A56" t="str">
            <v>MEG price (Western Europe)</v>
          </cell>
          <cell r="B56">
            <v>0</v>
          </cell>
          <cell r="C56">
            <v>0</v>
          </cell>
          <cell r="D56" t="str">
            <v>$/ton</v>
          </cell>
          <cell r="E56">
            <v>484.16326052190362</v>
          </cell>
          <cell r="F56">
            <v>479.73806619966626</v>
          </cell>
          <cell r="G56">
            <v>466.09303650331174</v>
          </cell>
          <cell r="H56">
            <v>473.50223528434793</v>
          </cell>
          <cell r="I56">
            <v>472.95603625930096</v>
          </cell>
          <cell r="J56">
            <v>479.99094124938068</v>
          </cell>
          <cell r="K56">
            <v>487.30418643045442</v>
          </cell>
          <cell r="L56">
            <v>494.24702588464498</v>
          </cell>
          <cell r="M56">
            <v>517.54757332743452</v>
          </cell>
          <cell r="N56">
            <v>525.44695523748794</v>
          </cell>
          <cell r="O56">
            <v>535.71741555355686</v>
          </cell>
          <cell r="P56">
            <v>545.77190434657768</v>
          </cell>
          <cell r="Q56">
            <v>555.88661259770072</v>
          </cell>
          <cell r="R56">
            <v>566.59910882585132</v>
          </cell>
          <cell r="S56">
            <v>576.80097776295861</v>
          </cell>
          <cell r="T56">
            <v>587.87144234722132</v>
          </cell>
          <cell r="U56">
            <v>599.13571767130463</v>
          </cell>
          <cell r="V56">
            <v>610.7590788611634</v>
          </cell>
          <cell r="W56">
            <v>622.67076125130927</v>
          </cell>
          <cell r="X56">
            <v>634.46736870155826</v>
          </cell>
          <cell r="Y56">
            <v>646.75324600086162</v>
          </cell>
          <cell r="Z56">
            <v>659.25687505969177</v>
          </cell>
          <cell r="AA56">
            <v>671.9814647927127</v>
          </cell>
          <cell r="AB56">
            <v>684.93024846547235</v>
          </cell>
          <cell r="AC56">
            <v>698.10648290637471</v>
          </cell>
          <cell r="AD56">
            <v>711.5134476640311</v>
          </cell>
          <cell r="AE56">
            <v>725.15444410775399</v>
          </cell>
          <cell r="AF56">
            <v>739.03279446887291</v>
          </cell>
          <cell r="AG56">
            <v>753.15184082048063</v>
          </cell>
          <cell r="AH56">
            <v>767.51494399312548</v>
          </cell>
        </row>
        <row r="57">
          <cell r="A57" t="str">
            <v>MEG price (East Asia)</v>
          </cell>
          <cell r="B57">
            <v>0</v>
          </cell>
          <cell r="C57">
            <v>0</v>
          </cell>
          <cell r="D57" t="str">
            <v>$/ton</v>
          </cell>
          <cell r="E57">
            <v>418.69645509999998</v>
          </cell>
          <cell r="F57">
            <v>397.34885999999995</v>
          </cell>
          <cell r="G57">
            <v>460.89744000000002</v>
          </cell>
          <cell r="H57">
            <v>426.81551999999999</v>
          </cell>
          <cell r="I57">
            <v>438.66795000000002</v>
          </cell>
          <cell r="J57">
            <v>443.34916999999996</v>
          </cell>
          <cell r="K57">
            <v>447.70446999999996</v>
          </cell>
          <cell r="L57">
            <v>452.87747999999999</v>
          </cell>
          <cell r="M57">
            <v>472.71900000000005</v>
          </cell>
          <cell r="N57">
            <v>477.01500000000004</v>
          </cell>
          <cell r="O57">
            <v>483.87</v>
          </cell>
          <cell r="P57">
            <v>490.85400000000004</v>
          </cell>
          <cell r="Q57">
            <v>498.91600000000005</v>
          </cell>
          <cell r="R57">
            <v>506.16</v>
          </cell>
          <cell r="S57">
            <v>515.93599999999992</v>
          </cell>
          <cell r="T57">
            <v>523.06799999999998</v>
          </cell>
          <cell r="U57">
            <v>531.75300000000004</v>
          </cell>
          <cell r="V57">
            <v>540.58000000000004</v>
          </cell>
          <cell r="W57">
            <v>549.54</v>
          </cell>
          <cell r="X57">
            <v>556.68600000000004</v>
          </cell>
          <cell r="Y57">
            <v>564.17381873239435</v>
          </cell>
          <cell r="Z57">
            <v>571.76235389985129</v>
          </cell>
          <cell r="AA57">
            <v>579.45296020934916</v>
          </cell>
          <cell r="AB57">
            <v>587.24701058962989</v>
          </cell>
          <cell r="AC57">
            <v>595.14589643629313</v>
          </cell>
          <cell r="AD57">
            <v>626.14030749390429</v>
          </cell>
          <cell r="AE57">
            <v>638.48713453017479</v>
          </cell>
          <cell r="AF57">
            <v>651.05996522607506</v>
          </cell>
          <cell r="AG57">
            <v>663.86238299768911</v>
          </cell>
          <cell r="AH57">
            <v>676.89800917961747</v>
          </cell>
        </row>
        <row r="58">
          <cell r="A58" t="str">
            <v>MEG price (West Asia)</v>
          </cell>
          <cell r="B58">
            <v>0</v>
          </cell>
          <cell r="C58">
            <v>0</v>
          </cell>
          <cell r="D58" t="str">
            <v>$/ton</v>
          </cell>
          <cell r="E58">
            <v>418.69645509999998</v>
          </cell>
          <cell r="F58">
            <v>397.34885999999995</v>
          </cell>
          <cell r="G58">
            <v>460.89744000000002</v>
          </cell>
          <cell r="H58">
            <v>426.81551999999999</v>
          </cell>
          <cell r="I58">
            <v>438.66795000000002</v>
          </cell>
          <cell r="J58">
            <v>443.34916999999996</v>
          </cell>
          <cell r="K58">
            <v>447.70446999999996</v>
          </cell>
          <cell r="L58">
            <v>452.87747999999999</v>
          </cell>
          <cell r="M58">
            <v>472.71900000000005</v>
          </cell>
          <cell r="N58">
            <v>477.01500000000004</v>
          </cell>
          <cell r="O58">
            <v>483.87</v>
          </cell>
          <cell r="P58">
            <v>490.85400000000004</v>
          </cell>
          <cell r="Q58">
            <v>498.91600000000005</v>
          </cell>
          <cell r="R58">
            <v>506.16</v>
          </cell>
          <cell r="S58">
            <v>515.93599999999992</v>
          </cell>
          <cell r="T58">
            <v>523.06799999999998</v>
          </cell>
          <cell r="U58">
            <v>531.75300000000004</v>
          </cell>
          <cell r="V58">
            <v>540.58000000000004</v>
          </cell>
          <cell r="W58">
            <v>549.54</v>
          </cell>
          <cell r="X58">
            <v>556.68600000000004</v>
          </cell>
          <cell r="Y58">
            <v>564.17381873239435</v>
          </cell>
          <cell r="Z58">
            <v>571.76235389985129</v>
          </cell>
          <cell r="AA58">
            <v>579.45296020934916</v>
          </cell>
          <cell r="AB58">
            <v>587.24701058962989</v>
          </cell>
          <cell r="AC58">
            <v>595.14589643629313</v>
          </cell>
          <cell r="AD58">
            <v>626.14030749390429</v>
          </cell>
          <cell r="AE58">
            <v>638.48713453017479</v>
          </cell>
          <cell r="AF58">
            <v>651.05996522607506</v>
          </cell>
          <cell r="AG58">
            <v>663.86238299768911</v>
          </cell>
          <cell r="AH58">
            <v>676.89800917961747</v>
          </cell>
        </row>
        <row r="59">
          <cell r="A59" t="str">
            <v>MEG price (Iran)</v>
          </cell>
          <cell r="B59">
            <v>0</v>
          </cell>
          <cell r="C59">
            <v>0</v>
          </cell>
          <cell r="D59" t="str">
            <v>$/ton</v>
          </cell>
          <cell r="E59">
            <v>418.69645509999998</v>
          </cell>
          <cell r="F59">
            <v>397.34885999999995</v>
          </cell>
          <cell r="G59">
            <v>460.89744000000002</v>
          </cell>
          <cell r="H59">
            <v>426.81551999999999</v>
          </cell>
          <cell r="I59">
            <v>438.66795000000002</v>
          </cell>
          <cell r="J59">
            <v>443.34916999999996</v>
          </cell>
          <cell r="K59">
            <v>447.70446999999996</v>
          </cell>
          <cell r="L59">
            <v>452.87747999999999</v>
          </cell>
          <cell r="M59">
            <v>472.71900000000005</v>
          </cell>
          <cell r="N59">
            <v>477.01500000000004</v>
          </cell>
          <cell r="O59">
            <v>483.87</v>
          </cell>
          <cell r="P59">
            <v>490.85400000000004</v>
          </cell>
          <cell r="Q59">
            <v>498.91600000000005</v>
          </cell>
          <cell r="R59">
            <v>506.16</v>
          </cell>
          <cell r="S59">
            <v>515.93599999999992</v>
          </cell>
          <cell r="T59">
            <v>523.06799999999998</v>
          </cell>
          <cell r="U59">
            <v>531.75300000000004</v>
          </cell>
          <cell r="V59">
            <v>540.58000000000004</v>
          </cell>
          <cell r="W59">
            <v>549.54</v>
          </cell>
          <cell r="X59">
            <v>556.68600000000004</v>
          </cell>
          <cell r="Y59">
            <v>564.17381873239435</v>
          </cell>
          <cell r="Z59">
            <v>571.76235389985129</v>
          </cell>
          <cell r="AA59">
            <v>579.45296020934916</v>
          </cell>
          <cell r="AB59">
            <v>587.24701058962989</v>
          </cell>
          <cell r="AC59">
            <v>595.14589643629313</v>
          </cell>
          <cell r="AD59">
            <v>626.14030749390429</v>
          </cell>
          <cell r="AE59">
            <v>638.48713453017479</v>
          </cell>
          <cell r="AF59">
            <v>651.05996522607506</v>
          </cell>
          <cell r="AG59">
            <v>663.86238299768911</v>
          </cell>
          <cell r="AH59">
            <v>676.89800917961747</v>
          </cell>
        </row>
        <row r="60">
          <cell r="A60" t="str">
            <v>Styrene price (Western Europe)</v>
          </cell>
          <cell r="B60">
            <v>0</v>
          </cell>
          <cell r="C60">
            <v>0</v>
          </cell>
          <cell r="D60" t="str">
            <v>$/ton</v>
          </cell>
          <cell r="E60">
            <v>587.97210304479756</v>
          </cell>
          <cell r="F60">
            <v>554.49500410845587</v>
          </cell>
          <cell r="G60">
            <v>537.03919011458345</v>
          </cell>
          <cell r="H60">
            <v>548.30309709354185</v>
          </cell>
          <cell r="I60">
            <v>563.74464231134345</v>
          </cell>
          <cell r="J60">
            <v>574.20603240267815</v>
          </cell>
          <cell r="K60">
            <v>582.59132056376382</v>
          </cell>
          <cell r="L60">
            <v>591.08804561476029</v>
          </cell>
          <cell r="M60">
            <v>618.6454608282877</v>
          </cell>
          <cell r="N60">
            <v>627.87278725387137</v>
          </cell>
          <cell r="O60">
            <v>640.42210345864532</v>
          </cell>
          <cell r="P60">
            <v>653.08803443777288</v>
          </cell>
          <cell r="Q60">
            <v>665.71677006608832</v>
          </cell>
          <cell r="R60">
            <v>679.15612927043594</v>
          </cell>
          <cell r="S60">
            <v>692.04581721398461</v>
          </cell>
          <cell r="T60">
            <v>705.8073287701153</v>
          </cell>
          <cell r="U60">
            <v>720.50817130864368</v>
          </cell>
          <cell r="V60">
            <v>735.2020851405598</v>
          </cell>
          <cell r="W60">
            <v>750.26009180149686</v>
          </cell>
          <cell r="X60">
            <v>765.19585133178259</v>
          </cell>
          <cell r="Y60">
            <v>780.75723280308512</v>
          </cell>
          <cell r="Z60">
            <v>796.61843594087031</v>
          </cell>
          <cell r="AA60">
            <v>812.78472596504275</v>
          </cell>
          <cell r="AB60">
            <v>829.26144396796076</v>
          </cell>
          <cell r="AC60">
            <v>846.05400741729659</v>
          </cell>
          <cell r="AD60">
            <v>863.18392945912819</v>
          </cell>
          <cell r="AE60">
            <v>880.65791389606761</v>
          </cell>
          <cell r="AF60">
            <v>898.48279572056185</v>
          </cell>
          <cell r="AG60">
            <v>916.66554362612135</v>
          </cell>
          <cell r="AH60">
            <v>935.21326256504722</v>
          </cell>
        </row>
        <row r="61">
          <cell r="A61" t="str">
            <v>Styrene price (East Asia)</v>
          </cell>
          <cell r="B61">
            <v>0</v>
          </cell>
          <cell r="C61">
            <v>0</v>
          </cell>
          <cell r="D61" t="str">
            <v>$/ton</v>
          </cell>
          <cell r="E61">
            <v>478.01114999999999</v>
          </cell>
          <cell r="F61">
            <v>398.33729</v>
          </cell>
          <cell r="G61">
            <v>554.89625999999998</v>
          </cell>
          <cell r="H61">
            <v>562.52627999999993</v>
          </cell>
          <cell r="I61">
            <v>570.37455</v>
          </cell>
          <cell r="J61">
            <v>575.15567999999996</v>
          </cell>
          <cell r="K61">
            <v>582.79733999999996</v>
          </cell>
          <cell r="L61">
            <v>591.25671</v>
          </cell>
          <cell r="M61">
            <v>617.79900000000009</v>
          </cell>
          <cell r="N61">
            <v>626.93400000000008</v>
          </cell>
          <cell r="O61">
            <v>637.54</v>
          </cell>
          <cell r="P61">
            <v>648.39600000000007</v>
          </cell>
          <cell r="Q61">
            <v>660.33</v>
          </cell>
          <cell r="R61">
            <v>673.05600000000004</v>
          </cell>
          <cell r="S61">
            <v>684.17599999999993</v>
          </cell>
          <cell r="T61">
            <v>696.94500000000005</v>
          </cell>
          <cell r="U61">
            <v>709.98599999999999</v>
          </cell>
          <cell r="V61">
            <v>723.29</v>
          </cell>
          <cell r="W61">
            <v>736.84800000000007</v>
          </cell>
          <cell r="X61">
            <v>750.178</v>
          </cell>
          <cell r="Y61">
            <v>764.0862370798319</v>
          </cell>
          <cell r="Z61">
            <v>778.25233170636454</v>
          </cell>
          <cell r="AA61">
            <v>792.6810645368447</v>
          </cell>
          <cell r="AB61">
            <v>807.37730486150338</v>
          </cell>
          <cell r="AC61">
            <v>822.34601224680307</v>
          </cell>
          <cell r="AD61">
            <v>837.24840594971772</v>
          </cell>
          <cell r="AE61">
            <v>852.24476632518281</v>
          </cell>
          <cell r="AF61">
            <v>867.50973375073329</v>
          </cell>
          <cell r="AG61">
            <v>883.04811937691159</v>
          </cell>
          <cell r="AH61">
            <v>898.86482052910026</v>
          </cell>
        </row>
        <row r="62">
          <cell r="A62" t="str">
            <v>Styrene price (West Asia)</v>
          </cell>
          <cell r="B62">
            <v>0</v>
          </cell>
          <cell r="C62">
            <v>0</v>
          </cell>
          <cell r="D62" t="str">
            <v>$/ton</v>
          </cell>
          <cell r="E62">
            <v>478.01114999999999</v>
          </cell>
          <cell r="F62">
            <v>398.33729</v>
          </cell>
          <cell r="G62">
            <v>554.89625999999998</v>
          </cell>
          <cell r="H62">
            <v>562.52627999999993</v>
          </cell>
          <cell r="I62">
            <v>570.37455</v>
          </cell>
          <cell r="J62">
            <v>575.15567999999996</v>
          </cell>
          <cell r="K62">
            <v>582.79733999999996</v>
          </cell>
          <cell r="L62">
            <v>591.25671</v>
          </cell>
          <cell r="M62">
            <v>617.79900000000009</v>
          </cell>
          <cell r="N62">
            <v>626.93400000000008</v>
          </cell>
          <cell r="O62">
            <v>637.54</v>
          </cell>
          <cell r="P62">
            <v>648.39600000000007</v>
          </cell>
          <cell r="Q62">
            <v>660.33</v>
          </cell>
          <cell r="R62">
            <v>673.05600000000004</v>
          </cell>
          <cell r="S62">
            <v>684.17599999999993</v>
          </cell>
          <cell r="T62">
            <v>696.94500000000005</v>
          </cell>
          <cell r="U62">
            <v>709.98599999999999</v>
          </cell>
          <cell r="V62">
            <v>723.29</v>
          </cell>
          <cell r="W62">
            <v>736.84800000000007</v>
          </cell>
          <cell r="X62">
            <v>750.178</v>
          </cell>
          <cell r="Y62">
            <v>764.0862370798319</v>
          </cell>
          <cell r="Z62">
            <v>778.25233170636454</v>
          </cell>
          <cell r="AA62">
            <v>792.6810645368447</v>
          </cell>
          <cell r="AB62">
            <v>807.37730486150338</v>
          </cell>
          <cell r="AC62">
            <v>822.34601224680307</v>
          </cell>
          <cell r="AD62">
            <v>837.24840594971772</v>
          </cell>
          <cell r="AE62">
            <v>852.24476632518281</v>
          </cell>
          <cell r="AF62">
            <v>867.50973375073329</v>
          </cell>
          <cell r="AG62">
            <v>883.04811937691159</v>
          </cell>
          <cell r="AH62">
            <v>898.86482052910026</v>
          </cell>
        </row>
        <row r="63">
          <cell r="A63" t="str">
            <v>Styrene price (Iran)</v>
          </cell>
          <cell r="B63">
            <v>0</v>
          </cell>
          <cell r="C63">
            <v>0</v>
          </cell>
          <cell r="D63" t="str">
            <v>$/ton</v>
          </cell>
          <cell r="E63">
            <v>478.01114999999999</v>
          </cell>
          <cell r="F63">
            <v>398.33729</v>
          </cell>
          <cell r="G63">
            <v>554.89625999999998</v>
          </cell>
          <cell r="H63">
            <v>562.52627999999993</v>
          </cell>
          <cell r="I63">
            <v>570.37455</v>
          </cell>
          <cell r="J63">
            <v>575.15567999999996</v>
          </cell>
          <cell r="K63">
            <v>582.79733999999996</v>
          </cell>
          <cell r="L63">
            <v>591.25671</v>
          </cell>
          <cell r="M63">
            <v>617.79900000000009</v>
          </cell>
          <cell r="N63">
            <v>626.93400000000008</v>
          </cell>
          <cell r="O63">
            <v>637.54</v>
          </cell>
          <cell r="P63">
            <v>648.39600000000007</v>
          </cell>
          <cell r="Q63">
            <v>660.33</v>
          </cell>
          <cell r="R63">
            <v>673.05600000000004</v>
          </cell>
          <cell r="S63">
            <v>684.17599999999993</v>
          </cell>
          <cell r="T63">
            <v>696.94500000000005</v>
          </cell>
          <cell r="U63">
            <v>709.98599999999999</v>
          </cell>
          <cell r="V63">
            <v>723.29</v>
          </cell>
          <cell r="W63">
            <v>736.84800000000007</v>
          </cell>
          <cell r="X63">
            <v>750.178</v>
          </cell>
          <cell r="Y63">
            <v>764.0862370798319</v>
          </cell>
          <cell r="Z63">
            <v>778.25233170636454</v>
          </cell>
          <cell r="AA63">
            <v>792.6810645368447</v>
          </cell>
          <cell r="AB63">
            <v>807.37730486150338</v>
          </cell>
          <cell r="AC63">
            <v>822.34601224680307</v>
          </cell>
          <cell r="AD63">
            <v>837.24840594971772</v>
          </cell>
          <cell r="AE63">
            <v>852.24476632518281</v>
          </cell>
          <cell r="AF63">
            <v>867.50973375073329</v>
          </cell>
          <cell r="AG63">
            <v>883.04811937691159</v>
          </cell>
          <cell r="AH63">
            <v>898.86482052910026</v>
          </cell>
        </row>
        <row r="64">
          <cell r="A64" t="str">
            <v>Benzene</v>
          </cell>
          <cell r="B64">
            <v>0</v>
          </cell>
          <cell r="C64">
            <v>0</v>
          </cell>
          <cell r="D64" t="str">
            <v>$/ton</v>
          </cell>
          <cell r="E64">
            <v>316.587470472456</v>
          </cell>
          <cell r="F64">
            <v>294.96116730371529</v>
          </cell>
          <cell r="G64">
            <v>278.86411396856647</v>
          </cell>
          <cell r="H64">
            <v>286.90276591460321</v>
          </cell>
          <cell r="I64">
            <v>306.08905690504832</v>
          </cell>
          <cell r="J64">
            <v>313.18128138622689</v>
          </cell>
          <cell r="K64">
            <v>317.38858108555405</v>
          </cell>
          <cell r="L64">
            <v>322.0445481202018</v>
          </cell>
          <cell r="M64">
            <v>326.62485810968576</v>
          </cell>
          <cell r="N64">
            <v>331.27163583777474</v>
          </cell>
          <cell r="O64">
            <v>338.62073746862728</v>
          </cell>
          <cell r="P64">
            <v>346.19968041255549</v>
          </cell>
          <cell r="Q64">
            <v>353.74166101049497</v>
          </cell>
          <cell r="R64">
            <v>361.7761461211291</v>
          </cell>
          <cell r="S64">
            <v>369.48671156452934</v>
          </cell>
          <cell r="T64">
            <v>377.70313882900223</v>
          </cell>
          <cell r="U64">
            <v>386.94872869641864</v>
          </cell>
          <cell r="V64">
            <v>395.90583672046421</v>
          </cell>
          <cell r="W64">
            <v>405.09766940999737</v>
          </cell>
          <cell r="X64">
            <v>414.26213592314485</v>
          </cell>
          <cell r="Y64">
            <v>423.82090473153897</v>
          </cell>
          <cell r="Z64">
            <v>433.60023451620657</v>
          </cell>
          <cell r="AA64">
            <v>443.60521454598853</v>
          </cell>
          <cell r="AB64">
            <v>453.84105152055054</v>
          </cell>
          <cell r="AC64">
            <v>464.31307228000571</v>
          </cell>
          <cell r="AD64">
            <v>475.02672657705966</v>
          </cell>
          <cell r="AE64">
            <v>485.98758991312076</v>
          </cell>
          <cell r="AF64">
            <v>497.20136643985109</v>
          </cell>
          <cell r="AG64">
            <v>508.67389192766905</v>
          </cell>
          <cell r="AH64">
            <v>520.41113680274668</v>
          </cell>
        </row>
        <row r="65">
          <cell r="A65" t="str">
            <v>Land Cost (unit)</v>
          </cell>
          <cell r="B65">
            <v>0</v>
          </cell>
          <cell r="C65">
            <v>0</v>
          </cell>
          <cell r="D65" t="str">
            <v>$/m2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  <cell r="K65">
            <v>2</v>
          </cell>
          <cell r="L65">
            <v>2</v>
          </cell>
          <cell r="M65">
            <v>2</v>
          </cell>
          <cell r="N65">
            <v>2</v>
          </cell>
          <cell r="O65">
            <v>2</v>
          </cell>
          <cell r="P65">
            <v>2</v>
          </cell>
          <cell r="Q65">
            <v>2</v>
          </cell>
          <cell r="R65">
            <v>2</v>
          </cell>
          <cell r="S65">
            <v>2</v>
          </cell>
          <cell r="T65">
            <v>2</v>
          </cell>
          <cell r="U65">
            <v>2</v>
          </cell>
          <cell r="V65">
            <v>2</v>
          </cell>
          <cell r="W65">
            <v>2</v>
          </cell>
          <cell r="X65">
            <v>2</v>
          </cell>
          <cell r="Y65">
            <v>2</v>
          </cell>
          <cell r="Z65">
            <v>2</v>
          </cell>
          <cell r="AA65">
            <v>2</v>
          </cell>
          <cell r="AB65">
            <v>2</v>
          </cell>
          <cell r="AC65">
            <v>2</v>
          </cell>
          <cell r="AD65">
            <v>2</v>
          </cell>
          <cell r="AE65">
            <v>2</v>
          </cell>
          <cell r="AF65">
            <v>2</v>
          </cell>
          <cell r="AG65">
            <v>2</v>
          </cell>
          <cell r="AH65">
            <v>2</v>
          </cell>
        </row>
        <row r="66">
          <cell r="A66" t="str">
            <v>Land Cost</v>
          </cell>
          <cell r="B66">
            <v>0</v>
          </cell>
          <cell r="C66">
            <v>0</v>
          </cell>
          <cell r="D66" t="str">
            <v>$ million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1.7</v>
          </cell>
          <cell r="K66">
            <v>1.7</v>
          </cell>
          <cell r="L66">
            <v>1.7</v>
          </cell>
          <cell r="M66">
            <v>1.7</v>
          </cell>
          <cell r="N66">
            <v>1.7</v>
          </cell>
          <cell r="O66">
            <v>1.7</v>
          </cell>
          <cell r="P66">
            <v>1.7</v>
          </cell>
          <cell r="Q66">
            <v>1.7</v>
          </cell>
          <cell r="R66">
            <v>1.7</v>
          </cell>
          <cell r="S66">
            <v>1.7</v>
          </cell>
          <cell r="T66">
            <v>1.7</v>
          </cell>
          <cell r="U66">
            <v>1.7</v>
          </cell>
          <cell r="V66">
            <v>1.7</v>
          </cell>
          <cell r="W66">
            <v>1.7</v>
          </cell>
          <cell r="X66">
            <v>1.7</v>
          </cell>
          <cell r="Y66">
            <v>1.7</v>
          </cell>
          <cell r="Z66">
            <v>1.7</v>
          </cell>
          <cell r="AA66">
            <v>1.7</v>
          </cell>
          <cell r="AB66">
            <v>1.7</v>
          </cell>
          <cell r="AC66">
            <v>1.7</v>
          </cell>
          <cell r="AD66">
            <v>1.7</v>
          </cell>
          <cell r="AE66">
            <v>1.7</v>
          </cell>
          <cell r="AF66">
            <v>1.7</v>
          </cell>
          <cell r="AG66">
            <v>1.7</v>
          </cell>
          <cell r="AH66">
            <v>1.7</v>
          </cell>
        </row>
        <row r="67">
          <cell r="A67" t="str">
            <v>Handling Cost (Polymers)</v>
          </cell>
          <cell r="B67">
            <v>0</v>
          </cell>
          <cell r="C67">
            <v>0</v>
          </cell>
          <cell r="D67" t="str">
            <v>$/ton</v>
          </cell>
          <cell r="E67">
            <v>5</v>
          </cell>
          <cell r="F67">
            <v>5.0949999999999998</v>
          </cell>
          <cell r="G67">
            <v>5.21</v>
          </cell>
          <cell r="H67">
            <v>5.34</v>
          </cell>
          <cell r="I67">
            <v>5.4749999999999996</v>
          </cell>
          <cell r="J67">
            <v>5.6150000000000002</v>
          </cell>
          <cell r="K67">
            <v>5.7549999999999999</v>
          </cell>
          <cell r="L67">
            <v>5.8950000000000005</v>
          </cell>
          <cell r="M67">
            <v>6.0449999999999999</v>
          </cell>
          <cell r="N67">
            <v>6.1950000000000003</v>
          </cell>
          <cell r="O67">
            <v>6.35</v>
          </cell>
          <cell r="P67">
            <v>6.51</v>
          </cell>
          <cell r="Q67">
            <v>6.67</v>
          </cell>
          <cell r="R67">
            <v>6.8400000000000007</v>
          </cell>
          <cell r="S67">
            <v>7.01</v>
          </cell>
          <cell r="T67">
            <v>7.1850000000000005</v>
          </cell>
          <cell r="U67">
            <v>7.3650000000000002</v>
          </cell>
          <cell r="V67">
            <v>7.55</v>
          </cell>
          <cell r="W67">
            <v>7.74</v>
          </cell>
          <cell r="X67">
            <v>7.9300000000000006</v>
          </cell>
          <cell r="Y67">
            <v>8.1282499999999995</v>
          </cell>
          <cell r="Z67">
            <v>8.3314562500000005</v>
          </cell>
          <cell r="AA67">
            <v>8.5397426562499987</v>
          </cell>
          <cell r="AB67">
            <v>8.7532362226562483</v>
          </cell>
          <cell r="AC67">
            <v>8.972067128222653</v>
          </cell>
          <cell r="AD67">
            <v>9.1963688064282181</v>
          </cell>
          <cell r="AE67">
            <v>9.426278026588923</v>
          </cell>
          <cell r="AF67">
            <v>9.6619349772536438</v>
          </cell>
          <cell r="AG67">
            <v>9.9034833516849847</v>
          </cell>
          <cell r="AH67">
            <v>10.151070435477109</v>
          </cell>
        </row>
        <row r="68">
          <cell r="A68" t="str">
            <v>Handling Cost (Bulk Liquid)</v>
          </cell>
          <cell r="B68">
            <v>0</v>
          </cell>
          <cell r="C68">
            <v>0</v>
          </cell>
          <cell r="D68" t="str">
            <v>$/ton</v>
          </cell>
          <cell r="E68">
            <v>3</v>
          </cell>
          <cell r="F68">
            <v>3.0569999999999995</v>
          </cell>
          <cell r="G68">
            <v>3.1260000000000003</v>
          </cell>
          <cell r="H68">
            <v>3.2040000000000002</v>
          </cell>
          <cell r="I68">
            <v>3.2850000000000001</v>
          </cell>
          <cell r="J68">
            <v>3.3689999999999998</v>
          </cell>
          <cell r="K68">
            <v>3.4530000000000003</v>
          </cell>
          <cell r="L68">
            <v>3.5369999999999999</v>
          </cell>
          <cell r="M68">
            <v>3.6270000000000002</v>
          </cell>
          <cell r="N68">
            <v>3.7170000000000005</v>
          </cell>
          <cell r="O68">
            <v>3.81</v>
          </cell>
          <cell r="P68">
            <v>3.9060000000000001</v>
          </cell>
          <cell r="Q68">
            <v>4.0020000000000007</v>
          </cell>
          <cell r="R68">
            <v>4.1040000000000001</v>
          </cell>
          <cell r="S68">
            <v>4.2059999999999995</v>
          </cell>
          <cell r="T68">
            <v>4.3109999999999999</v>
          </cell>
          <cell r="U68">
            <v>4.4190000000000005</v>
          </cell>
          <cell r="V68">
            <v>4.53</v>
          </cell>
          <cell r="W68">
            <v>4.6440000000000001</v>
          </cell>
          <cell r="X68">
            <v>4.758</v>
          </cell>
          <cell r="Y68">
            <v>4.8769499999999999</v>
          </cell>
          <cell r="Z68">
            <v>4.9988737499999996</v>
          </cell>
          <cell r="AA68">
            <v>5.1238455937499996</v>
          </cell>
          <cell r="AB68">
            <v>5.2519417335937488</v>
          </cell>
          <cell r="AC68">
            <v>5.3832402769335914</v>
          </cell>
          <cell r="AD68">
            <v>5.5178212838569305</v>
          </cell>
          <cell r="AE68">
            <v>5.6557668159533536</v>
          </cell>
          <cell r="AF68">
            <v>5.7971609863521865</v>
          </cell>
          <cell r="AG68">
            <v>5.9420900110109915</v>
          </cell>
          <cell r="AH68">
            <v>6.0906422612862663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 t="str">
            <v>Year</v>
          </cell>
          <cell r="B74">
            <v>0</v>
          </cell>
          <cell r="C74">
            <v>0</v>
          </cell>
          <cell r="D74">
            <v>2000</v>
          </cell>
          <cell r="E74">
            <v>2001</v>
          </cell>
          <cell r="F74">
            <v>2002</v>
          </cell>
          <cell r="G74">
            <v>2003</v>
          </cell>
          <cell r="H74">
            <v>2004</v>
          </cell>
          <cell r="I74">
            <v>2005</v>
          </cell>
          <cell r="J74">
            <v>2006</v>
          </cell>
          <cell r="K74">
            <v>2007</v>
          </cell>
          <cell r="L74">
            <v>2008</v>
          </cell>
          <cell r="M74">
            <v>2009</v>
          </cell>
          <cell r="N74">
            <v>2010</v>
          </cell>
          <cell r="O74">
            <v>2011</v>
          </cell>
          <cell r="P74">
            <v>2012</v>
          </cell>
          <cell r="Q74">
            <v>2013</v>
          </cell>
          <cell r="R74">
            <v>2014</v>
          </cell>
          <cell r="S74">
            <v>2015</v>
          </cell>
          <cell r="T74">
            <v>2016</v>
          </cell>
          <cell r="U74">
            <v>2017</v>
          </cell>
          <cell r="V74">
            <v>2018</v>
          </cell>
          <cell r="W74">
            <v>2019</v>
          </cell>
          <cell r="X74">
            <v>2020</v>
          </cell>
          <cell r="Y74">
            <v>2021</v>
          </cell>
          <cell r="Z74">
            <v>2022</v>
          </cell>
          <cell r="AA74">
            <v>2023</v>
          </cell>
          <cell r="AB74">
            <v>2024</v>
          </cell>
          <cell r="AC74">
            <v>2025</v>
          </cell>
          <cell r="AD74">
            <v>2026</v>
          </cell>
          <cell r="AE74">
            <v>2027</v>
          </cell>
          <cell r="AF74">
            <v>2028</v>
          </cell>
          <cell r="AG74">
            <v>2029</v>
          </cell>
          <cell r="AH74">
            <v>2030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s"/>
      <sheetName val="Time series"/>
      <sheetName val="Historic prices"/>
      <sheetName val="Gr.form vs C2-50"/>
      <sheetName val="Historic prices (3)"/>
      <sheetName val="Res nieuwe form"/>
      <sheetName val="Gr.Cash costs (3)"/>
      <sheetName val="Gr.Cash costs (2)"/>
      <sheetName val="Gr.Cash costs"/>
      <sheetName val="Gr.Prijzen"/>
      <sheetName val="ICM"/>
    </sheetNames>
    <sheetDataSet>
      <sheetData sheetId="0">
        <row r="1">
          <cell r="C1">
            <v>150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Materials Requirement "/>
      <sheetName val="Basis"/>
      <sheetName val="Norms"/>
      <sheetName val="Opex"/>
      <sheetName val="Capex"/>
      <sheetName val="Depreciation"/>
      <sheetName val="ITC-GST"/>
      <sheetName val="Working Capital"/>
      <sheetName val="Reference Values"/>
      <sheetName val="Interest Cal."/>
      <sheetName val="Profitability"/>
      <sheetName val=" Breakeven Point"/>
      <sheetName val="DSCR"/>
      <sheetName val="Cashflow "/>
      <sheetName val="IRR"/>
      <sheetName val="Balance Sheet"/>
      <sheetName val="Sensitivity Analysis"/>
    </sheetNames>
    <sheetDataSet>
      <sheetData sheetId="0"/>
      <sheetData sheetId="1"/>
      <sheetData sheetId="2">
        <row r="3">
          <cell r="B3">
            <v>82500</v>
          </cell>
          <cell r="D3">
            <v>0.28749999999999998</v>
          </cell>
        </row>
        <row r="13">
          <cell r="D13">
            <v>132.69999999999999</v>
          </cell>
        </row>
        <row r="16">
          <cell r="D16">
            <v>8.5000000000000006E-2</v>
          </cell>
          <cell r="J16">
            <v>50</v>
          </cell>
        </row>
        <row r="28">
          <cell r="D28">
            <v>3000</v>
          </cell>
        </row>
        <row r="29">
          <cell r="D29">
            <v>5</v>
          </cell>
        </row>
        <row r="50">
          <cell r="D50">
            <v>0.875</v>
          </cell>
        </row>
        <row r="52">
          <cell r="B52">
            <v>0.09</v>
          </cell>
        </row>
      </sheetData>
      <sheetData sheetId="3"/>
      <sheetData sheetId="4">
        <row r="14">
          <cell r="B14">
            <v>626.97164956250003</v>
          </cell>
        </row>
      </sheetData>
      <sheetData sheetId="5"/>
      <sheetData sheetId="6"/>
      <sheetData sheetId="7">
        <row r="16">
          <cell r="F16">
            <v>4.3802396084019879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"/>
      <sheetName val="input"/>
      <sheetName val="Report"/>
      <sheetName val="Gas Calculation"/>
      <sheetName val="Gas Cost"/>
      <sheetName val="GT Performance"/>
      <sheetName val="UB Performance"/>
      <sheetName val="STG Performance"/>
      <sheetName val="HRSG Performance"/>
      <sheetName val="Cost Calculation"/>
      <sheetName val="GT Compressore Effi"/>
      <sheetName val="CPCV"/>
      <sheetName val="Z value"/>
      <sheetName val="Sheet2"/>
    </sheetNames>
    <sheetDataSet>
      <sheetData sheetId="0">
        <row r="5">
          <cell r="G5">
            <v>6.049679027494852</v>
          </cell>
        </row>
        <row r="15">
          <cell r="G15">
            <v>50.185217913864484</v>
          </cell>
        </row>
        <row r="18">
          <cell r="G18">
            <v>0.71901691501000686</v>
          </cell>
        </row>
        <row r="19">
          <cell r="G19">
            <v>8.6798612526190677</v>
          </cell>
        </row>
        <row r="23">
          <cell r="G23">
            <v>207.80444353563033</v>
          </cell>
        </row>
        <row r="25">
          <cell r="G25">
            <v>278.26921512096624</v>
          </cell>
        </row>
        <row r="26">
          <cell r="G26">
            <v>26.522781611109789</v>
          </cell>
        </row>
        <row r="29">
          <cell r="G29">
            <v>83.32932966266732</v>
          </cell>
        </row>
        <row r="33">
          <cell r="G33">
            <v>107.8296555122278</v>
          </cell>
        </row>
        <row r="37">
          <cell r="G37">
            <v>63.198306988830446</v>
          </cell>
        </row>
        <row r="38">
          <cell r="G38">
            <v>8.2058804041947457</v>
          </cell>
        </row>
        <row r="41">
          <cell r="G41">
            <v>30.286872915626134</v>
          </cell>
        </row>
        <row r="43">
          <cell r="G43">
            <v>25.110965969918517</v>
          </cell>
        </row>
        <row r="46">
          <cell r="G46">
            <v>5.3487578656621304</v>
          </cell>
        </row>
        <row r="50">
          <cell r="G50">
            <v>979.48262602159332</v>
          </cell>
        </row>
        <row r="51">
          <cell r="G51">
            <v>1.7051292845264021</v>
          </cell>
        </row>
        <row r="53">
          <cell r="G53">
            <v>11.015625</v>
          </cell>
        </row>
        <row r="54">
          <cell r="G54">
            <v>11.015625</v>
          </cell>
        </row>
        <row r="59">
          <cell r="G59">
            <v>5.0330226560076579</v>
          </cell>
        </row>
        <row r="60">
          <cell r="G60">
            <v>0.43017213402371945</v>
          </cell>
        </row>
        <row r="62">
          <cell r="G62">
            <v>84.811322922681654</v>
          </cell>
        </row>
        <row r="63">
          <cell r="G63">
            <v>577.20553898532353</v>
          </cell>
        </row>
        <row r="66">
          <cell r="G66">
            <v>183.640625</v>
          </cell>
        </row>
        <row r="67">
          <cell r="G67">
            <v>499.9375</v>
          </cell>
        </row>
        <row r="68">
          <cell r="G68">
            <v>0</v>
          </cell>
        </row>
        <row r="70">
          <cell r="G70">
            <v>308.5625</v>
          </cell>
        </row>
        <row r="71">
          <cell r="G71">
            <v>171.125</v>
          </cell>
        </row>
        <row r="74">
          <cell r="G74">
            <v>21.8671875</v>
          </cell>
        </row>
        <row r="75">
          <cell r="G75">
            <v>135.3125</v>
          </cell>
        </row>
        <row r="76">
          <cell r="G76">
            <v>2256.5</v>
          </cell>
        </row>
        <row r="78">
          <cell r="G78">
            <v>0</v>
          </cell>
        </row>
        <row r="79">
          <cell r="G79">
            <v>0</v>
          </cell>
        </row>
        <row r="81">
          <cell r="G81">
            <v>10.675937457722618</v>
          </cell>
        </row>
        <row r="82">
          <cell r="G82">
            <v>15.700060417227711</v>
          </cell>
        </row>
        <row r="83">
          <cell r="G83">
            <v>891863.93166587455</v>
          </cell>
        </row>
        <row r="85">
          <cell r="G85">
            <v>99.375</v>
          </cell>
        </row>
        <row r="86">
          <cell r="G86">
            <v>1279.12109375</v>
          </cell>
        </row>
        <row r="87">
          <cell r="G87">
            <v>0</v>
          </cell>
        </row>
        <row r="89">
          <cell r="G89">
            <v>0</v>
          </cell>
        </row>
        <row r="90">
          <cell r="G90">
            <v>0</v>
          </cell>
        </row>
        <row r="93">
          <cell r="G93">
            <v>1999.75</v>
          </cell>
        </row>
        <row r="94">
          <cell r="G94">
            <v>2087.5</v>
          </cell>
        </row>
        <row r="97">
          <cell r="G97">
            <v>15.443359375</v>
          </cell>
        </row>
        <row r="98">
          <cell r="G98">
            <v>0</v>
          </cell>
        </row>
        <row r="99">
          <cell r="G99">
            <v>50.62109375</v>
          </cell>
        </row>
        <row r="103">
          <cell r="G103">
            <v>0</v>
          </cell>
        </row>
        <row r="107">
          <cell r="G107">
            <v>0</v>
          </cell>
        </row>
        <row r="110">
          <cell r="G110">
            <v>8.30078125E-3</v>
          </cell>
        </row>
        <row r="114">
          <cell r="G114">
            <v>1474.25</v>
          </cell>
        </row>
        <row r="118">
          <cell r="G118">
            <v>63.223397135788417</v>
          </cell>
        </row>
        <row r="121">
          <cell r="G121">
            <v>-1.5565628185868836E-2</v>
          </cell>
        </row>
        <row r="127">
          <cell r="G127">
            <v>1983.125</v>
          </cell>
        </row>
        <row r="130">
          <cell r="G130">
            <v>171.14102172851563</v>
          </cell>
        </row>
        <row r="134">
          <cell r="G134">
            <v>558.26762900164056</v>
          </cell>
        </row>
        <row r="138">
          <cell r="G138">
            <v>507.81661025106865</v>
          </cell>
        </row>
        <row r="141">
          <cell r="G141">
            <v>54.722898361482862</v>
          </cell>
        </row>
        <row r="145">
          <cell r="G145">
            <v>100.70039023660273</v>
          </cell>
        </row>
        <row r="149">
          <cell r="G149">
            <v>602.02715722892526</v>
          </cell>
        </row>
        <row r="152">
          <cell r="G152">
            <v>226.6534886287813</v>
          </cell>
        </row>
        <row r="156">
          <cell r="G156">
            <v>116.81407322073028</v>
          </cell>
        </row>
        <row r="163">
          <cell r="G163">
            <v>0</v>
          </cell>
        </row>
        <row r="167">
          <cell r="G167">
            <v>-7425.6728515625</v>
          </cell>
        </row>
        <row r="171">
          <cell r="G171">
            <v>311.78695678710938</v>
          </cell>
        </row>
        <row r="175">
          <cell r="G175">
            <v>1.750413179397583</v>
          </cell>
        </row>
        <row r="179">
          <cell r="G179">
            <v>705.379150390625</v>
          </cell>
        </row>
        <row r="186">
          <cell r="G186">
            <v>1746.6201171874998</v>
          </cell>
        </row>
        <row r="190">
          <cell r="G190">
            <v>622.453125</v>
          </cell>
        </row>
        <row r="193">
          <cell r="G193">
            <v>588.109375</v>
          </cell>
        </row>
        <row r="197">
          <cell r="G197">
            <v>108.78467358330775</v>
          </cell>
        </row>
        <row r="203">
          <cell r="G203">
            <v>12.443411354902778</v>
          </cell>
        </row>
        <row r="207">
          <cell r="G207">
            <v>43.134241766782829</v>
          </cell>
        </row>
        <row r="210">
          <cell r="G210">
            <v>0.56465283155201196</v>
          </cell>
        </row>
        <row r="211">
          <cell r="G211">
            <v>61.303378845539186</v>
          </cell>
        </row>
        <row r="214">
          <cell r="G214">
            <v>0.53616774111434595</v>
          </cell>
        </row>
        <row r="218">
          <cell r="G218">
            <v>9.4097075762079232</v>
          </cell>
        </row>
        <row r="219">
          <cell r="G219">
            <v>9.3071263999340186</v>
          </cell>
        </row>
        <row r="221">
          <cell r="G221">
            <v>6.0705947689712056E-3</v>
          </cell>
        </row>
        <row r="222">
          <cell r="G222">
            <v>7.358800261950983E-3</v>
          </cell>
        </row>
        <row r="225">
          <cell r="G225">
            <v>78.883932824385894</v>
          </cell>
        </row>
        <row r="229">
          <cell r="G229">
            <v>8.6597980266409493</v>
          </cell>
        </row>
        <row r="230">
          <cell r="G230">
            <v>9.5807316667867006</v>
          </cell>
        </row>
        <row r="235">
          <cell r="G235">
            <v>106.86949474824046</v>
          </cell>
        </row>
        <row r="240">
          <cell r="G240">
            <v>0.51852252342384741</v>
          </cell>
        </row>
        <row r="243">
          <cell r="G243">
            <v>0.46167251540624804</v>
          </cell>
        </row>
        <row r="247">
          <cell r="G247">
            <v>0.57456899696627739</v>
          </cell>
        </row>
        <row r="248">
          <cell r="G248">
            <v>9.5088304527534557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F4">
            <v>5.9030351638793945</v>
          </cell>
        </row>
        <row r="6">
          <cell r="F6">
            <v>23.586503982543945</v>
          </cell>
        </row>
        <row r="8">
          <cell r="F8">
            <v>19.495491027832031</v>
          </cell>
        </row>
        <row r="9">
          <cell r="F9">
            <v>20.964153289794922</v>
          </cell>
        </row>
        <row r="10">
          <cell r="F10">
            <v>36.799888610839844</v>
          </cell>
        </row>
        <row r="11">
          <cell r="F11">
            <v>377.2100830078125</v>
          </cell>
        </row>
        <row r="12">
          <cell r="F12">
            <v>4.6651096343994141</v>
          </cell>
        </row>
        <row r="13">
          <cell r="F13">
            <v>185.12338256835938</v>
          </cell>
        </row>
        <row r="14">
          <cell r="F14">
            <v>50.589202880859375</v>
          </cell>
        </row>
        <row r="16">
          <cell r="F16">
            <v>12.672587394714355</v>
          </cell>
        </row>
        <row r="17">
          <cell r="F17">
            <v>1.0044407844543457</v>
          </cell>
        </row>
        <row r="18">
          <cell r="F18">
            <v>8.4537839889526367</v>
          </cell>
        </row>
        <row r="19">
          <cell r="F19">
            <v>5.738680362701416</v>
          </cell>
        </row>
        <row r="20">
          <cell r="F20">
            <v>106.94502258300781</v>
          </cell>
        </row>
        <row r="21">
          <cell r="F21">
            <v>488.11746215820313</v>
          </cell>
        </row>
        <row r="22">
          <cell r="F22">
            <v>192.1973876953125</v>
          </cell>
        </row>
        <row r="23">
          <cell r="F23">
            <v>16.343908309936523</v>
          </cell>
        </row>
        <row r="24">
          <cell r="F24">
            <v>285.645263671875</v>
          </cell>
        </row>
        <row r="25">
          <cell r="F25">
            <v>27.780071258544922</v>
          </cell>
        </row>
        <row r="26">
          <cell r="F26">
            <v>17.54139518737793</v>
          </cell>
        </row>
        <row r="27">
          <cell r="F27">
            <v>123.22551727294922</v>
          </cell>
        </row>
        <row r="28">
          <cell r="F28">
            <v>135.520263671875</v>
          </cell>
        </row>
        <row r="29">
          <cell r="F29">
            <v>4.1246641427278519E-2</v>
          </cell>
        </row>
        <row r="30">
          <cell r="F30">
            <v>108.45578765869141</v>
          </cell>
        </row>
        <row r="31">
          <cell r="F31">
            <v>4.8699812889099121</v>
          </cell>
        </row>
        <row r="32">
          <cell r="F32">
            <v>108.94107055664063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65.135719299316406</v>
          </cell>
        </row>
        <row r="36">
          <cell r="F36">
            <v>82.543472290039063</v>
          </cell>
        </row>
        <row r="37">
          <cell r="F37">
            <v>7.9718904495239258</v>
          </cell>
        </row>
        <row r="38">
          <cell r="F38">
            <v>23.892322540283203</v>
          </cell>
        </row>
        <row r="39">
          <cell r="F39">
            <v>56.457405090332031</v>
          </cell>
        </row>
        <row r="40">
          <cell r="F40">
            <v>24.179828643798828</v>
          </cell>
        </row>
        <row r="41">
          <cell r="F41">
            <v>140.09980773925781</v>
          </cell>
        </row>
        <row r="42">
          <cell r="F42">
            <v>-2.7468752861022949</v>
          </cell>
        </row>
        <row r="43">
          <cell r="F43">
            <v>24.93293571472168</v>
          </cell>
        </row>
        <row r="44">
          <cell r="F44">
            <v>1.4989699125289917</v>
          </cell>
        </row>
        <row r="45">
          <cell r="F45">
            <v>4.6685895919799805</v>
          </cell>
        </row>
        <row r="46">
          <cell r="F46">
            <v>56.732147216796875</v>
          </cell>
        </row>
        <row r="47">
          <cell r="F47">
            <v>5.941932201385498</v>
          </cell>
        </row>
        <row r="48">
          <cell r="F48" t="str">
            <v/>
          </cell>
        </row>
        <row r="49">
          <cell r="F49">
            <v>650.099365234375</v>
          </cell>
        </row>
        <row r="50">
          <cell r="F50">
            <v>2.4776816368103027</v>
          </cell>
        </row>
        <row r="51">
          <cell r="F51">
            <v>4.7312183380126953</v>
          </cell>
        </row>
        <row r="52">
          <cell r="F52">
            <v>310.796875</v>
          </cell>
        </row>
        <row r="53">
          <cell r="F53">
            <v>236.3125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106.39232140600733</v>
          </cell>
        </row>
        <row r="57">
          <cell r="F57">
            <v>0</v>
          </cell>
        </row>
        <row r="58">
          <cell r="F58">
            <v>4.3135035661110637</v>
          </cell>
        </row>
        <row r="59">
          <cell r="F59">
            <v>16.884293820169511</v>
          </cell>
        </row>
        <row r="60">
          <cell r="F60">
            <v>52.0234375</v>
          </cell>
        </row>
        <row r="61">
          <cell r="F61">
            <v>-5.5967881469105496</v>
          </cell>
        </row>
        <row r="62">
          <cell r="F62">
            <v>15.636707744745486</v>
          </cell>
        </row>
        <row r="63">
          <cell r="F63">
            <v>55.6875</v>
          </cell>
        </row>
        <row r="64">
          <cell r="F64">
            <v>45.59375</v>
          </cell>
        </row>
        <row r="65">
          <cell r="F65">
            <v>18.390625</v>
          </cell>
        </row>
        <row r="66">
          <cell r="F66">
            <v>0.25</v>
          </cell>
        </row>
        <row r="67">
          <cell r="F67">
            <v>0</v>
          </cell>
        </row>
        <row r="68">
          <cell r="F68">
            <v>2381.5</v>
          </cell>
        </row>
        <row r="69">
          <cell r="F69">
            <v>69.78125</v>
          </cell>
        </row>
        <row r="70">
          <cell r="F70">
            <v>94.4375</v>
          </cell>
        </row>
        <row r="71">
          <cell r="F71">
            <v>143.75</v>
          </cell>
        </row>
        <row r="72">
          <cell r="F72">
            <v>122.3125</v>
          </cell>
        </row>
        <row r="73">
          <cell r="F73">
            <v>8.96875</v>
          </cell>
        </row>
        <row r="74">
          <cell r="F74">
            <v>28.09375</v>
          </cell>
        </row>
        <row r="75">
          <cell r="F75">
            <v>571.5</v>
          </cell>
        </row>
        <row r="76">
          <cell r="F76">
            <v>912.75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37.617973576066021</v>
          </cell>
        </row>
        <row r="80">
          <cell r="F80">
            <v>9.1885692313785903</v>
          </cell>
        </row>
        <row r="81">
          <cell r="F81">
            <v>13.536252332070791</v>
          </cell>
        </row>
        <row r="82">
          <cell r="F82">
            <v>796.25</v>
          </cell>
        </row>
        <row r="83">
          <cell r="F83">
            <v>-7.2764545446062255E-3</v>
          </cell>
        </row>
        <row r="84">
          <cell r="F84">
            <v>34.625</v>
          </cell>
        </row>
        <row r="85">
          <cell r="F85">
            <v>248.7265625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320.1875</v>
          </cell>
        </row>
        <row r="89">
          <cell r="F89">
            <v>72.859375</v>
          </cell>
        </row>
        <row r="90">
          <cell r="F90">
            <v>53731.535902688513</v>
          </cell>
        </row>
        <row r="91">
          <cell r="F91">
            <v>55485.947280687666</v>
          </cell>
        </row>
        <row r="92">
          <cell r="F92">
            <v>706.75</v>
          </cell>
        </row>
        <row r="93">
          <cell r="F93">
            <v>745</v>
          </cell>
        </row>
        <row r="94">
          <cell r="F94">
            <v>80.067317985528135</v>
          </cell>
        </row>
        <row r="95">
          <cell r="F95">
            <v>175.375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4.62890625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119.625</v>
          </cell>
        </row>
        <row r="102">
          <cell r="F102">
            <v>0</v>
          </cell>
        </row>
        <row r="103">
          <cell r="F103">
            <v>0.6334228515625</v>
          </cell>
        </row>
        <row r="104">
          <cell r="F104">
            <v>119.671875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88.47482881652256</v>
          </cell>
        </row>
        <row r="108">
          <cell r="F108">
            <v>9.2734375</v>
          </cell>
        </row>
        <row r="109">
          <cell r="F109">
            <v>1.708984375E-3</v>
          </cell>
        </row>
        <row r="110">
          <cell r="F110">
            <v>7.875</v>
          </cell>
        </row>
        <row r="111">
          <cell r="F111">
            <v>67.736225902880989</v>
          </cell>
        </row>
        <row r="112">
          <cell r="F112">
            <v>500.875</v>
          </cell>
        </row>
        <row r="113">
          <cell r="F113">
            <v>412.25</v>
          </cell>
        </row>
        <row r="114">
          <cell r="F114">
            <v>7.875</v>
          </cell>
        </row>
        <row r="115">
          <cell r="F115">
            <v>0</v>
          </cell>
        </row>
        <row r="116">
          <cell r="F116">
            <v>21.578125</v>
          </cell>
        </row>
        <row r="117">
          <cell r="F117">
            <v>86.980354609812238</v>
          </cell>
        </row>
        <row r="118">
          <cell r="F118">
            <v>500.75</v>
          </cell>
        </row>
        <row r="119">
          <cell r="F119">
            <v>34.40625</v>
          </cell>
        </row>
        <row r="120">
          <cell r="F120">
            <v>0</v>
          </cell>
        </row>
        <row r="121">
          <cell r="F121">
            <v>796.25</v>
          </cell>
        </row>
        <row r="122">
          <cell r="F122">
            <v>80.067317985528135</v>
          </cell>
        </row>
        <row r="123">
          <cell r="F123">
            <v>743.125</v>
          </cell>
        </row>
        <row r="124">
          <cell r="F124">
            <v>20.5390625</v>
          </cell>
        </row>
        <row r="125">
          <cell r="F125">
            <v>1.7096620006446872</v>
          </cell>
        </row>
        <row r="126">
          <cell r="F126">
            <v>672.5</v>
          </cell>
        </row>
        <row r="128">
          <cell r="F128">
            <v>17.464780616269934</v>
          </cell>
        </row>
        <row r="129">
          <cell r="F129">
            <v>497.6662125902086</v>
          </cell>
        </row>
        <row r="130">
          <cell r="F130">
            <v>522.30545621870317</v>
          </cell>
        </row>
        <row r="131">
          <cell r="F131">
            <v>19.898229630052686</v>
          </cell>
        </row>
        <row r="132">
          <cell r="F132">
            <v>23.01161350586931</v>
          </cell>
        </row>
        <row r="133">
          <cell r="F133">
            <v>495.07773117418463</v>
          </cell>
        </row>
        <row r="134">
          <cell r="F134">
            <v>508.74219505748079</v>
          </cell>
        </row>
        <row r="135">
          <cell r="F135">
            <v>17.452667438994133</v>
          </cell>
        </row>
        <row r="136">
          <cell r="F136">
            <v>17.561142020074342</v>
          </cell>
        </row>
        <row r="137">
          <cell r="F137">
            <v>47.35081548290367</v>
          </cell>
        </row>
        <row r="138">
          <cell r="F138">
            <v>47.379829946091363</v>
          </cell>
        </row>
        <row r="139">
          <cell r="F139">
            <v>14.607285307530368</v>
          </cell>
        </row>
        <row r="140">
          <cell r="F140">
            <v>16.220196464885067</v>
          </cell>
        </row>
        <row r="141">
          <cell r="F141">
            <v>86.295774588956732</v>
          </cell>
        </row>
        <row r="142">
          <cell r="F142">
            <v>97.896478464997728</v>
          </cell>
        </row>
        <row r="143">
          <cell r="F143">
            <v>17.037736060788923</v>
          </cell>
        </row>
        <row r="144">
          <cell r="F144">
            <v>25.775012746057456</v>
          </cell>
        </row>
        <row r="145">
          <cell r="F145">
            <v>634.70891136293653</v>
          </cell>
        </row>
        <row r="146">
          <cell r="F146">
            <v>0</v>
          </cell>
        </row>
        <row r="147">
          <cell r="F147">
            <v>601.6774270548816</v>
          </cell>
        </row>
        <row r="148">
          <cell r="F148">
            <v>16.090856659994639</v>
          </cell>
        </row>
        <row r="149">
          <cell r="F149">
            <v>26.693156300391919</v>
          </cell>
        </row>
        <row r="150">
          <cell r="F150">
            <v>167.33322367141059</v>
          </cell>
        </row>
        <row r="151">
          <cell r="F151">
            <v>189.75268677594627</v>
          </cell>
        </row>
        <row r="152">
          <cell r="F152">
            <v>117.31818059743114</v>
          </cell>
        </row>
        <row r="153">
          <cell r="F153">
            <v>504.4573149824102</v>
          </cell>
        </row>
        <row r="154">
          <cell r="F154">
            <v>119.77182002913368</v>
          </cell>
        </row>
        <row r="155">
          <cell r="F155">
            <v>494.612420717058</v>
          </cell>
        </row>
        <row r="156">
          <cell r="F156">
            <v>503.31900283303537</v>
          </cell>
        </row>
        <row r="157">
          <cell r="F157">
            <v>48.087251942690969</v>
          </cell>
        </row>
        <row r="158">
          <cell r="F158">
            <v>493.3318872656082</v>
          </cell>
        </row>
        <row r="159">
          <cell r="F159">
            <v>0</v>
          </cell>
        </row>
        <row r="160">
          <cell r="F160">
            <v>32730.5</v>
          </cell>
        </row>
        <row r="161">
          <cell r="F161">
            <v>39688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126.21875</v>
          </cell>
        </row>
        <row r="187">
          <cell r="F187">
            <v>165.921875</v>
          </cell>
        </row>
        <row r="191">
          <cell r="F191">
            <v>0.15382501482963562</v>
          </cell>
        </row>
        <row r="192">
          <cell r="F192">
            <v>2.549100399017334</v>
          </cell>
        </row>
        <row r="193">
          <cell r="F193">
            <v>112.22634887695313</v>
          </cell>
        </row>
        <row r="194">
          <cell r="F194">
            <v>115.85955047607422</v>
          </cell>
        </row>
        <row r="195">
          <cell r="F195">
            <v>18.826396942138672</v>
          </cell>
        </row>
        <row r="196">
          <cell r="F196">
            <v>18.388042449951172</v>
          </cell>
        </row>
        <row r="197">
          <cell r="F197">
            <v>11.650185585021973</v>
          </cell>
        </row>
        <row r="198">
          <cell r="F198">
            <v>11.283935546875</v>
          </cell>
        </row>
        <row r="199">
          <cell r="F199" t="str">
            <v/>
          </cell>
        </row>
        <row r="200">
          <cell r="F200">
            <v>36.647899627685547</v>
          </cell>
        </row>
        <row r="201">
          <cell r="F201">
            <v>36.418991088867188</v>
          </cell>
        </row>
        <row r="202">
          <cell r="F202" t="str">
            <v/>
          </cell>
        </row>
        <row r="203">
          <cell r="F203">
            <v>0</v>
          </cell>
        </row>
        <row r="204">
          <cell r="F204">
            <v>7.3707825504243374E-3</v>
          </cell>
        </row>
        <row r="205">
          <cell r="F205">
            <v>72.517509460449219</v>
          </cell>
        </row>
        <row r="206">
          <cell r="F206">
            <v>119.12283325195313</v>
          </cell>
        </row>
        <row r="207">
          <cell r="F207">
            <v>0.99908441305160522</v>
          </cell>
        </row>
        <row r="208">
          <cell r="F208">
            <v>0.6031680703163147</v>
          </cell>
        </row>
        <row r="209">
          <cell r="F209">
            <v>0.62935495376586914</v>
          </cell>
        </row>
        <row r="210">
          <cell r="F210">
            <v>7.8598179817199707</v>
          </cell>
        </row>
        <row r="211">
          <cell r="F211">
            <v>9.8262147903442383</v>
          </cell>
        </row>
        <row r="212">
          <cell r="F212">
            <v>9.5390748977661133</v>
          </cell>
        </row>
        <row r="213">
          <cell r="F213">
            <v>9.3589706420898438</v>
          </cell>
        </row>
        <row r="214">
          <cell r="F214">
            <v>8.6435014382004738E-3</v>
          </cell>
        </row>
        <row r="215">
          <cell r="F215">
            <v>2.0326878875494003E-3</v>
          </cell>
        </row>
        <row r="216">
          <cell r="F216">
            <v>1.0602939873933792E-2</v>
          </cell>
        </row>
        <row r="217">
          <cell r="F217">
            <v>9.2615475878119469E-3</v>
          </cell>
        </row>
        <row r="218">
          <cell r="F218">
            <v>31.543285369873047</v>
          </cell>
        </row>
        <row r="219">
          <cell r="F219">
            <v>31.199926376342773</v>
          </cell>
        </row>
        <row r="220">
          <cell r="F220">
            <v>39.692348480224609</v>
          </cell>
        </row>
        <row r="221">
          <cell r="F221">
            <v>35.274459838867188</v>
          </cell>
        </row>
        <row r="222">
          <cell r="F222">
            <v>7.6015195846557617</v>
          </cell>
        </row>
        <row r="223">
          <cell r="F223">
            <v>8.0033884048461914</v>
          </cell>
        </row>
        <row r="224">
          <cell r="F224">
            <v>9.8166007995605469</v>
          </cell>
        </row>
        <row r="225">
          <cell r="F225">
            <v>9.7352018356323242</v>
          </cell>
        </row>
        <row r="227">
          <cell r="F227" t="str">
            <v/>
          </cell>
        </row>
        <row r="229">
          <cell r="F229">
            <v>106.83514404296875</v>
          </cell>
        </row>
        <row r="230">
          <cell r="F230">
            <v>8.296629786491394E-2</v>
          </cell>
        </row>
        <row r="231">
          <cell r="F231">
            <v>9.7422513961791992</v>
          </cell>
        </row>
        <row r="232">
          <cell r="F232" t="str">
            <v/>
          </cell>
        </row>
        <row r="233">
          <cell r="F233">
            <v>9.1562513262033463E-3</v>
          </cell>
        </row>
        <row r="234">
          <cell r="F234">
            <v>0.50249505043029785</v>
          </cell>
        </row>
        <row r="235">
          <cell r="F235">
            <v>9.6525201797485352</v>
          </cell>
        </row>
        <row r="236">
          <cell r="F236">
            <v>7.0855650901794434</v>
          </cell>
        </row>
        <row r="237">
          <cell r="F237">
            <v>0.9996795654296875</v>
          </cell>
        </row>
        <row r="238">
          <cell r="F238">
            <v>0</v>
          </cell>
        </row>
        <row r="239">
          <cell r="F239">
            <v>0.99940484762191772</v>
          </cell>
        </row>
        <row r="240">
          <cell r="F240">
            <v>7.0291624069213867</v>
          </cell>
        </row>
        <row r="241">
          <cell r="F241">
            <v>0.64226526021957397</v>
          </cell>
        </row>
        <row r="242">
          <cell r="F242">
            <v>9.674952507019043</v>
          </cell>
        </row>
        <row r="243">
          <cell r="F243">
            <v>18147.517578125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Materials Requirement "/>
      <sheetName val="Basis"/>
      <sheetName val="Norms"/>
      <sheetName val="Capex"/>
      <sheetName val="Opex"/>
      <sheetName val="Depreciation"/>
      <sheetName val="ITC-GST"/>
      <sheetName val="Working Capital"/>
      <sheetName val="Reference Values"/>
      <sheetName val="Interest Cal."/>
      <sheetName val="Profitability"/>
      <sheetName val=" Breakeven Point"/>
      <sheetName val="DSCR"/>
      <sheetName val="Cashflow "/>
      <sheetName val="IRR"/>
      <sheetName val="Balance Sheet"/>
      <sheetName val="Sensitivity Analysis"/>
    </sheetNames>
    <sheetDataSet>
      <sheetData sheetId="0" refreshError="1"/>
      <sheetData sheetId="1" refreshError="1"/>
      <sheetData sheetId="2" refreshError="1"/>
      <sheetData sheetId="3">
        <row r="11">
          <cell r="B11">
            <v>585.79175000000009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6C48-8787-438D-B005-5932CB6B4FD2}">
  <dimension ref="F3:S14"/>
  <sheetViews>
    <sheetView topLeftCell="C1" workbookViewId="0">
      <selection activeCell="G11" sqref="G11"/>
    </sheetView>
  </sheetViews>
  <sheetFormatPr defaultRowHeight="15" x14ac:dyDescent="0.25"/>
  <cols>
    <col min="7" max="7" width="18" bestFit="1" customWidth="1"/>
    <col min="9" max="9" width="18" bestFit="1" customWidth="1"/>
    <col min="10" max="10" width="10" bestFit="1" customWidth="1"/>
    <col min="11" max="11" width="18" bestFit="1" customWidth="1"/>
  </cols>
  <sheetData>
    <row r="3" spans="6:19" ht="38.25" x14ac:dyDescent="0.25"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</row>
    <row r="4" spans="6:19" x14ac:dyDescent="0.25">
      <c r="O4" s="2">
        <v>2023</v>
      </c>
      <c r="P4" s="2">
        <v>2.764929</v>
      </c>
      <c r="Q4" s="2">
        <v>2.6373449999999998</v>
      </c>
      <c r="R4" s="2">
        <v>3.3510650000000002</v>
      </c>
      <c r="S4" s="2">
        <v>51</v>
      </c>
    </row>
    <row r="5" spans="6:19" x14ac:dyDescent="0.25">
      <c r="F5">
        <v>342500</v>
      </c>
      <c r="G5" s="3">
        <f>F5*P14</f>
        <v>2918866.8575000004</v>
      </c>
      <c r="H5" s="4">
        <f>G5/18000</f>
        <v>162.15926986111114</v>
      </c>
      <c r="I5" s="4">
        <f>H5*100000000</f>
        <v>16215926986.111115</v>
      </c>
      <c r="O5" s="2">
        <v>2022</v>
      </c>
      <c r="P5" s="2">
        <v>4.153518</v>
      </c>
      <c r="Q5" s="2">
        <v>3.2817319999999999</v>
      </c>
      <c r="R5" s="2">
        <v>4.8979980000000003</v>
      </c>
      <c r="S5" s="2">
        <v>257</v>
      </c>
    </row>
    <row r="6" spans="6:19" x14ac:dyDescent="0.25">
      <c r="G6" s="4">
        <f>G5/18</f>
        <v>162159.26986111113</v>
      </c>
      <c r="O6" s="2">
        <v>2021</v>
      </c>
      <c r="P6" s="2">
        <v>4.709886</v>
      </c>
      <c r="Q6" s="2">
        <v>4.5974490000000001</v>
      </c>
      <c r="R6" s="2">
        <v>4.8608560000000001</v>
      </c>
      <c r="S6" s="2">
        <v>258</v>
      </c>
    </row>
    <row r="7" spans="6:19" x14ac:dyDescent="0.25">
      <c r="G7" s="4">
        <f>G6*100000</f>
        <v>16215926986.111113</v>
      </c>
      <c r="O7" s="2">
        <v>2020</v>
      </c>
      <c r="P7" s="2">
        <v>4.685689</v>
      </c>
      <c r="Q7" s="2">
        <v>4.433122</v>
      </c>
      <c r="R7" s="2">
        <v>4.8756300000000001</v>
      </c>
      <c r="S7" s="2">
        <v>257</v>
      </c>
    </row>
    <row r="8" spans="6:19" x14ac:dyDescent="0.25">
      <c r="J8">
        <f>150*10^6</f>
        <v>150000000</v>
      </c>
      <c r="K8" s="3">
        <f>J8*80</f>
        <v>12000000000</v>
      </c>
      <c r="O8" s="2">
        <v>2019</v>
      </c>
      <c r="P8" s="2">
        <v>4.1928989999999997</v>
      </c>
      <c r="Q8" s="2">
        <v>3.878892</v>
      </c>
      <c r="R8" s="2">
        <v>4.4614799999999999</v>
      </c>
      <c r="S8" s="2">
        <v>255</v>
      </c>
    </row>
    <row r="9" spans="6:19" x14ac:dyDescent="0.25">
      <c r="K9" s="4">
        <f>K8/(50*10^6)</f>
        <v>240</v>
      </c>
      <c r="O9" s="2">
        <v>2018</v>
      </c>
      <c r="P9" s="2">
        <v>3.8404539999999998</v>
      </c>
      <c r="Q9" s="2">
        <v>3.5787930000000001</v>
      </c>
      <c r="R9" s="2">
        <v>4.1470599999999997</v>
      </c>
      <c r="S9" s="2">
        <v>255</v>
      </c>
    </row>
    <row r="10" spans="6:19" x14ac:dyDescent="0.25">
      <c r="O10" s="2">
        <v>2017</v>
      </c>
      <c r="P10" s="2">
        <v>3.6516510000000002</v>
      </c>
      <c r="Q10" s="2">
        <v>3.528203</v>
      </c>
      <c r="R10" s="2">
        <v>4.255871</v>
      </c>
      <c r="S10" s="2">
        <v>255</v>
      </c>
    </row>
    <row r="11" spans="6:19" x14ac:dyDescent="0.25">
      <c r="O11" s="2">
        <v>2016</v>
      </c>
      <c r="P11" s="2">
        <v>7.1844299999999999</v>
      </c>
      <c r="Q11" s="2">
        <v>3.4977130000000001</v>
      </c>
      <c r="R11" s="2">
        <v>8.7978349999999992</v>
      </c>
      <c r="S11" s="2">
        <v>257</v>
      </c>
    </row>
    <row r="12" spans="6:19" x14ac:dyDescent="0.25">
      <c r="O12" s="2">
        <v>2015</v>
      </c>
      <c r="P12" s="2">
        <v>8.3210309999999996</v>
      </c>
      <c r="Q12" s="2">
        <v>8.0687230000000003</v>
      </c>
      <c r="R12" s="2">
        <v>8.8939690000000002</v>
      </c>
      <c r="S12" s="2">
        <v>256</v>
      </c>
    </row>
    <row r="13" spans="6:19" x14ac:dyDescent="0.25">
      <c r="O13" s="2">
        <v>2014</v>
      </c>
      <c r="P13" s="2">
        <v>8.6121660000000002</v>
      </c>
      <c r="Q13" s="2">
        <v>8.1961209999999998</v>
      </c>
      <c r="R13" s="2">
        <v>9.0572189999999999</v>
      </c>
      <c r="S13" s="2">
        <v>255</v>
      </c>
    </row>
    <row r="14" spans="6:19" x14ac:dyDescent="0.25">
      <c r="O14" s="2">
        <v>2013</v>
      </c>
      <c r="P14" s="2">
        <v>8.5222390000000008</v>
      </c>
      <c r="Q14" s="2">
        <v>7.7303709999999999</v>
      </c>
      <c r="R14" s="2">
        <v>9.9017510000000009</v>
      </c>
      <c r="S14" s="2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CD14-D1BF-4B7A-8281-3FB01BF02F94}">
  <dimension ref="E3:N28"/>
  <sheetViews>
    <sheetView topLeftCell="F19" workbookViewId="0">
      <selection activeCell="K26" sqref="K26"/>
    </sheetView>
  </sheetViews>
  <sheetFormatPr defaultRowHeight="15" x14ac:dyDescent="0.25"/>
  <cols>
    <col min="5" max="5" width="43.140625" bestFit="1" customWidth="1"/>
    <col min="6" max="6" width="9.140625" customWidth="1"/>
    <col min="7" max="7" width="27" customWidth="1"/>
    <col min="8" max="8" width="18.85546875" customWidth="1"/>
    <col min="9" max="9" width="17.7109375" customWidth="1"/>
    <col min="10" max="10" width="25.28515625" customWidth="1"/>
    <col min="11" max="11" width="16" bestFit="1" customWidth="1"/>
  </cols>
  <sheetData>
    <row r="3" spans="5:13" x14ac:dyDescent="0.25">
      <c r="E3" t="s">
        <v>5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129</v>
      </c>
    </row>
    <row r="4" spans="5:13" x14ac:dyDescent="0.25">
      <c r="E4" s="5" t="s">
        <v>9</v>
      </c>
    </row>
    <row r="5" spans="5:13" x14ac:dyDescent="0.25">
      <c r="E5" t="s">
        <v>6</v>
      </c>
      <c r="G5" s="5"/>
    </row>
    <row r="6" spans="5:13" x14ac:dyDescent="0.25">
      <c r="E6" t="s">
        <v>10</v>
      </c>
      <c r="G6" s="5">
        <v>3500</v>
      </c>
      <c r="H6" s="7">
        <f>G6/18</f>
        <v>194.44444444444446</v>
      </c>
      <c r="I6" s="7">
        <f>H6*Sheet1!$P$14</f>
        <v>1657.1020277777779</v>
      </c>
      <c r="J6" s="7">
        <f>I6*100000</f>
        <v>165710202.77777779</v>
      </c>
      <c r="K6" s="7">
        <f>J6/10^7</f>
        <v>16.57102027777778</v>
      </c>
      <c r="L6" s="5">
        <v>10</v>
      </c>
      <c r="M6">
        <f>(K6/100)*50</f>
        <v>8.2855101388888901</v>
      </c>
    </row>
    <row r="7" spans="5:13" x14ac:dyDescent="0.25">
      <c r="E7" t="s">
        <v>11</v>
      </c>
      <c r="G7" s="5">
        <v>5000</v>
      </c>
      <c r="H7" s="7">
        <f t="shared" ref="H7:H23" si="0">G7/18</f>
        <v>277.77777777777777</v>
      </c>
      <c r="I7" s="7">
        <f>H7*Sheet1!$P$14</f>
        <v>2367.2886111111111</v>
      </c>
      <c r="J7" s="7">
        <f t="shared" ref="J7:J18" si="1">I7*100000</f>
        <v>236728861.1111111</v>
      </c>
      <c r="K7" s="7">
        <f t="shared" ref="K7:K18" si="2">J7/10^7</f>
        <v>23.672886111111112</v>
      </c>
      <c r="L7" s="5">
        <v>15</v>
      </c>
      <c r="M7">
        <f t="shared" ref="M7:M18" si="3">(K7/100)*50</f>
        <v>11.836443055555556</v>
      </c>
    </row>
    <row r="8" spans="5:13" x14ac:dyDescent="0.25">
      <c r="E8" t="s">
        <v>12</v>
      </c>
      <c r="G8" s="5">
        <v>15000</v>
      </c>
      <c r="H8" s="7">
        <f t="shared" si="0"/>
        <v>833.33333333333337</v>
      </c>
      <c r="I8" s="7">
        <f>H8*Sheet1!$P$14</f>
        <v>7101.8658333333342</v>
      </c>
      <c r="J8" s="7">
        <f t="shared" si="1"/>
        <v>710186583.33333337</v>
      </c>
      <c r="K8" s="7">
        <f t="shared" si="2"/>
        <v>71.018658333333335</v>
      </c>
      <c r="L8" s="5">
        <v>60</v>
      </c>
      <c r="M8">
        <f t="shared" si="3"/>
        <v>35.509329166666667</v>
      </c>
    </row>
    <row r="9" spans="5:13" x14ac:dyDescent="0.25">
      <c r="E9" t="s">
        <v>27</v>
      </c>
      <c r="G9" s="5">
        <v>25000</v>
      </c>
      <c r="H9" s="7">
        <f t="shared" si="0"/>
        <v>1388.8888888888889</v>
      </c>
      <c r="I9" s="7">
        <f>H9*Sheet1!$P$14</f>
        <v>11836.443055555557</v>
      </c>
      <c r="J9" s="7">
        <f t="shared" si="1"/>
        <v>1183644305.5555558</v>
      </c>
      <c r="K9" s="7">
        <f t="shared" si="2"/>
        <v>118.36443055555559</v>
      </c>
      <c r="L9" s="5">
        <v>100</v>
      </c>
      <c r="M9">
        <f t="shared" si="3"/>
        <v>59.182215277777793</v>
      </c>
    </row>
    <row r="10" spans="5:13" x14ac:dyDescent="0.25">
      <c r="E10" t="s">
        <v>13</v>
      </c>
      <c r="G10" s="5">
        <v>20000</v>
      </c>
      <c r="H10" s="7">
        <f t="shared" si="0"/>
        <v>1111.1111111111111</v>
      </c>
      <c r="I10" s="7">
        <f>H10*Sheet1!$P$14</f>
        <v>9469.1544444444444</v>
      </c>
      <c r="J10" s="7">
        <f t="shared" si="1"/>
        <v>946915444.44444442</v>
      </c>
      <c r="K10" s="7">
        <f t="shared" si="2"/>
        <v>94.691544444444446</v>
      </c>
      <c r="L10" s="5">
        <v>80</v>
      </c>
      <c r="M10">
        <f t="shared" si="3"/>
        <v>47.345772222222223</v>
      </c>
    </row>
    <row r="11" spans="5:13" x14ac:dyDescent="0.25">
      <c r="E11" t="s">
        <v>8</v>
      </c>
      <c r="G11" s="5">
        <f t="shared" ref="G11:L11" si="4">SUM(G6:G10)</f>
        <v>68500</v>
      </c>
      <c r="H11" s="7">
        <f t="shared" si="4"/>
        <v>3805.5555555555557</v>
      </c>
      <c r="I11" s="7">
        <f t="shared" si="4"/>
        <v>32431.853972222227</v>
      </c>
      <c r="J11" s="7">
        <f t="shared" si="4"/>
        <v>3243185397.2222223</v>
      </c>
      <c r="K11" s="7">
        <f t="shared" si="4"/>
        <v>324.31853972222223</v>
      </c>
      <c r="L11" s="7">
        <f t="shared" si="4"/>
        <v>265</v>
      </c>
      <c r="M11" s="7">
        <f>SUM(M6:M10)</f>
        <v>162.15926986111111</v>
      </c>
    </row>
    <row r="12" spans="5:13" x14ac:dyDescent="0.25">
      <c r="E12" t="s">
        <v>14</v>
      </c>
      <c r="G12" s="5">
        <v>27400</v>
      </c>
      <c r="H12" s="7">
        <f t="shared" si="0"/>
        <v>1522.2222222222222</v>
      </c>
      <c r="I12" s="7">
        <f>H12*Sheet1!$P$14</f>
        <v>12972.74158888889</v>
      </c>
      <c r="J12" s="7">
        <f t="shared" si="1"/>
        <v>1297274158.8888891</v>
      </c>
      <c r="K12" s="7">
        <f t="shared" si="2"/>
        <v>129.72741588888891</v>
      </c>
      <c r="L12" s="7">
        <f>L11*10%</f>
        <v>26.5</v>
      </c>
      <c r="M12">
        <f t="shared" si="3"/>
        <v>64.863707944444457</v>
      </c>
    </row>
    <row r="13" spans="5:13" x14ac:dyDescent="0.25">
      <c r="E13" t="s">
        <v>15</v>
      </c>
      <c r="G13" s="5">
        <v>6850</v>
      </c>
      <c r="H13" s="7">
        <f t="shared" si="0"/>
        <v>380.55555555555554</v>
      </c>
      <c r="I13" s="7">
        <f>H13*Sheet1!$P$14</f>
        <v>3243.1853972222225</v>
      </c>
      <c r="J13" s="7">
        <f t="shared" si="1"/>
        <v>324318539.72222227</v>
      </c>
      <c r="K13" s="7">
        <f t="shared" si="2"/>
        <v>32.431853972222228</v>
      </c>
      <c r="L13" s="7">
        <f>5%*L11</f>
        <v>13.25</v>
      </c>
      <c r="M13">
        <f t="shared" si="3"/>
        <v>16.215926986111114</v>
      </c>
    </row>
    <row r="14" spans="5:13" x14ac:dyDescent="0.25">
      <c r="E14" t="s">
        <v>16</v>
      </c>
      <c r="G14" s="5">
        <v>20550</v>
      </c>
      <c r="H14" s="7">
        <f t="shared" si="0"/>
        <v>1141.6666666666667</v>
      </c>
      <c r="I14" s="7">
        <f>H14*Sheet1!$P$14</f>
        <v>9729.5561916666684</v>
      </c>
      <c r="J14" s="7">
        <f t="shared" si="1"/>
        <v>972955619.16666687</v>
      </c>
      <c r="K14" s="7">
        <f t="shared" si="2"/>
        <v>97.295561916666685</v>
      </c>
      <c r="L14" s="7">
        <f>L11*12%</f>
        <v>31.799999999999997</v>
      </c>
      <c r="M14">
        <f t="shared" si="3"/>
        <v>48.647780958333342</v>
      </c>
    </row>
    <row r="15" spans="5:13" x14ac:dyDescent="0.25">
      <c r="E15" t="s">
        <v>17</v>
      </c>
      <c r="G15" s="5">
        <v>13700</v>
      </c>
      <c r="H15" s="7">
        <f t="shared" si="0"/>
        <v>761.11111111111109</v>
      </c>
      <c r="I15" s="7">
        <f>H15*Sheet1!$P$14</f>
        <v>6486.370794444445</v>
      </c>
      <c r="J15" s="7">
        <f t="shared" si="1"/>
        <v>648637079.44444454</v>
      </c>
      <c r="K15" s="7">
        <f>J15/10^7</f>
        <v>64.863707944444457</v>
      </c>
      <c r="L15" s="7">
        <f>L11*10%</f>
        <v>26.5</v>
      </c>
      <c r="M15">
        <f t="shared" si="3"/>
        <v>32.431853972222228</v>
      </c>
    </row>
    <row r="16" spans="5:13" x14ac:dyDescent="0.25">
      <c r="E16" t="s">
        <v>18</v>
      </c>
      <c r="G16" s="5">
        <v>17125</v>
      </c>
      <c r="H16" s="7">
        <f t="shared" si="0"/>
        <v>951.38888888888891</v>
      </c>
      <c r="I16" s="7">
        <f>H16*Sheet1!$P$14</f>
        <v>8107.9634930555567</v>
      </c>
      <c r="J16" s="7">
        <f t="shared" si="1"/>
        <v>810796349.3055557</v>
      </c>
      <c r="K16" s="7">
        <f t="shared" si="2"/>
        <v>81.079634930555571</v>
      </c>
      <c r="L16" s="7">
        <f>L11*10%</f>
        <v>26.5</v>
      </c>
      <c r="M16">
        <f t="shared" si="3"/>
        <v>40.539817465277785</v>
      </c>
    </row>
    <row r="17" spans="5:14" x14ac:dyDescent="0.25">
      <c r="E17" t="s">
        <v>19</v>
      </c>
      <c r="G17" s="5">
        <v>34250</v>
      </c>
      <c r="H17" s="7">
        <f t="shared" si="0"/>
        <v>1902.7777777777778</v>
      </c>
      <c r="I17" s="7">
        <f>H17*Sheet1!$P$14</f>
        <v>16215.926986111113</v>
      </c>
      <c r="J17" s="7">
        <f t="shared" si="1"/>
        <v>1621592698.6111114</v>
      </c>
      <c r="K17" s="7">
        <f t="shared" si="2"/>
        <v>162.15926986111114</v>
      </c>
      <c r="L17" s="7">
        <f>10%*L11</f>
        <v>26.5</v>
      </c>
      <c r="M17">
        <f t="shared" si="3"/>
        <v>81.079634930555571</v>
      </c>
    </row>
    <row r="18" spans="5:14" x14ac:dyDescent="0.25">
      <c r="E18" t="s">
        <v>20</v>
      </c>
      <c r="G18" s="5">
        <v>4110</v>
      </c>
      <c r="H18" s="7">
        <f t="shared" si="0"/>
        <v>228.33333333333334</v>
      </c>
      <c r="I18" s="7">
        <f>H18*Sheet1!$P$14</f>
        <v>1945.9112383333336</v>
      </c>
      <c r="J18" s="7">
        <f t="shared" si="1"/>
        <v>194591123.83333337</v>
      </c>
      <c r="K18" s="7">
        <f t="shared" si="2"/>
        <v>19.459112383333338</v>
      </c>
      <c r="L18" s="7">
        <f>2%*L11</f>
        <v>5.3</v>
      </c>
      <c r="M18">
        <f t="shared" si="3"/>
        <v>9.7295561916666689</v>
      </c>
    </row>
    <row r="19" spans="5:14" x14ac:dyDescent="0.25">
      <c r="E19" s="5" t="s">
        <v>21</v>
      </c>
      <c r="G19" s="5">
        <f t="shared" ref="G19:L19" si="5">SUM(G11:G18)</f>
        <v>192485</v>
      </c>
      <c r="H19" s="7">
        <f t="shared" si="5"/>
        <v>10693.611111111111</v>
      </c>
      <c r="I19" s="7">
        <f t="shared" si="5"/>
        <v>91133.509661944452</v>
      </c>
      <c r="J19" s="7">
        <f t="shared" si="5"/>
        <v>9113350966.1944466</v>
      </c>
      <c r="K19" s="7">
        <f t="shared" si="5"/>
        <v>911.33509661944458</v>
      </c>
      <c r="L19" s="7">
        <f t="shared" si="5"/>
        <v>421.35</v>
      </c>
      <c r="M19" s="6">
        <f>SUM(M11:M18)</f>
        <v>455.66754830972229</v>
      </c>
    </row>
    <row r="20" spans="5:14" x14ac:dyDescent="0.25">
      <c r="E20" s="5" t="s">
        <v>7</v>
      </c>
      <c r="G20" s="5"/>
      <c r="H20" s="7"/>
      <c r="I20" s="5"/>
      <c r="J20" s="5"/>
    </row>
    <row r="21" spans="5:14" x14ac:dyDescent="0.25">
      <c r="E21" t="s">
        <v>24</v>
      </c>
      <c r="G21" s="5">
        <v>38497</v>
      </c>
      <c r="H21" s="7">
        <f t="shared" si="0"/>
        <v>2138.7222222222222</v>
      </c>
      <c r="I21" s="7">
        <f>H21*Sheet1!$P$14</f>
        <v>18226.701932388889</v>
      </c>
      <c r="J21" s="5">
        <f t="shared" ref="J21:J23" si="6">I21*100000</f>
        <v>1822670193.238889</v>
      </c>
      <c r="K21" s="7">
        <f t="shared" ref="K21:K23" si="7">J21/10^7</f>
        <v>182.26701932388889</v>
      </c>
      <c r="L21" s="7">
        <f>L19*5%</f>
        <v>21.067500000000003</v>
      </c>
      <c r="M21">
        <f t="shared" ref="M21:M23" si="8">(K21/100)*50</f>
        <v>91.133509661944444</v>
      </c>
    </row>
    <row r="22" spans="5:14" x14ac:dyDescent="0.25">
      <c r="E22" t="s">
        <v>25</v>
      </c>
      <c r="G22" s="5">
        <v>38497</v>
      </c>
      <c r="H22" s="7">
        <f t="shared" si="0"/>
        <v>2138.7222222222222</v>
      </c>
      <c r="I22" s="7">
        <f>H22*Sheet1!$P$14</f>
        <v>18226.701932388889</v>
      </c>
      <c r="J22" s="5">
        <f t="shared" si="6"/>
        <v>1822670193.238889</v>
      </c>
      <c r="K22" s="7">
        <f t="shared" si="7"/>
        <v>182.26701932388889</v>
      </c>
      <c r="L22" s="7">
        <f>L19*5%</f>
        <v>21.067500000000003</v>
      </c>
      <c r="M22">
        <f t="shared" si="8"/>
        <v>91.133509661944444</v>
      </c>
    </row>
    <row r="23" spans="5:14" x14ac:dyDescent="0.25">
      <c r="E23" t="s">
        <v>130</v>
      </c>
      <c r="G23" s="5">
        <v>38771</v>
      </c>
      <c r="H23" s="7">
        <f t="shared" si="0"/>
        <v>2153.9444444444443</v>
      </c>
      <c r="I23" s="7">
        <f>H23*Sheet1!$P$14</f>
        <v>18356.429348277779</v>
      </c>
      <c r="J23" s="5">
        <f t="shared" si="6"/>
        <v>1835642934.8277779</v>
      </c>
      <c r="K23" s="7">
        <f t="shared" si="7"/>
        <v>183.5642934827778</v>
      </c>
      <c r="L23" s="7">
        <f>L19*10%</f>
        <v>42.135000000000005</v>
      </c>
      <c r="M23">
        <f t="shared" si="8"/>
        <v>91.7821467413889</v>
      </c>
    </row>
    <row r="24" spans="5:14" x14ac:dyDescent="0.25">
      <c r="E24" s="5" t="s">
        <v>26</v>
      </c>
      <c r="G24" s="5">
        <f>SUM(G21:G23)</f>
        <v>115765</v>
      </c>
      <c r="H24" s="7">
        <f>SUM(H21:H23)</f>
        <v>6431.3888888888887</v>
      </c>
      <c r="I24" s="7">
        <f t="shared" ref="I24:K24" si="9">SUM(I21:I23)</f>
        <v>54809.833213055557</v>
      </c>
      <c r="J24" s="7">
        <f t="shared" si="9"/>
        <v>5480983321.3055553</v>
      </c>
      <c r="K24" s="7">
        <f t="shared" si="9"/>
        <v>548.0983321305556</v>
      </c>
      <c r="L24" s="7">
        <f>SUM(L21:L23)</f>
        <v>84.27000000000001</v>
      </c>
      <c r="M24" s="7">
        <f>SUM(M21:M23)</f>
        <v>274.0491660652778</v>
      </c>
    </row>
    <row r="25" spans="5:14" x14ac:dyDescent="0.25">
      <c r="E25" t="s">
        <v>22</v>
      </c>
      <c r="G25" s="5">
        <v>34250</v>
      </c>
      <c r="I25" s="5"/>
      <c r="J25" s="5"/>
      <c r="M25" s="6">
        <f>SUM(M19+M24)</f>
        <v>729.71671437500004</v>
      </c>
      <c r="N25">
        <v>550</v>
      </c>
    </row>
    <row r="26" spans="5:14" x14ac:dyDescent="0.25">
      <c r="E26" t="s">
        <v>23</v>
      </c>
      <c r="G26" s="5">
        <v>342500</v>
      </c>
      <c r="H26" s="7">
        <f>H24+H19</f>
        <v>17125</v>
      </c>
      <c r="I26" s="7">
        <f t="shared" ref="I26:J26" si="10">I24+I19</f>
        <v>145943.342875</v>
      </c>
      <c r="J26" s="7">
        <f t="shared" si="10"/>
        <v>14594334287.500002</v>
      </c>
      <c r="K26" s="7">
        <f>K24+K19</f>
        <v>1459.4334287500001</v>
      </c>
      <c r="L26" s="7">
        <f>SUM(L19+L24)</f>
        <v>505.62</v>
      </c>
      <c r="M26" s="7">
        <f>L26/100</f>
        <v>5.0562000000000005</v>
      </c>
      <c r="N26">
        <f>M26*50</f>
        <v>252.81000000000003</v>
      </c>
    </row>
    <row r="27" spans="5:14" x14ac:dyDescent="0.25">
      <c r="I27" s="5"/>
      <c r="J27" s="5"/>
      <c r="K27" s="7">
        <f>K26/100</f>
        <v>14.594334287500001</v>
      </c>
      <c r="M27" s="7">
        <f>M26*20</f>
        <v>101.12400000000001</v>
      </c>
    </row>
    <row r="28" spans="5:14" x14ac:dyDescent="0.25">
      <c r="K28" s="7">
        <f>K27*20</f>
        <v>291.88668575000003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ACE4-9790-41DA-B748-F85BDDC9E435}">
  <dimension ref="A1:M93"/>
  <sheetViews>
    <sheetView showGridLines="0" topLeftCell="A14" zoomScaleNormal="100" workbookViewId="0">
      <selection activeCell="C26" sqref="C26"/>
    </sheetView>
  </sheetViews>
  <sheetFormatPr defaultColWidth="9.140625" defaultRowHeight="12.75" x14ac:dyDescent="0.2"/>
  <cols>
    <col min="1" max="1" width="31.85546875" style="13" customWidth="1"/>
    <col min="2" max="2" width="25.7109375" style="13" customWidth="1"/>
    <col min="3" max="3" width="18" style="13" customWidth="1"/>
    <col min="4" max="4" width="14.7109375" style="13" customWidth="1"/>
    <col min="5" max="5" width="35" style="13" bestFit="1" customWidth="1"/>
    <col min="6" max="6" width="16.85546875" style="13" customWidth="1"/>
    <col min="7" max="7" width="13.28515625" style="13" customWidth="1"/>
    <col min="8" max="8" width="12" style="13" bestFit="1" customWidth="1"/>
    <col min="9" max="9" width="12" style="13" hidden="1" customWidth="1"/>
    <col min="10" max="10" width="0" style="13" hidden="1" customWidth="1"/>
    <col min="11" max="16384" width="9.140625" style="13"/>
  </cols>
  <sheetData>
    <row r="1" spans="1:13" x14ac:dyDescent="0.2">
      <c r="A1" s="8"/>
      <c r="B1" s="9"/>
      <c r="C1" s="10"/>
      <c r="D1" s="11" t="s">
        <v>33</v>
      </c>
      <c r="E1" s="12"/>
      <c r="F1" s="12"/>
      <c r="G1" s="11"/>
      <c r="H1" s="11"/>
      <c r="I1" s="10"/>
      <c r="J1" s="10"/>
    </row>
    <row r="2" spans="1:13" x14ac:dyDescent="0.2">
      <c r="A2" s="14" t="s">
        <v>34</v>
      </c>
      <c r="B2" s="14" t="s">
        <v>35</v>
      </c>
      <c r="C2" s="10"/>
      <c r="D2" s="15" t="s">
        <v>36</v>
      </c>
      <c r="E2" s="16" t="s">
        <v>37</v>
      </c>
      <c r="F2" s="17" t="s">
        <v>38</v>
      </c>
      <c r="G2" s="18" t="s">
        <v>39</v>
      </c>
      <c r="H2" s="17" t="s">
        <v>40</v>
      </c>
      <c r="I2" s="10"/>
      <c r="J2" s="10"/>
    </row>
    <row r="3" spans="1:13" x14ac:dyDescent="0.2">
      <c r="A3" s="19" t="s">
        <v>41</v>
      </c>
      <c r="B3" s="20">
        <v>0</v>
      </c>
      <c r="C3" s="10"/>
      <c r="D3" s="21">
        <v>1</v>
      </c>
      <c r="E3" s="22" t="s">
        <v>42</v>
      </c>
      <c r="F3" s="22">
        <v>3000</v>
      </c>
      <c r="G3" s="22" t="s">
        <v>43</v>
      </c>
      <c r="H3" s="23">
        <v>7</v>
      </c>
      <c r="I3" s="10"/>
      <c r="J3" s="10" t="s">
        <v>44</v>
      </c>
    </row>
    <row r="4" spans="1:13" x14ac:dyDescent="0.2">
      <c r="A4" s="19" t="s">
        <v>45</v>
      </c>
      <c r="B4" s="24">
        <f>D22</f>
        <v>18.254999999999999</v>
      </c>
      <c r="C4" s="10"/>
      <c r="D4" s="21">
        <v>2</v>
      </c>
      <c r="E4" s="22" t="s">
        <v>46</v>
      </c>
      <c r="F4" s="22">
        <v>50</v>
      </c>
      <c r="G4" s="22" t="s">
        <v>47</v>
      </c>
      <c r="H4" s="23">
        <v>2</v>
      </c>
      <c r="I4" s="10">
        <f>65*82</f>
        <v>5330</v>
      </c>
      <c r="J4" s="10">
        <f>I4/10</f>
        <v>533</v>
      </c>
    </row>
    <row r="5" spans="1:13" x14ac:dyDescent="0.2">
      <c r="A5" s="19" t="s">
        <v>48</v>
      </c>
      <c r="B5" s="25">
        <f>B45</f>
        <v>319.98750000000001</v>
      </c>
      <c r="C5" s="10"/>
      <c r="D5" s="21">
        <v>3</v>
      </c>
      <c r="E5" s="22" t="s">
        <v>49</v>
      </c>
      <c r="F5" s="22">
        <v>3</v>
      </c>
      <c r="G5" s="22" t="s">
        <v>50</v>
      </c>
      <c r="H5" s="23">
        <v>10</v>
      </c>
      <c r="I5" s="10"/>
      <c r="J5" s="10"/>
    </row>
    <row r="6" spans="1:13" x14ac:dyDescent="0.2">
      <c r="A6" s="19" t="s">
        <v>51</v>
      </c>
      <c r="B6" s="25">
        <f>B56</f>
        <v>15</v>
      </c>
      <c r="C6" s="10"/>
      <c r="D6" s="21">
        <v>4</v>
      </c>
      <c r="E6" s="22" t="s">
        <v>52</v>
      </c>
      <c r="F6" s="22">
        <v>5000</v>
      </c>
      <c r="G6" s="22" t="s">
        <v>53</v>
      </c>
      <c r="H6" s="23">
        <v>7</v>
      </c>
      <c r="I6" s="10"/>
      <c r="J6" s="10"/>
      <c r="M6" s="13">
        <f>(0.5/250)*5000</f>
        <v>10</v>
      </c>
    </row>
    <row r="7" spans="1:13" x14ac:dyDescent="0.2">
      <c r="A7" s="19" t="s">
        <v>54</v>
      </c>
      <c r="B7" s="25">
        <f>B30</f>
        <v>20</v>
      </c>
      <c r="C7" s="10"/>
      <c r="D7" s="21">
        <v>5</v>
      </c>
      <c r="E7" s="22" t="s">
        <v>55</v>
      </c>
      <c r="F7" s="22" t="s">
        <v>56</v>
      </c>
      <c r="G7" s="22" t="s">
        <v>53</v>
      </c>
      <c r="H7" s="23">
        <v>3</v>
      </c>
      <c r="I7" s="10"/>
      <c r="J7" s="10"/>
    </row>
    <row r="8" spans="1:13" x14ac:dyDescent="0.2">
      <c r="A8" s="19" t="s">
        <v>57</v>
      </c>
      <c r="B8" s="25">
        <f>B67</f>
        <v>2</v>
      </c>
      <c r="C8" s="10"/>
      <c r="D8" s="21">
        <v>6</v>
      </c>
      <c r="E8" s="22" t="s">
        <v>58</v>
      </c>
      <c r="F8" s="22">
        <v>100</v>
      </c>
      <c r="G8" s="22" t="s">
        <v>59</v>
      </c>
      <c r="H8" s="23">
        <v>0.5</v>
      </c>
      <c r="I8" s="10"/>
      <c r="J8" s="10"/>
    </row>
    <row r="9" spans="1:13" x14ac:dyDescent="0.2">
      <c r="A9" s="19" t="s">
        <v>60</v>
      </c>
      <c r="B9" s="25">
        <f>B34</f>
        <v>37.524250000000002</v>
      </c>
      <c r="C9" s="10"/>
      <c r="D9" s="21">
        <v>7</v>
      </c>
      <c r="E9" s="22" t="s">
        <v>61</v>
      </c>
      <c r="F9" s="22">
        <v>500</v>
      </c>
      <c r="G9" s="22" t="s">
        <v>62</v>
      </c>
      <c r="H9" s="23">
        <v>2</v>
      </c>
      <c r="I9" s="10"/>
      <c r="J9" s="10"/>
    </row>
    <row r="10" spans="1:13" x14ac:dyDescent="0.2">
      <c r="A10" s="19" t="s">
        <v>63</v>
      </c>
      <c r="B10" s="26">
        <v>4.5</v>
      </c>
      <c r="C10" s="10">
        <v>52</v>
      </c>
      <c r="D10" s="21">
        <v>8</v>
      </c>
      <c r="E10" s="27" t="s">
        <v>64</v>
      </c>
      <c r="F10" s="22">
        <v>2500</v>
      </c>
      <c r="G10" s="22" t="s">
        <v>65</v>
      </c>
      <c r="H10" s="23">
        <v>2.5</v>
      </c>
      <c r="I10" s="10"/>
      <c r="J10" s="10"/>
    </row>
    <row r="11" spans="1:13" ht="13.5" thickBot="1" x14ac:dyDescent="0.25">
      <c r="A11" s="28" t="s">
        <v>66</v>
      </c>
      <c r="B11" s="29">
        <f>SUM(B4:B10)</f>
        <v>417.26675</v>
      </c>
      <c r="C11" s="30">
        <f>B11*2%</f>
        <v>8.3453350000000004</v>
      </c>
      <c r="D11" s="21">
        <v>9</v>
      </c>
      <c r="E11" s="31" t="s">
        <v>67</v>
      </c>
      <c r="F11" s="32">
        <v>15</v>
      </c>
      <c r="G11" s="32" t="s">
        <v>68</v>
      </c>
      <c r="H11" s="33">
        <v>1</v>
      </c>
      <c r="I11" s="10"/>
      <c r="J11" s="10"/>
    </row>
    <row r="12" spans="1:13" ht="13.5" thickBot="1" x14ac:dyDescent="0.25">
      <c r="A12" s="28"/>
      <c r="B12" s="29"/>
      <c r="C12" s="30"/>
      <c r="D12" s="21">
        <v>10</v>
      </c>
      <c r="E12" s="33" t="s">
        <v>69</v>
      </c>
      <c r="F12" s="32">
        <v>500</v>
      </c>
      <c r="G12" s="32" t="s">
        <v>70</v>
      </c>
      <c r="H12" s="33">
        <v>1</v>
      </c>
      <c r="I12" s="10"/>
      <c r="J12" s="10"/>
    </row>
    <row r="13" spans="1:13" x14ac:dyDescent="0.2">
      <c r="A13" s="19" t="s">
        <v>71</v>
      </c>
      <c r="B13" s="25">
        <f>K87/100</f>
        <v>29.1043558125</v>
      </c>
      <c r="C13" s="30"/>
      <c r="I13" s="10"/>
      <c r="J13" s="10"/>
    </row>
    <row r="14" spans="1:13" x14ac:dyDescent="0.2">
      <c r="A14" s="34"/>
      <c r="B14" s="35">
        <f>B13+B11</f>
        <v>446.37110581249999</v>
      </c>
      <c r="C14" s="36">
        <f>'[3]Working Capital'!F16</f>
        <v>4.3802396084019879</v>
      </c>
      <c r="D14" s="17"/>
      <c r="E14" s="16" t="s">
        <v>72</v>
      </c>
      <c r="F14" s="16"/>
      <c r="G14" s="17"/>
      <c r="H14" s="37">
        <f>SUM(H3:H12)</f>
        <v>36</v>
      </c>
      <c r="I14" s="10"/>
      <c r="J14" s="10"/>
    </row>
    <row r="15" spans="1:13" x14ac:dyDescent="0.2">
      <c r="A15" s="19" t="s">
        <v>73</v>
      </c>
      <c r="B15" s="38">
        <v>0.25</v>
      </c>
      <c r="C15" s="10"/>
      <c r="D15" s="39">
        <v>586.24545750000004</v>
      </c>
      <c r="E15" s="39">
        <f>D15*1.05</f>
        <v>615.55773037500012</v>
      </c>
      <c r="F15" s="40"/>
      <c r="G15" s="41"/>
      <c r="H15" s="41"/>
      <c r="I15" s="10"/>
      <c r="J15" s="10"/>
    </row>
    <row r="16" spans="1:13" x14ac:dyDescent="0.2">
      <c r="A16" s="8"/>
      <c r="B16" s="9"/>
      <c r="C16" s="10"/>
      <c r="D16" s="10"/>
      <c r="E16" s="42"/>
      <c r="F16" s="9"/>
      <c r="G16" s="10"/>
      <c r="H16" s="10"/>
      <c r="I16" s="10"/>
      <c r="J16" s="10"/>
    </row>
    <row r="17" spans="1:7" ht="41.25" customHeight="1" x14ac:dyDescent="0.2">
      <c r="A17" s="120"/>
      <c r="B17" s="120"/>
      <c r="C17" s="120"/>
      <c r="D17" s="120"/>
      <c r="E17" s="120"/>
      <c r="F17" s="43"/>
    </row>
    <row r="18" spans="1:7" x14ac:dyDescent="0.2">
      <c r="A18" s="44" t="s">
        <v>74</v>
      </c>
      <c r="B18" s="44" t="s">
        <v>75</v>
      </c>
      <c r="C18" s="44" t="s">
        <v>76</v>
      </c>
      <c r="D18" s="44" t="s">
        <v>77</v>
      </c>
      <c r="G18" s="45">
        <f>B11-[6]Capex!$B$11</f>
        <v>-168.52500000000009</v>
      </c>
    </row>
    <row r="19" spans="1:7" x14ac:dyDescent="0.2">
      <c r="A19" s="44"/>
      <c r="B19" s="44" t="s">
        <v>78</v>
      </c>
      <c r="C19" s="44"/>
      <c r="D19" s="44" t="s">
        <v>35</v>
      </c>
    </row>
    <row r="20" spans="1:7" x14ac:dyDescent="0.2">
      <c r="A20" s="44" t="s">
        <v>79</v>
      </c>
      <c r="B20" s="44">
        <f>31*42</f>
        <v>1302</v>
      </c>
      <c r="C20" s="44">
        <v>25000</v>
      </c>
      <c r="D20" s="46">
        <f>(C20*B20)/10^7</f>
        <v>3.2549999999999999</v>
      </c>
    </row>
    <row r="21" spans="1:7" ht="76.5" x14ac:dyDescent="0.2">
      <c r="A21" s="47" t="s">
        <v>80</v>
      </c>
      <c r="B21" s="48" t="s">
        <v>81</v>
      </c>
      <c r="C21" s="44"/>
      <c r="D21" s="49">
        <v>15</v>
      </c>
    </row>
    <row r="22" spans="1:7" x14ac:dyDescent="0.2">
      <c r="A22" s="44" t="s">
        <v>72</v>
      </c>
      <c r="B22" s="44"/>
      <c r="C22" s="44"/>
      <c r="D22" s="46">
        <f>SUM(D20:D21)</f>
        <v>18.254999999999999</v>
      </c>
    </row>
    <row r="23" spans="1:7" x14ac:dyDescent="0.2">
      <c r="A23" s="44"/>
      <c r="B23" s="44"/>
      <c r="C23" s="44"/>
      <c r="D23" s="44"/>
    </row>
    <row r="24" spans="1:7" x14ac:dyDescent="0.2">
      <c r="A24" s="44"/>
      <c r="B24" s="44"/>
      <c r="C24" s="44"/>
      <c r="D24" s="44"/>
    </row>
    <row r="25" spans="1:7" x14ac:dyDescent="0.2">
      <c r="A25" s="44" t="s">
        <v>60</v>
      </c>
      <c r="B25" s="44"/>
      <c r="C25" s="44"/>
      <c r="D25" s="44"/>
    </row>
    <row r="26" spans="1:7" x14ac:dyDescent="0.2">
      <c r="A26" s="44" t="s">
        <v>37</v>
      </c>
      <c r="B26" s="44" t="s">
        <v>35</v>
      </c>
      <c r="C26" s="44"/>
      <c r="D26" s="44"/>
    </row>
    <row r="27" spans="1:7" x14ac:dyDescent="0.2">
      <c r="A27" s="44" t="s">
        <v>82</v>
      </c>
      <c r="B27" s="46">
        <f>D22</f>
        <v>18.254999999999999</v>
      </c>
      <c r="C27" s="44"/>
      <c r="D27" s="44"/>
    </row>
    <row r="28" spans="1:7" x14ac:dyDescent="0.2">
      <c r="A28" s="44" t="s">
        <v>83</v>
      </c>
      <c r="B28" s="50">
        <f>B45</f>
        <v>319.98750000000001</v>
      </c>
      <c r="C28" s="44"/>
      <c r="D28" s="44"/>
    </row>
    <row r="29" spans="1:7" x14ac:dyDescent="0.2">
      <c r="A29" s="44" t="s">
        <v>51</v>
      </c>
      <c r="B29" s="44">
        <f>B56</f>
        <v>15</v>
      </c>
      <c r="C29" s="44"/>
      <c r="D29" s="44"/>
    </row>
    <row r="30" spans="1:7" x14ac:dyDescent="0.2">
      <c r="A30" s="44" t="s">
        <v>54</v>
      </c>
      <c r="B30" s="44">
        <v>20</v>
      </c>
      <c r="C30" s="44"/>
      <c r="D30" s="44"/>
    </row>
    <row r="31" spans="1:7" x14ac:dyDescent="0.2">
      <c r="A31" s="44" t="s">
        <v>84</v>
      </c>
      <c r="B31" s="44">
        <v>2</v>
      </c>
      <c r="C31" s="44"/>
      <c r="D31" s="44"/>
    </row>
    <row r="32" spans="1:7" x14ac:dyDescent="0.2">
      <c r="A32" s="44" t="s">
        <v>72</v>
      </c>
      <c r="B32" s="50">
        <f>SUM(B27:B31)</f>
        <v>375.24250000000001</v>
      </c>
      <c r="C32" s="44"/>
      <c r="D32" s="44"/>
    </row>
    <row r="33" spans="1:6" x14ac:dyDescent="0.2">
      <c r="A33" s="44"/>
      <c r="B33" s="44"/>
      <c r="C33" s="44"/>
      <c r="D33" s="44"/>
    </row>
    <row r="34" spans="1:6" x14ac:dyDescent="0.2">
      <c r="A34" s="44" t="s">
        <v>85</v>
      </c>
      <c r="B34" s="51">
        <f>B32*0.1</f>
        <v>37.524250000000002</v>
      </c>
      <c r="C34" s="44"/>
      <c r="D34" s="44"/>
      <c r="E34" s="45">
        <f>B32*0.14</f>
        <v>52.533950000000004</v>
      </c>
      <c r="F34" s="45">
        <f>E34-B34</f>
        <v>15.009700000000002</v>
      </c>
    </row>
    <row r="35" spans="1:6" x14ac:dyDescent="0.2">
      <c r="A35" s="44"/>
      <c r="B35" s="44"/>
      <c r="C35" s="44"/>
      <c r="D35" s="44"/>
    </row>
    <row r="36" spans="1:6" x14ac:dyDescent="0.2">
      <c r="A36" s="44"/>
      <c r="B36" s="44"/>
      <c r="C36" s="44"/>
      <c r="D36" s="44"/>
    </row>
    <row r="37" spans="1:6" x14ac:dyDescent="0.2">
      <c r="A37" s="44"/>
      <c r="B37" s="44"/>
      <c r="C37" s="44"/>
      <c r="D37" s="44"/>
    </row>
    <row r="38" spans="1:6" x14ac:dyDescent="0.2">
      <c r="A38" s="44" t="s">
        <v>86</v>
      </c>
      <c r="B38" s="44" t="s">
        <v>35</v>
      </c>
      <c r="C38" s="44"/>
      <c r="D38" s="44"/>
    </row>
    <row r="39" spans="1:6" x14ac:dyDescent="0.2">
      <c r="A39" s="44" t="s">
        <v>87</v>
      </c>
      <c r="B39" s="52">
        <v>265</v>
      </c>
      <c r="C39" s="44">
        <v>365</v>
      </c>
      <c r="D39" s="44"/>
      <c r="E39" s="13">
        <v>370</v>
      </c>
      <c r="F39" s="52">
        <v>365</v>
      </c>
    </row>
    <row r="40" spans="1:6" x14ac:dyDescent="0.2">
      <c r="A40" s="44" t="s">
        <v>88</v>
      </c>
      <c r="B40" s="53">
        <f>5%*B39</f>
        <v>13.25</v>
      </c>
      <c r="C40" s="44"/>
      <c r="D40" s="44"/>
      <c r="F40" s="53">
        <f>5%*F39</f>
        <v>18.25</v>
      </c>
    </row>
    <row r="41" spans="1:6" x14ac:dyDescent="0.2">
      <c r="A41" s="44" t="s">
        <v>89</v>
      </c>
      <c r="B41" s="53">
        <f>1%*(B39+B40)</f>
        <v>2.7825000000000002</v>
      </c>
      <c r="C41" s="44"/>
      <c r="D41" s="44"/>
      <c r="F41" s="53"/>
    </row>
    <row r="42" spans="1:6" x14ac:dyDescent="0.2">
      <c r="A42" s="44" t="s">
        <v>90</v>
      </c>
      <c r="B42" s="53">
        <f>2%*(B39+B40)</f>
        <v>5.5650000000000004</v>
      </c>
      <c r="C42" s="44"/>
      <c r="D42" s="44"/>
      <c r="F42" s="53">
        <f>2%*(F39+F40)</f>
        <v>7.665</v>
      </c>
    </row>
    <row r="43" spans="1:6" x14ac:dyDescent="0.2">
      <c r="A43" s="44" t="s">
        <v>91</v>
      </c>
      <c r="B43" s="53">
        <f>10%*(B39+B40)</f>
        <v>27.825000000000003</v>
      </c>
      <c r="C43" s="44"/>
      <c r="D43" s="44"/>
      <c r="E43" s="13">
        <f>10%*(B40+B39)</f>
        <v>27.825000000000003</v>
      </c>
      <c r="F43" s="53">
        <f>10%*(F39+F40)</f>
        <v>38.325000000000003</v>
      </c>
    </row>
    <row r="44" spans="1:6" x14ac:dyDescent="0.2">
      <c r="A44" s="44" t="s">
        <v>92</v>
      </c>
      <c r="B44" s="53">
        <f>2%*(B39+B40)</f>
        <v>5.5650000000000004</v>
      </c>
      <c r="C44" s="44"/>
      <c r="D44" s="44"/>
      <c r="F44" s="53">
        <f>2%*(F39+F40)</f>
        <v>7.665</v>
      </c>
    </row>
    <row r="45" spans="1:6" x14ac:dyDescent="0.2">
      <c r="A45" s="44" t="s">
        <v>72</v>
      </c>
      <c r="B45" s="53">
        <f>SUM(B39:B44)</f>
        <v>319.98750000000001</v>
      </c>
      <c r="C45" s="44"/>
      <c r="D45" s="44"/>
      <c r="F45" s="53">
        <f>SUM(F39:F44)</f>
        <v>436.90500000000003</v>
      </c>
    </row>
    <row r="46" spans="1:6" x14ac:dyDescent="0.2">
      <c r="A46" s="44"/>
      <c r="B46" s="44"/>
      <c r="C46" s="44"/>
      <c r="D46" s="44"/>
    </row>
    <row r="47" spans="1:6" x14ac:dyDescent="0.2">
      <c r="A47" s="44" t="s">
        <v>51</v>
      </c>
      <c r="B47" s="44"/>
      <c r="C47" s="44"/>
      <c r="D47" s="44"/>
    </row>
    <row r="48" spans="1:6" x14ac:dyDescent="0.2">
      <c r="A48" s="44"/>
      <c r="B48" s="44"/>
      <c r="C48" s="44"/>
      <c r="D48" s="44"/>
    </row>
    <row r="49" spans="1:4" x14ac:dyDescent="0.2">
      <c r="A49" s="44" t="s">
        <v>93</v>
      </c>
      <c r="B49" s="44"/>
      <c r="C49" s="44"/>
      <c r="D49" s="44"/>
    </row>
    <row r="50" spans="1:4" x14ac:dyDescent="0.2">
      <c r="A50" s="44" t="s">
        <v>94</v>
      </c>
      <c r="B50" s="44"/>
      <c r="C50" s="44"/>
      <c r="D50" s="44"/>
    </row>
    <row r="51" spans="1:4" x14ac:dyDescent="0.2">
      <c r="A51" s="44" t="s">
        <v>95</v>
      </c>
      <c r="B51" s="44"/>
      <c r="C51" s="44"/>
      <c r="D51" s="44"/>
    </row>
    <row r="52" spans="1:4" x14ac:dyDescent="0.2">
      <c r="A52" s="44" t="s">
        <v>96</v>
      </c>
      <c r="B52" s="44"/>
      <c r="C52" s="44"/>
      <c r="D52" s="44"/>
    </row>
    <row r="53" spans="1:4" x14ac:dyDescent="0.2">
      <c r="A53" s="44" t="s">
        <v>97</v>
      </c>
      <c r="B53" s="44"/>
      <c r="C53" s="44"/>
      <c r="D53" s="44"/>
    </row>
    <row r="54" spans="1:4" x14ac:dyDescent="0.2">
      <c r="A54" s="44" t="s">
        <v>98</v>
      </c>
      <c r="B54" s="44"/>
      <c r="C54" s="44"/>
      <c r="D54" s="44"/>
    </row>
    <row r="55" spans="1:4" x14ac:dyDescent="0.2">
      <c r="A55" s="44" t="s">
        <v>99</v>
      </c>
      <c r="B55" s="44"/>
      <c r="C55" s="44"/>
      <c r="D55" s="44"/>
    </row>
    <row r="56" spans="1:4" x14ac:dyDescent="0.2">
      <c r="A56" s="44" t="s">
        <v>72</v>
      </c>
      <c r="B56" s="44">
        <v>15</v>
      </c>
      <c r="C56" s="44"/>
      <c r="D56" s="44"/>
    </row>
    <row r="57" spans="1:4" x14ac:dyDescent="0.2">
      <c r="A57" s="44"/>
      <c r="B57" s="44"/>
      <c r="C57" s="44"/>
      <c r="D57" s="44"/>
    </row>
    <row r="58" spans="1:4" x14ac:dyDescent="0.2">
      <c r="A58" s="44"/>
      <c r="B58" s="44"/>
      <c r="C58" s="44"/>
      <c r="D58" s="44"/>
    </row>
    <row r="59" spans="1:4" x14ac:dyDescent="0.2">
      <c r="A59" s="44" t="s">
        <v>100</v>
      </c>
      <c r="B59" s="44"/>
      <c r="C59" s="44"/>
      <c r="D59" s="44"/>
    </row>
    <row r="60" spans="1:4" x14ac:dyDescent="0.2">
      <c r="A60" s="44"/>
      <c r="B60" s="44"/>
      <c r="C60" s="44"/>
      <c r="D60" s="44"/>
    </row>
    <row r="61" spans="1:4" x14ac:dyDescent="0.2">
      <c r="A61" s="44" t="s">
        <v>37</v>
      </c>
      <c r="B61" s="44"/>
      <c r="C61" s="44"/>
      <c r="D61" s="44"/>
    </row>
    <row r="62" spans="1:4" x14ac:dyDescent="0.2">
      <c r="A62" s="44" t="s">
        <v>101</v>
      </c>
      <c r="B62" s="44"/>
      <c r="C62" s="44"/>
      <c r="D62" s="44"/>
    </row>
    <row r="63" spans="1:4" x14ac:dyDescent="0.2">
      <c r="A63" s="44" t="s">
        <v>102</v>
      </c>
      <c r="B63" s="44"/>
      <c r="C63" s="44"/>
      <c r="D63" s="44"/>
    </row>
    <row r="64" spans="1:4" x14ac:dyDescent="0.2">
      <c r="A64" s="44" t="s">
        <v>103</v>
      </c>
      <c r="B64" s="44"/>
      <c r="C64" s="44"/>
      <c r="D64" s="44"/>
    </row>
    <row r="65" spans="1:11" x14ac:dyDescent="0.2">
      <c r="A65" s="44" t="s">
        <v>104</v>
      </c>
      <c r="B65" s="44"/>
      <c r="C65" s="44"/>
      <c r="D65" s="44"/>
    </row>
    <row r="66" spans="1:11" x14ac:dyDescent="0.2">
      <c r="A66" s="44" t="s">
        <v>105</v>
      </c>
      <c r="B66" s="44"/>
      <c r="C66" s="44"/>
      <c r="D66" s="44"/>
    </row>
    <row r="67" spans="1:11" x14ac:dyDescent="0.2">
      <c r="A67" s="44" t="s">
        <v>72</v>
      </c>
      <c r="B67" s="44">
        <v>2</v>
      </c>
      <c r="C67" s="44"/>
      <c r="D67" s="44"/>
    </row>
    <row r="68" spans="1:11" s="55" customFormat="1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spans="1:11" s="57" customFormat="1" x14ac:dyDescent="0.2">
      <c r="A69" s="56" t="s">
        <v>71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spans="1:11" s="57" customFormat="1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spans="1:11" s="57" customFormat="1" x14ac:dyDescent="0.2">
      <c r="A71" s="58" t="s">
        <v>106</v>
      </c>
      <c r="B71" s="59">
        <f>B11*100</f>
        <v>41726.675000000003</v>
      </c>
      <c r="C71" s="58" t="s">
        <v>107</v>
      </c>
      <c r="D71" s="54"/>
      <c r="E71" s="54"/>
      <c r="F71" s="54"/>
      <c r="G71" s="54"/>
      <c r="H71" s="54"/>
      <c r="I71" s="54"/>
      <c r="J71" s="54"/>
      <c r="K71" s="54"/>
    </row>
    <row r="72" spans="1:11" s="57" customFormat="1" x14ac:dyDescent="0.2">
      <c r="A72" s="58" t="s">
        <v>108</v>
      </c>
      <c r="B72" s="60">
        <f>K87</f>
        <v>2910.4355812499998</v>
      </c>
      <c r="C72" s="58" t="s">
        <v>107</v>
      </c>
      <c r="D72" s="54"/>
      <c r="E72" s="54"/>
      <c r="F72" s="54"/>
      <c r="G72" s="54"/>
      <c r="H72" s="54"/>
      <c r="I72" s="54"/>
      <c r="J72" s="54"/>
      <c r="K72" s="54"/>
    </row>
    <row r="73" spans="1:11" s="57" customFormat="1" x14ac:dyDescent="0.2">
      <c r="A73" s="58" t="s">
        <v>109</v>
      </c>
      <c r="B73" s="61">
        <f>B71+B72</f>
        <v>44637.110581250003</v>
      </c>
      <c r="C73" s="58" t="s">
        <v>107</v>
      </c>
      <c r="D73" s="54"/>
      <c r="E73" s="54"/>
      <c r="F73" s="54"/>
      <c r="G73" s="54"/>
      <c r="H73" s="54"/>
      <c r="I73" s="54"/>
      <c r="J73" s="54"/>
      <c r="K73" s="54"/>
    </row>
    <row r="74" spans="1:11" s="57" customFormat="1" x14ac:dyDescent="0.2">
      <c r="A74" s="58"/>
      <c r="B74" s="59"/>
      <c r="C74" s="58"/>
      <c r="D74" s="54"/>
      <c r="E74" s="54"/>
      <c r="F74" s="54"/>
      <c r="G74" s="54"/>
      <c r="H74" s="54"/>
      <c r="I74" s="54"/>
      <c r="J74" s="54"/>
      <c r="K74" s="54"/>
    </row>
    <row r="75" spans="1:11" s="57" customFormat="1" x14ac:dyDescent="0.2">
      <c r="A75" s="58" t="s">
        <v>110</v>
      </c>
      <c r="B75" s="62">
        <v>0.75</v>
      </c>
      <c r="C75" s="62">
        <v>0.25</v>
      </c>
      <c r="D75" s="54"/>
      <c r="E75" s="54"/>
      <c r="F75" s="54"/>
      <c r="G75" s="54"/>
      <c r="H75" s="54"/>
      <c r="I75" s="54"/>
      <c r="J75" s="54"/>
      <c r="K75" s="54"/>
    </row>
    <row r="76" spans="1:11" s="57" customFormat="1" x14ac:dyDescent="0.2">
      <c r="A76" s="58" t="s">
        <v>111</v>
      </c>
      <c r="B76" s="63">
        <f>B71-B77+B72</f>
        <v>34205.441831250006</v>
      </c>
      <c r="C76" s="58"/>
      <c r="D76" s="54"/>
      <c r="E76" s="54"/>
      <c r="F76" s="54"/>
      <c r="G76" s="54"/>
      <c r="H76" s="54"/>
      <c r="I76" s="54"/>
      <c r="J76" s="54"/>
      <c r="K76" s="54"/>
    </row>
    <row r="77" spans="1:11" s="57" customFormat="1" x14ac:dyDescent="0.2">
      <c r="A77" s="58" t="s">
        <v>112</v>
      </c>
      <c r="B77" s="63">
        <f>B71*C75</f>
        <v>10431.668750000001</v>
      </c>
      <c r="C77" s="58"/>
      <c r="D77" s="54"/>
      <c r="E77" s="54"/>
      <c r="F77" s="54"/>
      <c r="G77" s="54"/>
      <c r="H77" s="54"/>
      <c r="I77" s="54"/>
      <c r="J77" s="54"/>
      <c r="K77" s="54"/>
    </row>
    <row r="78" spans="1:11" s="57" customFormat="1" x14ac:dyDescent="0.2">
      <c r="A78" s="58"/>
      <c r="B78" s="64">
        <f>B76+B77</f>
        <v>44637.110581250003</v>
      </c>
      <c r="C78" s="17"/>
      <c r="D78" s="56"/>
      <c r="E78" s="56"/>
      <c r="F78" s="56"/>
      <c r="G78" s="56"/>
      <c r="H78" s="54"/>
      <c r="I78" s="56"/>
      <c r="J78" s="56"/>
      <c r="K78" s="56"/>
    </row>
    <row r="79" spans="1:11" s="69" customFormat="1" x14ac:dyDescent="0.2">
      <c r="A79" s="65">
        <v>1</v>
      </c>
      <c r="B79" s="66" t="s">
        <v>113</v>
      </c>
      <c r="C79" s="67">
        <v>24</v>
      </c>
      <c r="D79" s="68"/>
      <c r="E79" s="68"/>
      <c r="F79" s="68"/>
      <c r="G79" s="68"/>
      <c r="H79" s="68"/>
      <c r="I79" s="68"/>
      <c r="J79" s="68"/>
      <c r="K79" s="68"/>
    </row>
    <row r="80" spans="1:11" s="69" customFormat="1" x14ac:dyDescent="0.2">
      <c r="A80" s="65">
        <v>2</v>
      </c>
      <c r="B80" s="66" t="s">
        <v>114</v>
      </c>
      <c r="C80" s="70">
        <f>[3]Norms!B52</f>
        <v>0.09</v>
      </c>
      <c r="D80" s="68"/>
      <c r="E80" s="68"/>
      <c r="F80" s="68"/>
      <c r="G80" s="68"/>
      <c r="H80" s="68"/>
      <c r="I80" s="68"/>
      <c r="J80" s="68"/>
      <c r="K80" s="68"/>
    </row>
    <row r="81" spans="1:11" s="57" customFormat="1" x14ac:dyDescent="0.2">
      <c r="A81" s="71"/>
      <c r="B81" s="54"/>
      <c r="C81" s="72"/>
      <c r="D81" s="54"/>
      <c r="E81" s="121" t="s">
        <v>112</v>
      </c>
      <c r="F81" s="122"/>
      <c r="G81" s="123"/>
      <c r="H81" s="121" t="s">
        <v>111</v>
      </c>
      <c r="I81" s="122"/>
      <c r="J81" s="122"/>
      <c r="K81" s="123"/>
    </row>
    <row r="82" spans="1:11" s="57" customFormat="1" x14ac:dyDescent="0.2">
      <c r="A82" s="73" t="s">
        <v>115</v>
      </c>
      <c r="B82" s="58" t="s">
        <v>116</v>
      </c>
      <c r="C82" s="60" t="s">
        <v>117</v>
      </c>
      <c r="D82" s="73" t="s">
        <v>118</v>
      </c>
      <c r="E82" s="73" t="s">
        <v>119</v>
      </c>
      <c r="F82" s="73" t="s">
        <v>120</v>
      </c>
      <c r="G82" s="73" t="s">
        <v>121</v>
      </c>
      <c r="H82" s="73" t="s">
        <v>119</v>
      </c>
      <c r="I82" s="73" t="s">
        <v>122</v>
      </c>
      <c r="J82" s="73" t="s">
        <v>121</v>
      </c>
      <c r="K82" s="73" t="s">
        <v>123</v>
      </c>
    </row>
    <row r="83" spans="1:11" s="69" customFormat="1" x14ac:dyDescent="0.2">
      <c r="A83" s="65">
        <v>1</v>
      </c>
      <c r="B83" s="58" t="s">
        <v>124</v>
      </c>
      <c r="C83" s="74">
        <v>0.2</v>
      </c>
      <c r="D83" s="60">
        <f>C83*$B$71</f>
        <v>8345.3350000000009</v>
      </c>
      <c r="E83" s="67">
        <f>D83</f>
        <v>8345.3350000000009</v>
      </c>
      <c r="F83" s="67">
        <f>E83</f>
        <v>8345.3350000000009</v>
      </c>
      <c r="G83" s="67">
        <f>B77-F83</f>
        <v>2086.3337499999998</v>
      </c>
      <c r="H83" s="67">
        <f>D83-E83</f>
        <v>0</v>
      </c>
      <c r="I83" s="67">
        <f>H83</f>
        <v>0</v>
      </c>
      <c r="J83" s="67">
        <f>B76-I83</f>
        <v>34205.441831250006</v>
      </c>
      <c r="K83" s="67">
        <f>I83*$C$80/2</f>
        <v>0</v>
      </c>
    </row>
    <row r="84" spans="1:11" s="69" customFormat="1" x14ac:dyDescent="0.2">
      <c r="A84" s="65">
        <v>2</v>
      </c>
      <c r="B84" s="58" t="s">
        <v>125</v>
      </c>
      <c r="C84" s="74">
        <v>0.3</v>
      </c>
      <c r="D84" s="60">
        <f t="shared" ref="D84:D86" si="0">C84*$B$71</f>
        <v>12518.002500000001</v>
      </c>
      <c r="E84" s="67">
        <f>IF(G83&gt;0, MIN(D84,G83),0)</f>
        <v>2086.3337499999998</v>
      </c>
      <c r="F84" s="67">
        <f>E84+F83</f>
        <v>10431.668750000001</v>
      </c>
      <c r="G84" s="67">
        <f>$B$77-F84</f>
        <v>0</v>
      </c>
      <c r="H84" s="67">
        <f>D84-E84</f>
        <v>10431.668750000001</v>
      </c>
      <c r="I84" s="67">
        <f>H84+I83</f>
        <v>10431.668750000001</v>
      </c>
      <c r="J84" s="67">
        <f>$B$76-I84</f>
        <v>23773.773081250005</v>
      </c>
      <c r="K84" s="67">
        <f t="shared" ref="K84:K86" si="1">I84*$C$80/2</f>
        <v>469.42509375000003</v>
      </c>
    </row>
    <row r="85" spans="1:11" s="69" customFormat="1" x14ac:dyDescent="0.2">
      <c r="A85" s="65">
        <v>3</v>
      </c>
      <c r="B85" s="58" t="s">
        <v>126</v>
      </c>
      <c r="C85" s="74">
        <v>0.3</v>
      </c>
      <c r="D85" s="60">
        <f t="shared" si="0"/>
        <v>12518.002500000001</v>
      </c>
      <c r="E85" s="67">
        <f>IF(G84&gt;0, MIN(D85,G84),0)</f>
        <v>0</v>
      </c>
      <c r="F85" s="67">
        <f>E85+F84</f>
        <v>10431.668750000001</v>
      </c>
      <c r="G85" s="67">
        <f t="shared" ref="G85:G87" si="2">$B$77-F85</f>
        <v>0</v>
      </c>
      <c r="H85" s="67">
        <f t="shared" ref="H85:H86" si="3">D85-E85</f>
        <v>12518.002500000001</v>
      </c>
      <c r="I85" s="67">
        <f>H85+I84</f>
        <v>22949.671249999999</v>
      </c>
      <c r="J85" s="67">
        <f>$B$76-I85</f>
        <v>11255.770581250006</v>
      </c>
      <c r="K85" s="67">
        <f t="shared" si="1"/>
        <v>1032.7352062499999</v>
      </c>
    </row>
    <row r="86" spans="1:11" s="69" customFormat="1" x14ac:dyDescent="0.2">
      <c r="A86" s="65">
        <v>4</v>
      </c>
      <c r="B86" s="58" t="s">
        <v>127</v>
      </c>
      <c r="C86" s="74">
        <v>0.2</v>
      </c>
      <c r="D86" s="60">
        <f t="shared" si="0"/>
        <v>8345.3350000000009</v>
      </c>
      <c r="E86" s="67">
        <f>IF(G85&gt;0, MIN(D86,G85),0)</f>
        <v>0</v>
      </c>
      <c r="F86" s="67">
        <f>E86+F85</f>
        <v>10431.668750000001</v>
      </c>
      <c r="G86" s="67">
        <f t="shared" si="2"/>
        <v>0</v>
      </c>
      <c r="H86" s="67">
        <f t="shared" si="3"/>
        <v>8345.3350000000009</v>
      </c>
      <c r="I86" s="67">
        <f>H86+I85</f>
        <v>31295.006249999999</v>
      </c>
      <c r="J86" s="67">
        <f>$B$76-I86</f>
        <v>2910.4355812500071</v>
      </c>
      <c r="K86" s="67">
        <f t="shared" si="1"/>
        <v>1408.2752812499998</v>
      </c>
    </row>
    <row r="87" spans="1:11" s="69" customFormat="1" x14ac:dyDescent="0.2">
      <c r="A87" s="65"/>
      <c r="B87" s="75" t="s">
        <v>72</v>
      </c>
      <c r="C87" s="70">
        <f>SUM(C83:C86)</f>
        <v>1</v>
      </c>
      <c r="D87" s="60">
        <f>SUM(D83:D86)</f>
        <v>41726.675000000003</v>
      </c>
      <c r="E87" s="67">
        <f>SUM(E83:E86)</f>
        <v>10431.668750000001</v>
      </c>
      <c r="F87" s="67">
        <f>F86</f>
        <v>10431.668750000001</v>
      </c>
      <c r="G87" s="67">
        <f t="shared" si="2"/>
        <v>0</v>
      </c>
      <c r="H87" s="67">
        <f>SUM(H83:H86)</f>
        <v>31295.006249999999</v>
      </c>
      <c r="I87" s="67">
        <f>I86</f>
        <v>31295.006249999999</v>
      </c>
      <c r="J87" s="67">
        <f>J86</f>
        <v>2910.4355812500071</v>
      </c>
      <c r="K87" s="76">
        <f>SUM(K83:K86)</f>
        <v>2910.4355812499998</v>
      </c>
    </row>
    <row r="88" spans="1:11" s="69" customFormat="1" x14ac:dyDescent="0.2"/>
    <row r="93" spans="1:11" x14ac:dyDescent="0.2">
      <c r="K93" s="13" t="s">
        <v>128</v>
      </c>
    </row>
  </sheetData>
  <mergeCells count="3">
    <mergeCell ref="A17:E17"/>
    <mergeCell ref="E81:G81"/>
    <mergeCell ref="H81:K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C74-7B96-4EBA-8754-3284E7812274}">
  <dimension ref="A1:W18"/>
  <sheetViews>
    <sheetView showGridLines="0" tabSelected="1" zoomScaleNormal="100" workbookViewId="0">
      <selection activeCell="U13" sqref="U13"/>
    </sheetView>
  </sheetViews>
  <sheetFormatPr defaultColWidth="9.140625" defaultRowHeight="15" x14ac:dyDescent="0.25"/>
  <cols>
    <col min="1" max="1" width="54.140625" style="113" customWidth="1"/>
    <col min="2" max="2" width="17.85546875" style="113" customWidth="1"/>
    <col min="3" max="3" width="18.140625" style="113" customWidth="1"/>
    <col min="4" max="4" width="13.140625" style="113" customWidth="1"/>
    <col min="5" max="5" width="15.140625" style="113" hidden="1" customWidth="1"/>
    <col min="6" max="6" width="14.42578125" style="113" hidden="1" customWidth="1"/>
    <col min="7" max="7" width="12.28515625" style="113" hidden="1" customWidth="1"/>
    <col min="8" max="18" width="11.5703125" style="113" hidden="1" customWidth="1"/>
    <col min="19" max="19" width="15.7109375" style="80" customWidth="1"/>
    <col min="20" max="20" width="16.85546875" style="80" bestFit="1" customWidth="1"/>
    <col min="21" max="21" width="11" style="80" bestFit="1" customWidth="1"/>
    <col min="22" max="30" width="9.140625" style="80" customWidth="1"/>
    <col min="31" max="16384" width="9.140625" style="80"/>
  </cols>
  <sheetData>
    <row r="1" spans="1:23" x14ac:dyDescent="0.25">
      <c r="A1" s="124" t="s">
        <v>145</v>
      </c>
      <c r="B1" s="124"/>
      <c r="C1" s="124"/>
      <c r="D1" s="77" t="s">
        <v>35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9"/>
    </row>
    <row r="2" spans="1:23" x14ac:dyDescent="0.25">
      <c r="A2" s="124"/>
      <c r="B2" s="124"/>
      <c r="C2" s="124"/>
      <c r="D2" s="77">
        <v>2025</v>
      </c>
      <c r="E2" s="77">
        <v>2026</v>
      </c>
      <c r="F2" s="77">
        <v>2027</v>
      </c>
      <c r="G2" s="77">
        <v>2028</v>
      </c>
      <c r="H2" s="77">
        <v>2029</v>
      </c>
      <c r="I2" s="77">
        <v>2030</v>
      </c>
      <c r="J2" s="77">
        <v>2031</v>
      </c>
      <c r="K2" s="77">
        <v>2032</v>
      </c>
      <c r="L2" s="77">
        <v>2033</v>
      </c>
      <c r="M2" s="77">
        <v>2034</v>
      </c>
      <c r="N2" s="77">
        <v>2035</v>
      </c>
      <c r="O2" s="77">
        <v>2036</v>
      </c>
      <c r="P2" s="77">
        <v>2037</v>
      </c>
      <c r="Q2" s="77">
        <v>2038</v>
      </c>
      <c r="R2" s="81">
        <v>2039</v>
      </c>
    </row>
    <row r="3" spans="1:23" s="85" customFormat="1" x14ac:dyDescent="0.25">
      <c r="A3" s="82" t="s">
        <v>131</v>
      </c>
      <c r="B3" s="82" t="s">
        <v>132</v>
      </c>
      <c r="C3" s="82"/>
      <c r="D3" s="83">
        <v>1</v>
      </c>
      <c r="E3" s="83">
        <v>0.8</v>
      </c>
      <c r="F3" s="83">
        <v>0.95</v>
      </c>
      <c r="G3" s="83">
        <v>0.95</v>
      </c>
      <c r="H3" s="83">
        <v>0.95</v>
      </c>
      <c r="I3" s="83">
        <v>0.95</v>
      </c>
      <c r="J3" s="83">
        <v>0.95</v>
      </c>
      <c r="K3" s="83">
        <v>0.95</v>
      </c>
      <c r="L3" s="83">
        <v>0.95</v>
      </c>
      <c r="M3" s="83">
        <v>0.95</v>
      </c>
      <c r="N3" s="83">
        <v>0.95</v>
      </c>
      <c r="O3" s="83">
        <v>0.95</v>
      </c>
      <c r="P3" s="83">
        <v>0.95</v>
      </c>
      <c r="Q3" s="83">
        <v>0.95</v>
      </c>
      <c r="R3" s="84">
        <v>0.95</v>
      </c>
    </row>
    <row r="4" spans="1:23" s="85" customFormat="1" x14ac:dyDescent="0.25">
      <c r="A4" s="82" t="s">
        <v>147</v>
      </c>
      <c r="B4" s="82" t="s">
        <v>53</v>
      </c>
      <c r="C4" s="82"/>
      <c r="D4" s="86">
        <v>50000</v>
      </c>
      <c r="E4" s="86">
        <f>[3]Norms!$B$3*Opex!E3</f>
        <v>66000</v>
      </c>
      <c r="F4" s="86">
        <f>[3]Norms!$B$3*Opex!F3</f>
        <v>78375</v>
      </c>
      <c r="G4" s="86">
        <f>[3]Norms!$B$3*Opex!G3</f>
        <v>78375</v>
      </c>
      <c r="H4" s="86">
        <f>[3]Norms!$B$3*Opex!H3</f>
        <v>78375</v>
      </c>
      <c r="I4" s="86">
        <f>[3]Norms!$B$3*Opex!I3</f>
        <v>78375</v>
      </c>
      <c r="J4" s="86">
        <f>[3]Norms!$B$3*Opex!J3</f>
        <v>78375</v>
      </c>
      <c r="K4" s="86">
        <f>[3]Norms!$B$3*Opex!K3</f>
        <v>78375</v>
      </c>
      <c r="L4" s="86">
        <f>[3]Norms!$B$3*Opex!L3</f>
        <v>78375</v>
      </c>
      <c r="M4" s="86">
        <f>[3]Norms!$B$3*Opex!M3</f>
        <v>78375</v>
      </c>
      <c r="N4" s="86">
        <f>[3]Norms!$B$3*Opex!N3</f>
        <v>78375</v>
      </c>
      <c r="O4" s="86">
        <f>[3]Norms!$B$3*Opex!O3</f>
        <v>78375</v>
      </c>
      <c r="P4" s="86">
        <f>[3]Norms!$B$3*Opex!P3</f>
        <v>78375</v>
      </c>
      <c r="Q4" s="86">
        <f>[3]Norms!$B$3*Opex!Q3</f>
        <v>78375</v>
      </c>
      <c r="R4" s="87">
        <f>[3]Norms!$B$3*Opex!R3</f>
        <v>78375</v>
      </c>
      <c r="T4" s="85">
        <f>50000*0.78</f>
        <v>39000</v>
      </c>
    </row>
    <row r="5" spans="1:23" s="88" customFormat="1" x14ac:dyDescent="0.25">
      <c r="A5" s="82"/>
      <c r="B5" s="82"/>
      <c r="C5" s="82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7"/>
      <c r="T5" s="88">
        <f>50000*0.31</f>
        <v>15500</v>
      </c>
    </row>
    <row r="6" spans="1:23" s="88" customFormat="1" x14ac:dyDescent="0.25">
      <c r="A6" s="89" t="s">
        <v>133</v>
      </c>
      <c r="B6" s="90" t="s">
        <v>134</v>
      </c>
      <c r="C6" s="90" t="s">
        <v>135</v>
      </c>
      <c r="D6" s="116">
        <f t="shared" ref="D6:R6" si="0">SUM(D7:D8)</f>
        <v>421</v>
      </c>
      <c r="E6" s="91">
        <f t="shared" si="0"/>
        <v>233.541</v>
      </c>
      <c r="F6" s="91">
        <f t="shared" si="0"/>
        <v>277.32993750000003</v>
      </c>
      <c r="G6" s="91">
        <f t="shared" si="0"/>
        <v>277.32993750000003</v>
      </c>
      <c r="H6" s="91">
        <f t="shared" si="0"/>
        <v>277.32993750000003</v>
      </c>
      <c r="I6" s="91">
        <f t="shared" si="0"/>
        <v>277.32993750000003</v>
      </c>
      <c r="J6" s="91">
        <f t="shared" si="0"/>
        <v>277.32993750000003</v>
      </c>
      <c r="K6" s="91">
        <f t="shared" si="0"/>
        <v>277.32993750000003</v>
      </c>
      <c r="L6" s="91">
        <f t="shared" si="0"/>
        <v>277.32993750000003</v>
      </c>
      <c r="M6" s="91">
        <f t="shared" si="0"/>
        <v>277.32993750000003</v>
      </c>
      <c r="N6" s="91">
        <f t="shared" si="0"/>
        <v>277.32993750000003</v>
      </c>
      <c r="O6" s="91">
        <f t="shared" si="0"/>
        <v>277.32993750000003</v>
      </c>
      <c r="P6" s="91">
        <f t="shared" si="0"/>
        <v>277.32993750000003</v>
      </c>
      <c r="Q6" s="91">
        <f t="shared" si="0"/>
        <v>277.32993750000003</v>
      </c>
      <c r="R6" s="92">
        <f t="shared" si="0"/>
        <v>277.32993750000003</v>
      </c>
      <c r="T6" s="88">
        <f>SUM(T4:T5)</f>
        <v>54500</v>
      </c>
    </row>
    <row r="7" spans="1:23" s="88" customFormat="1" x14ac:dyDescent="0.25">
      <c r="A7" s="93" t="s">
        <v>142</v>
      </c>
      <c r="B7" s="94">
        <v>39000</v>
      </c>
      <c r="C7" s="94">
        <v>100000</v>
      </c>
      <c r="D7" s="65">
        <f>(B7*C7)*D3/10^7</f>
        <v>390</v>
      </c>
      <c r="E7" s="95">
        <f>E4*[3]Norms!$D$3*Opex!$C$7/10^7</f>
        <v>189.75</v>
      </c>
      <c r="F7" s="95">
        <f>F4*[3]Norms!$D$3*Opex!$C$7/10^7</f>
        <v>225.328125</v>
      </c>
      <c r="G7" s="95">
        <f>G4*[3]Norms!$D$3*Opex!$C$7/10^7</f>
        <v>225.328125</v>
      </c>
      <c r="H7" s="95">
        <f>H4*[3]Norms!$D$3*Opex!$C$7/10^7</f>
        <v>225.328125</v>
      </c>
      <c r="I7" s="95">
        <f>I4*[3]Norms!$D$3*Opex!$C$7/10^7</f>
        <v>225.328125</v>
      </c>
      <c r="J7" s="95">
        <f>J4*[3]Norms!$D$3*Opex!$C$7/10^7</f>
        <v>225.328125</v>
      </c>
      <c r="K7" s="95">
        <f>K4*[3]Norms!$D$3*Opex!$C$7/10^7</f>
        <v>225.328125</v>
      </c>
      <c r="L7" s="95">
        <f>L4*[3]Norms!$D$3*Opex!$C$7/10^7</f>
        <v>225.328125</v>
      </c>
      <c r="M7" s="95">
        <f>M4*[3]Norms!$D$3*Opex!$C$7/10^7</f>
        <v>225.328125</v>
      </c>
      <c r="N7" s="95">
        <f>N4*[3]Norms!$D$3*Opex!$C$7/10^7</f>
        <v>225.328125</v>
      </c>
      <c r="O7" s="95">
        <f>O4*[3]Norms!$D$3*Opex!$C$7/10^7</f>
        <v>225.328125</v>
      </c>
      <c r="P7" s="95">
        <f>P4*[3]Norms!$D$3*Opex!$C$7/10^7</f>
        <v>225.328125</v>
      </c>
      <c r="Q7" s="95">
        <f>Q4*[3]Norms!$D$3*Opex!$C$7/10^7</f>
        <v>225.328125</v>
      </c>
      <c r="R7" s="96">
        <f>R4*[3]Norms!$D$3*Opex!$C$7/10^7</f>
        <v>225.328125</v>
      </c>
      <c r="V7" s="118">
        <f>30000/C7</f>
        <v>0.3</v>
      </c>
      <c r="W7" s="94">
        <v>100000</v>
      </c>
    </row>
    <row r="8" spans="1:23" s="88" customFormat="1" x14ac:dyDescent="0.25">
      <c r="A8" s="93" t="s">
        <v>143</v>
      </c>
      <c r="B8" s="94">
        <v>15500</v>
      </c>
      <c r="C8" s="94">
        <v>20000</v>
      </c>
      <c r="D8" s="115">
        <f>(B8*C8*D3)/10^7</f>
        <v>31</v>
      </c>
      <c r="E8" s="95">
        <f>E4*[3]Norms!$D$13*[3]Norms!$J$16/10^7</f>
        <v>43.790999999999997</v>
      </c>
      <c r="F8" s="95">
        <f>F4*[3]Norms!$D$13*[3]Norms!$J$16/10^7</f>
        <v>52.0018125</v>
      </c>
      <c r="G8" s="95">
        <f>G4*[3]Norms!$D$13*[3]Norms!$J$16/10^7</f>
        <v>52.0018125</v>
      </c>
      <c r="H8" s="95">
        <f>H4*[3]Norms!$D$13*[3]Norms!$J$16/10^7</f>
        <v>52.0018125</v>
      </c>
      <c r="I8" s="95">
        <f>I4*[3]Norms!$D$13*[3]Norms!$J$16/10^7</f>
        <v>52.0018125</v>
      </c>
      <c r="J8" s="95">
        <f>J4*[3]Norms!$D$13*[3]Norms!$J$16/10^7</f>
        <v>52.0018125</v>
      </c>
      <c r="K8" s="95">
        <f>K4*[3]Norms!$D$13*[3]Norms!$J$16/10^7</f>
        <v>52.0018125</v>
      </c>
      <c r="L8" s="95">
        <f>L4*[3]Norms!$D$13*[3]Norms!$J$16/10^7</f>
        <v>52.0018125</v>
      </c>
      <c r="M8" s="95">
        <f>M4*[3]Norms!$D$13*[3]Norms!$J$16/10^7</f>
        <v>52.0018125</v>
      </c>
      <c r="N8" s="95">
        <f>N4*[3]Norms!$D$13*[3]Norms!$J$16/10^7</f>
        <v>52.0018125</v>
      </c>
      <c r="O8" s="95">
        <f>O4*[3]Norms!$D$13*[3]Norms!$J$16/10^7</f>
        <v>52.0018125</v>
      </c>
      <c r="P8" s="95">
        <f>P4*[3]Norms!$D$13*[3]Norms!$J$16/10^7</f>
        <v>52.0018125</v>
      </c>
      <c r="Q8" s="95">
        <f>Q4*[3]Norms!$D$13*[3]Norms!$J$16/10^7</f>
        <v>52.0018125</v>
      </c>
      <c r="R8" s="96">
        <f>R4*[3]Norms!$D$13*[3]Norms!$J$16/10^7</f>
        <v>52.0018125</v>
      </c>
      <c r="W8" s="94">
        <v>20000</v>
      </c>
    </row>
    <row r="9" spans="1:23" s="88" customFormat="1" x14ac:dyDescent="0.25">
      <c r="A9" s="97" t="s">
        <v>136</v>
      </c>
      <c r="B9" s="94"/>
      <c r="C9" s="94"/>
      <c r="D9" s="59">
        <f t="shared" ref="D9:R9" si="1">SUM(D7:D8)</f>
        <v>421</v>
      </c>
      <c r="E9" s="95">
        <f t="shared" si="1"/>
        <v>233.541</v>
      </c>
      <c r="F9" s="95">
        <f t="shared" si="1"/>
        <v>277.32993750000003</v>
      </c>
      <c r="G9" s="95">
        <f t="shared" si="1"/>
        <v>277.32993750000003</v>
      </c>
      <c r="H9" s="95">
        <f t="shared" si="1"/>
        <v>277.32993750000003</v>
      </c>
      <c r="I9" s="95">
        <f t="shared" si="1"/>
        <v>277.32993750000003</v>
      </c>
      <c r="J9" s="95">
        <f t="shared" si="1"/>
        <v>277.32993750000003</v>
      </c>
      <c r="K9" s="95">
        <f t="shared" si="1"/>
        <v>277.32993750000003</v>
      </c>
      <c r="L9" s="95">
        <f t="shared" si="1"/>
        <v>277.32993750000003</v>
      </c>
      <c r="M9" s="95">
        <f t="shared" si="1"/>
        <v>277.32993750000003</v>
      </c>
      <c r="N9" s="95">
        <f t="shared" si="1"/>
        <v>277.32993750000003</v>
      </c>
      <c r="O9" s="95">
        <f t="shared" si="1"/>
        <v>277.32993750000003</v>
      </c>
      <c r="P9" s="95">
        <f t="shared" si="1"/>
        <v>277.32993750000003</v>
      </c>
      <c r="Q9" s="95">
        <f t="shared" si="1"/>
        <v>277.32993750000003</v>
      </c>
      <c r="R9" s="96">
        <f t="shared" si="1"/>
        <v>277.32993750000003</v>
      </c>
    </row>
    <row r="10" spans="1:23" x14ac:dyDescent="0.25">
      <c r="A10" s="90" t="s">
        <v>137</v>
      </c>
      <c r="B10" s="98"/>
      <c r="C10" s="98"/>
      <c r="D10" s="116">
        <f>SUM(D11:D16)</f>
        <v>9.8000000000000007</v>
      </c>
      <c r="E10" s="99">
        <f>SUM(E11:E16)</f>
        <v>12.742858247812501</v>
      </c>
      <c r="F10" s="99">
        <f t="shared" ref="F10:R10" si="2">SUM(F11:F16)</f>
        <v>13.058420747812502</v>
      </c>
      <c r="G10" s="99">
        <f t="shared" si="2"/>
        <v>13.058420747812502</v>
      </c>
      <c r="H10" s="99">
        <f t="shared" si="2"/>
        <v>13.058420747812502</v>
      </c>
      <c r="I10" s="99">
        <f t="shared" si="2"/>
        <v>13.058420747812502</v>
      </c>
      <c r="J10" s="99">
        <f t="shared" si="2"/>
        <v>13.058420747812502</v>
      </c>
      <c r="K10" s="99">
        <f t="shared" si="2"/>
        <v>13.058420747812502</v>
      </c>
      <c r="L10" s="99">
        <f t="shared" si="2"/>
        <v>13.058420747812502</v>
      </c>
      <c r="M10" s="99">
        <f t="shared" si="2"/>
        <v>13.058420747812502</v>
      </c>
      <c r="N10" s="99">
        <f t="shared" si="2"/>
        <v>13.058420747812502</v>
      </c>
      <c r="O10" s="99">
        <f t="shared" si="2"/>
        <v>13.058420747812502</v>
      </c>
      <c r="P10" s="99">
        <f t="shared" si="2"/>
        <v>13.058420747812502</v>
      </c>
      <c r="Q10" s="99">
        <f t="shared" si="2"/>
        <v>13.058420747812502</v>
      </c>
      <c r="R10" s="100">
        <f t="shared" si="2"/>
        <v>13.058420747812502</v>
      </c>
      <c r="T10" s="119">
        <f>130000*D4</f>
        <v>6500000000</v>
      </c>
      <c r="U10" s="80">
        <f>T10/10^7</f>
        <v>650</v>
      </c>
      <c r="V10" s="80">
        <f>U10-T12</f>
        <v>219</v>
      </c>
    </row>
    <row r="11" spans="1:23" s="88" customFormat="1" x14ac:dyDescent="0.25">
      <c r="A11" s="101"/>
      <c r="B11" s="94"/>
      <c r="C11" s="94"/>
      <c r="D11" s="59"/>
      <c r="E11" s="95">
        <f>[3]Norms!$D$16*[3]Norms!$D$28*Opex!E4/10^7</f>
        <v>1.6830000000000003</v>
      </c>
      <c r="F11" s="95">
        <f>[3]Norms!$D$16*[3]Norms!$D$28*Opex!F4/10^7</f>
        <v>1.9985625000000005</v>
      </c>
      <c r="G11" s="95">
        <f>[3]Norms!$D$16*[3]Norms!$D$28*Opex!G4/10^7</f>
        <v>1.9985625000000005</v>
      </c>
      <c r="H11" s="95">
        <f>[3]Norms!$D$16*[3]Norms!$D$28*Opex!H4/10^7</f>
        <v>1.9985625000000005</v>
      </c>
      <c r="I11" s="95">
        <f>[3]Norms!$D$16*[3]Norms!$D$28*Opex!I4/10^7</f>
        <v>1.9985625000000005</v>
      </c>
      <c r="J11" s="95">
        <f>[3]Norms!$D$16*[3]Norms!$D$28*Opex!J4/10^7</f>
        <v>1.9985625000000005</v>
      </c>
      <c r="K11" s="95">
        <f>[3]Norms!$D$16*[3]Norms!$D$28*Opex!K4/10^7</f>
        <v>1.9985625000000005</v>
      </c>
      <c r="L11" s="95">
        <f>[3]Norms!$D$16*[3]Norms!$D$28*Opex!L4/10^7</f>
        <v>1.9985625000000005</v>
      </c>
      <c r="M11" s="95">
        <f>[3]Norms!$D$16*[3]Norms!$D$28*Opex!M4/10^7</f>
        <v>1.9985625000000005</v>
      </c>
      <c r="N11" s="95">
        <f>[3]Norms!$D$16*[3]Norms!$D$28*Opex!N4/10^7</f>
        <v>1.9985625000000005</v>
      </c>
      <c r="O11" s="95">
        <f>[3]Norms!$D$16*[3]Norms!$D$28*Opex!O4/10^7</f>
        <v>1.9985625000000005</v>
      </c>
      <c r="P11" s="95">
        <f>[3]Norms!$D$16*[3]Norms!$D$28*Opex!P4/10^7</f>
        <v>1.9985625000000005</v>
      </c>
      <c r="Q11" s="95">
        <f>[3]Norms!$D$16*[3]Norms!$D$28*Opex!Q4/10^7</f>
        <v>1.9985625000000005</v>
      </c>
      <c r="R11" s="96">
        <f>[3]Norms!$D$16*[3]Norms!$D$28*Opex!R4/10^7</f>
        <v>1.9985625000000005</v>
      </c>
      <c r="T11" s="88">
        <v>550</v>
      </c>
      <c r="U11" s="88">
        <f>U10-T12</f>
        <v>219</v>
      </c>
    </row>
    <row r="12" spans="1:23" s="88" customFormat="1" x14ac:dyDescent="0.25">
      <c r="A12" s="101" t="s">
        <v>144</v>
      </c>
      <c r="B12" s="101"/>
      <c r="C12" s="101"/>
      <c r="D12" s="59">
        <v>2</v>
      </c>
      <c r="E12" s="95">
        <f>[3]Norms!$D$29/100</f>
        <v>0.05</v>
      </c>
      <c r="F12" s="95">
        <f>[3]Norms!$D$29/100</f>
        <v>0.05</v>
      </c>
      <c r="G12" s="95">
        <f>[3]Norms!$D$29/100</f>
        <v>0.05</v>
      </c>
      <c r="H12" s="95">
        <f>[3]Norms!$D$29/100</f>
        <v>0.05</v>
      </c>
      <c r="I12" s="95">
        <f>[3]Norms!$D$29/100</f>
        <v>0.05</v>
      </c>
      <c r="J12" s="95">
        <f>[3]Norms!$D$29/100</f>
        <v>0.05</v>
      </c>
      <c r="K12" s="95">
        <f>[3]Norms!$D$29/100</f>
        <v>0.05</v>
      </c>
      <c r="L12" s="95">
        <f>[3]Norms!$D$29/100</f>
        <v>0.05</v>
      </c>
      <c r="M12" s="95">
        <f>[3]Norms!$D$29/100</f>
        <v>0.05</v>
      </c>
      <c r="N12" s="95">
        <f>[3]Norms!$D$29/100</f>
        <v>0.05</v>
      </c>
      <c r="O12" s="95">
        <f>[3]Norms!$D$29/100</f>
        <v>0.05</v>
      </c>
      <c r="P12" s="95">
        <f>[3]Norms!$D$29/100</f>
        <v>0.05</v>
      </c>
      <c r="Q12" s="95">
        <f>[3]Norms!$D$29/100</f>
        <v>0.05</v>
      </c>
      <c r="R12" s="96">
        <f>[3]Norms!$D$29/100</f>
        <v>0.05</v>
      </c>
      <c r="T12" s="88">
        <v>431</v>
      </c>
      <c r="U12" s="107">
        <f>U11*18%</f>
        <v>39.42</v>
      </c>
    </row>
    <row r="13" spans="1:23" s="88" customFormat="1" x14ac:dyDescent="0.25">
      <c r="A13" s="101" t="s">
        <v>138</v>
      </c>
      <c r="B13" s="101"/>
      <c r="C13" s="101"/>
      <c r="D13" s="59">
        <v>3</v>
      </c>
      <c r="E13" s="102">
        <f>D13</f>
        <v>3</v>
      </c>
      <c r="F13" s="102">
        <f t="shared" ref="F13:R14" si="3">E13</f>
        <v>3</v>
      </c>
      <c r="G13" s="102">
        <f t="shared" si="3"/>
        <v>3</v>
      </c>
      <c r="H13" s="102">
        <f t="shared" si="3"/>
        <v>3</v>
      </c>
      <c r="I13" s="102">
        <f t="shared" si="3"/>
        <v>3</v>
      </c>
      <c r="J13" s="102">
        <f t="shared" si="3"/>
        <v>3</v>
      </c>
      <c r="K13" s="102">
        <f t="shared" si="3"/>
        <v>3</v>
      </c>
      <c r="L13" s="102">
        <f t="shared" si="3"/>
        <v>3</v>
      </c>
      <c r="M13" s="102">
        <f t="shared" si="3"/>
        <v>3</v>
      </c>
      <c r="N13" s="102">
        <f t="shared" si="3"/>
        <v>3</v>
      </c>
      <c r="O13" s="102">
        <f t="shared" si="3"/>
        <v>3</v>
      </c>
      <c r="P13" s="102">
        <f t="shared" si="3"/>
        <v>3</v>
      </c>
      <c r="Q13" s="102">
        <f t="shared" si="3"/>
        <v>3</v>
      </c>
      <c r="R13" s="103">
        <f t="shared" si="3"/>
        <v>3</v>
      </c>
    </row>
    <row r="14" spans="1:23" s="88" customFormat="1" ht="29.25" customHeight="1" x14ac:dyDescent="0.25">
      <c r="A14" s="101" t="s">
        <v>139</v>
      </c>
      <c r="B14" s="101"/>
      <c r="C14" s="104">
        <v>0.02</v>
      </c>
      <c r="D14" s="94">
        <v>4</v>
      </c>
      <c r="E14" s="105">
        <f>D14</f>
        <v>4</v>
      </c>
      <c r="F14" s="105">
        <f t="shared" si="3"/>
        <v>4</v>
      </c>
      <c r="G14" s="105">
        <f t="shared" si="3"/>
        <v>4</v>
      </c>
      <c r="H14" s="105">
        <f t="shared" si="3"/>
        <v>4</v>
      </c>
      <c r="I14" s="105">
        <f t="shared" si="3"/>
        <v>4</v>
      </c>
      <c r="J14" s="105">
        <f t="shared" si="3"/>
        <v>4</v>
      </c>
      <c r="K14" s="105">
        <f t="shared" si="3"/>
        <v>4</v>
      </c>
      <c r="L14" s="105">
        <f t="shared" si="3"/>
        <v>4</v>
      </c>
      <c r="M14" s="105">
        <f t="shared" si="3"/>
        <v>4</v>
      </c>
      <c r="N14" s="105">
        <f t="shared" si="3"/>
        <v>4</v>
      </c>
      <c r="O14" s="105">
        <f t="shared" si="3"/>
        <v>4</v>
      </c>
      <c r="P14" s="105">
        <f t="shared" si="3"/>
        <v>4</v>
      </c>
      <c r="Q14" s="105">
        <f t="shared" si="3"/>
        <v>4</v>
      </c>
      <c r="R14" s="106">
        <f t="shared" si="3"/>
        <v>4</v>
      </c>
      <c r="S14" s="107"/>
    </row>
    <row r="15" spans="1:23" s="88" customFormat="1" ht="29.25" customHeight="1" x14ac:dyDescent="0.25">
      <c r="A15" s="101" t="s">
        <v>140</v>
      </c>
      <c r="B15" s="101"/>
      <c r="C15" s="104">
        <v>5.0000000000000001E-3</v>
      </c>
      <c r="D15" s="94">
        <v>0.5</v>
      </c>
      <c r="E15" s="105">
        <f>$C$15*[3]Capex!$B$14</f>
        <v>3.1348582478125002</v>
      </c>
      <c r="F15" s="105">
        <f>$C$15*[3]Capex!$B$14</f>
        <v>3.1348582478125002</v>
      </c>
      <c r="G15" s="105">
        <f>$C$15*[3]Capex!$B$14</f>
        <v>3.1348582478125002</v>
      </c>
      <c r="H15" s="105">
        <f>$C$15*[3]Capex!$B$14</f>
        <v>3.1348582478125002</v>
      </c>
      <c r="I15" s="105">
        <f>$C$15*[3]Capex!$B$14</f>
        <v>3.1348582478125002</v>
      </c>
      <c r="J15" s="105">
        <f>$C$15*[3]Capex!$B$14</f>
        <v>3.1348582478125002</v>
      </c>
      <c r="K15" s="105">
        <f>$C$15*[3]Capex!$B$14</f>
        <v>3.1348582478125002</v>
      </c>
      <c r="L15" s="105">
        <f>$C$15*[3]Capex!$B$14</f>
        <v>3.1348582478125002</v>
      </c>
      <c r="M15" s="105">
        <f>$C$15*[3]Capex!$B$14</f>
        <v>3.1348582478125002</v>
      </c>
      <c r="N15" s="105">
        <f>$C$15*[3]Capex!$B$14</f>
        <v>3.1348582478125002</v>
      </c>
      <c r="O15" s="105">
        <f>$C$15*[3]Capex!$B$14</f>
        <v>3.1348582478125002</v>
      </c>
      <c r="P15" s="105">
        <f>$C$15*[3]Capex!$B$14</f>
        <v>3.1348582478125002</v>
      </c>
      <c r="Q15" s="105">
        <f>$C$15*[3]Capex!$B$14</f>
        <v>3.1348582478125002</v>
      </c>
      <c r="R15" s="106">
        <f>$C$15*[3]Capex!$B$14</f>
        <v>3.1348582478125002</v>
      </c>
      <c r="S15" s="107"/>
    </row>
    <row r="16" spans="1:23" s="88" customFormat="1" ht="14.25" customHeight="1" x14ac:dyDescent="0.25">
      <c r="A16" s="108" t="s">
        <v>141</v>
      </c>
      <c r="B16" s="108"/>
      <c r="C16" s="108"/>
      <c r="D16" s="117">
        <f>10%*D13</f>
        <v>0.30000000000000004</v>
      </c>
      <c r="E16" s="109">
        <f>[3]Norms!$D$50</f>
        <v>0.875</v>
      </c>
      <c r="F16" s="109">
        <f>[3]Norms!$D$50</f>
        <v>0.875</v>
      </c>
      <c r="G16" s="109">
        <f>[3]Norms!$D$50</f>
        <v>0.875</v>
      </c>
      <c r="H16" s="109">
        <f>[3]Norms!$D$50</f>
        <v>0.875</v>
      </c>
      <c r="I16" s="109">
        <f>[3]Norms!$D$50</f>
        <v>0.875</v>
      </c>
      <c r="J16" s="109">
        <f>[3]Norms!$D$50</f>
        <v>0.875</v>
      </c>
      <c r="K16" s="109">
        <f>[3]Norms!$D$50</f>
        <v>0.875</v>
      </c>
      <c r="L16" s="109">
        <f>[3]Norms!$D$50</f>
        <v>0.875</v>
      </c>
      <c r="M16" s="109">
        <f>[3]Norms!$D$50</f>
        <v>0.875</v>
      </c>
      <c r="N16" s="109">
        <f>[3]Norms!$D$50</f>
        <v>0.875</v>
      </c>
      <c r="O16" s="109">
        <f>[3]Norms!$D$50</f>
        <v>0.875</v>
      </c>
      <c r="P16" s="109">
        <f>[3]Norms!$D$50</f>
        <v>0.875</v>
      </c>
      <c r="Q16" s="109">
        <f>[3]Norms!$D$50</f>
        <v>0.875</v>
      </c>
      <c r="R16" s="110">
        <f>[3]Norms!$D$50</f>
        <v>0.875</v>
      </c>
    </row>
    <row r="17" spans="1:19" ht="17.25" customHeight="1" x14ac:dyDescent="0.25">
      <c r="A17" s="125" t="s">
        <v>146</v>
      </c>
      <c r="B17" s="125"/>
      <c r="C17" s="125"/>
      <c r="D17" s="29">
        <f t="shared" ref="D17:R17" si="4">D6+D10</f>
        <v>430.8</v>
      </c>
      <c r="E17" s="111">
        <f t="shared" si="4"/>
        <v>246.2838582478125</v>
      </c>
      <c r="F17" s="111">
        <f t="shared" si="4"/>
        <v>290.3883582478125</v>
      </c>
      <c r="G17" s="111">
        <f t="shared" si="4"/>
        <v>290.3883582478125</v>
      </c>
      <c r="H17" s="111">
        <f t="shared" si="4"/>
        <v>290.3883582478125</v>
      </c>
      <c r="I17" s="111">
        <f t="shared" si="4"/>
        <v>290.3883582478125</v>
      </c>
      <c r="J17" s="111">
        <f t="shared" si="4"/>
        <v>290.3883582478125</v>
      </c>
      <c r="K17" s="111">
        <f t="shared" si="4"/>
        <v>290.3883582478125</v>
      </c>
      <c r="L17" s="111">
        <f t="shared" si="4"/>
        <v>290.3883582478125</v>
      </c>
      <c r="M17" s="111">
        <f t="shared" si="4"/>
        <v>290.3883582478125</v>
      </c>
      <c r="N17" s="111">
        <f t="shared" si="4"/>
        <v>290.3883582478125</v>
      </c>
      <c r="O17" s="111">
        <f t="shared" si="4"/>
        <v>290.3883582478125</v>
      </c>
      <c r="P17" s="111">
        <f t="shared" si="4"/>
        <v>290.3883582478125</v>
      </c>
      <c r="Q17" s="111">
        <f t="shared" si="4"/>
        <v>290.3883582478125</v>
      </c>
      <c r="R17" s="112">
        <f t="shared" si="4"/>
        <v>290.3883582478125</v>
      </c>
      <c r="S17" s="80">
        <f>D17*10^7</f>
        <v>4308000000</v>
      </c>
    </row>
    <row r="18" spans="1:19" x14ac:dyDescent="0.25">
      <c r="S18" s="114">
        <f>S17/50000</f>
        <v>86160</v>
      </c>
    </row>
  </sheetData>
  <mergeCells count="2">
    <mergeCell ref="A1:C2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Capex</vt:lpstr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2023-03-14T05:13:22Z</dcterms:created>
  <dcterms:modified xsi:type="dcterms:W3CDTF">2023-03-16T06:40:32Z</dcterms:modified>
</cp:coreProperties>
</file>