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dik.malhotra\Desktop\Desktop Data\Ammonium Nitrate\"/>
    </mc:Choice>
  </mc:AlternateContent>
  <xr:revisionPtr revIDLastSave="0" documentId="13_ncr:1_{A31C6161-166C-4B67-B496-3FA34E04F021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1" sheetId="1" state="hidden" r:id="rId1"/>
    <sheet name="Nitric Acid" sheetId="2" r:id="rId2"/>
    <sheet name="Project Cost" sheetId="3" r:id="rId3"/>
    <sheet name="IRR" sheetId="7" r:id="rId4"/>
    <sheet name="bal sheet" sheetId="5" r:id="rId5"/>
    <sheet name="Depreciation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Order1" hidden="1">255</definedName>
    <definedName name="anscount" hidden="1">3</definedName>
    <definedName name="ColumnAttributes1">#REF!</definedName>
    <definedName name="ColumnHeadings1">#REF!</definedName>
    <definedName name="cracker">#REF!</definedName>
    <definedName name="crackertblock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Excel_BuiltIn__FilterDatabase_2">#REF!</definedName>
    <definedName name="financialcalcs">#REF!</definedName>
    <definedName name="leverage">#REF!</definedName>
    <definedName name="limcount" hidden="1">2</definedName>
    <definedName name="MOD_prices">'[1]Pricing - Current'!$3:$74</definedName>
    <definedName name="PortionInDeal">#REF!</definedName>
    <definedName name="Price_chart">#REF!</definedName>
    <definedName name="Prices_cmai">#REF!</definedName>
    <definedName name="_xlnm.Print_Area" localSheetId="3">IRR!$A$2:$R$39</definedName>
    <definedName name="_xlnm.Print_Area" localSheetId="1">'Nitric Acid'!$A$1:$Q$170</definedName>
    <definedName name="_xlnm.Print_Area" localSheetId="2">'Project Cost'!$A$2:$D$30</definedName>
    <definedName name="product">#REF!</definedName>
    <definedName name="Product2">#REF!</definedName>
    <definedName name="product25">#REF!</definedName>
    <definedName name="quantity">[2]Terms!$C$1</definedName>
    <definedName name="rate">#REF!</definedName>
    <definedName name="ReportTitle1">#REF!</definedName>
    <definedName name="RowDetails1">#REF!</definedName>
    <definedName name="sencount" hidden="1">2</definedName>
    <definedName name="Site">#REF!</definedName>
    <definedName name="Table">#REF!</definedName>
    <definedName name="Term">#REF!</definedName>
    <definedName name="TermDiscperiods">#REF!</definedName>
    <definedName name="TEST1">#REF!</definedName>
    <definedName name="TEST2">#REF!</definedName>
    <definedName name="TEST3">#REF!</definedName>
    <definedName name="TESTHKEY">#REF!</definedName>
    <definedName name="TESTKEYS">#REF!</definedName>
    <definedName name="TESTVKEY">#REF!</definedName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  <definedName name="UNIFORMANCES1R103C7" hidden="1">[3]Source!$G$103</definedName>
    <definedName name="UNIFORMANCES1R107C7" hidden="1">[3]Source!$G$107</definedName>
    <definedName name="UNIFORMANCES1R110C7" hidden="1">[3]Source!$G$110</definedName>
    <definedName name="UNIFORMANCES1R114C7" hidden="1">[3]Source!$G$114</definedName>
    <definedName name="UNIFORMANCES1R118C7" hidden="1">[3]Source!$G$118</definedName>
    <definedName name="UNIFORMANCES1R121C7" hidden="1">[3]Source!$G$121</definedName>
    <definedName name="UNIFORMANCES1R127C7" hidden="1">[3]Source!$G$127</definedName>
    <definedName name="UNIFORMANCES1R130C7" hidden="1">[3]Source!$G$130</definedName>
    <definedName name="UNIFORMANCES1R134C7" hidden="1">[3]Source!$G$134</definedName>
    <definedName name="UNIFORMANCES1R138C7" hidden="1">[3]Source!$G$138</definedName>
    <definedName name="UNIFORMANCES1R141C7" hidden="1">[3]Source!$G$141</definedName>
    <definedName name="UNIFORMANCES1R145C7" hidden="1">[3]Source!$G$145</definedName>
    <definedName name="UNIFORMANCES1R149C7" hidden="1">[3]Source!$G$149</definedName>
    <definedName name="UNIFORMANCES1R152C7" hidden="1">[3]Source!$G$152</definedName>
    <definedName name="UNIFORMANCES1R156C7" hidden="1">[3]Source!$G$156</definedName>
    <definedName name="UNIFORMANCES1R15C7" hidden="1">[3]Source!$G$15</definedName>
    <definedName name="UNIFORMANCES1R163C7" hidden="1">[3]Source!$G$163</definedName>
    <definedName name="UNIFORMANCES1R167C7" hidden="1">[3]Source!$G$167</definedName>
    <definedName name="UNIFORMANCES1R171C7" hidden="1">[3]Source!$G$171</definedName>
    <definedName name="UNIFORMANCES1R175C7" hidden="1">[3]Source!$G$175</definedName>
    <definedName name="UNIFORMANCES1R179C7" hidden="1">[3]Source!$G$179</definedName>
    <definedName name="UNIFORMANCES1R186C7" hidden="1">[3]Source!$G$186</definedName>
    <definedName name="UNIFORMANCES1R18C7" hidden="1">[3]Source!$G$18</definedName>
    <definedName name="UNIFORMANCES1R190C7" hidden="1">[3]Source!$G$190</definedName>
    <definedName name="UNIFORMANCES1R193C7" hidden="1">[3]Source!$G$193</definedName>
    <definedName name="UNIFORMANCES1R197C7" hidden="1">[3]Source!$G$197</definedName>
    <definedName name="UNIFORMANCES1R19C7" hidden="1">[3]Source!$G$19</definedName>
    <definedName name="UNIFORMANCES1R203C7" hidden="1">[3]Source!$G$203</definedName>
    <definedName name="UNIFORMANCES1R207C7" hidden="1">[3]Source!$G$207</definedName>
    <definedName name="UNIFORMANCES1R210C7" hidden="1">[3]Source!$G$210</definedName>
    <definedName name="UNIFORMANCES1R211C7" hidden="1">[3]Source!$G$211</definedName>
    <definedName name="UNIFORMANCES1R214C7" hidden="1">[3]Source!$G$214</definedName>
    <definedName name="UNIFORMANCES1R218C7" hidden="1">[3]Source!$G$218</definedName>
    <definedName name="UNIFORMANCES1R219C7" hidden="1">[3]Source!$G$219</definedName>
    <definedName name="UNIFORMANCES1R221C7" hidden="1">[3]Source!$G$221</definedName>
    <definedName name="UNIFORMANCES1R222C7" hidden="1">[3]Source!$G$222</definedName>
    <definedName name="UNIFORMANCES1R225C7" hidden="1">[3]Source!$G$225</definedName>
    <definedName name="UNIFORMANCES1R229C7" hidden="1">[3]Source!$G$229</definedName>
    <definedName name="UNIFORMANCES1R230C7" hidden="1">[3]Source!$G$230</definedName>
    <definedName name="UNIFORMANCES1R235C7" hidden="1">[3]Source!$G$235</definedName>
    <definedName name="UNIFORMANCES1R23C7" hidden="1">[3]Source!$G$23</definedName>
    <definedName name="UNIFORMANCES1R240C7" hidden="1">[3]Source!$G$240</definedName>
    <definedName name="UNIFORMANCES1R243C7" hidden="1">[3]Source!$G$243</definedName>
    <definedName name="UNIFORMANCES1R247C7" hidden="1">[3]Source!$G$247</definedName>
    <definedName name="UNIFORMANCES1R248C7" hidden="1">[3]Source!$G$248</definedName>
    <definedName name="UNIFORMANCES1R25C7" hidden="1">[3]Source!$G$25</definedName>
    <definedName name="UNIFORMANCES1R26C7" hidden="1">[3]Source!$G$26</definedName>
    <definedName name="UNIFORMANCES1R29C7" hidden="1">[3]Source!$G$29</definedName>
    <definedName name="UNIFORMANCES1R33C7" hidden="1">[3]Source!$G$33</definedName>
    <definedName name="UNIFORMANCES1R37C7" hidden="1">[3]Source!$G$37</definedName>
    <definedName name="UNIFORMANCES1R38C7" hidden="1">[3]Source!$G$38</definedName>
    <definedName name="UNIFORMANCES1R41C7" hidden="1">[3]Source!$G$41</definedName>
    <definedName name="UNIFORMANCES1R43C7" hidden="1">[3]Source!$G$43</definedName>
    <definedName name="UNIFORMANCES1R46C7" hidden="1">[3]Source!$G$46</definedName>
    <definedName name="UNIFORMANCES1R50C7" hidden="1">[3]Source!$G$50</definedName>
    <definedName name="UNIFORMANCES1R51C7" hidden="1">[3]Source!$G$51</definedName>
    <definedName name="UNIFORMANCES1R53C7" hidden="1">[3]Source!$G$53</definedName>
    <definedName name="UNIFORMANCES1R54C7" hidden="1">[3]Source!$G$54</definedName>
    <definedName name="UNIFORMANCES1R59C7" hidden="1">[3]Source!$G$59</definedName>
    <definedName name="UNIFORMANCES1R5C7" hidden="1">[3]Source!$G$5</definedName>
    <definedName name="UNIFORMANCES1R60C7" hidden="1">[3]Source!$G$60</definedName>
    <definedName name="UNIFORMANCES1R62C7" hidden="1">[3]Source!$G$62</definedName>
    <definedName name="UNIFORMANCES1R63C7" hidden="1">[3]Source!$G$63</definedName>
    <definedName name="UNIFORMANCES1R66C7" hidden="1">[3]Source!$G$66</definedName>
    <definedName name="UNIFORMANCES1R67C7" hidden="1">[3]Source!$G$67</definedName>
    <definedName name="UNIFORMANCES1R68C7" hidden="1">[3]Source!$G$68</definedName>
    <definedName name="UNIFORMANCES1R70C7" hidden="1">[3]Source!$G$70</definedName>
    <definedName name="UNIFORMANCES1R71C7" hidden="1">[3]Source!$G$71</definedName>
    <definedName name="UNIFORMANCES1R74C7" hidden="1">[3]Source!$G$74</definedName>
    <definedName name="UNIFORMANCES1R75C7" hidden="1">[3]Source!$G$75</definedName>
    <definedName name="UNIFORMANCES1R76C7" hidden="1">[3]Source!$G$76</definedName>
    <definedName name="UNIFORMANCES1R78C7" hidden="1">[3]Source!$G$78</definedName>
    <definedName name="UNIFORMANCES1R79C7" hidden="1">[3]Source!$G$79</definedName>
    <definedName name="UNIFORMANCES1R81C7" hidden="1">[3]Source!$G$81</definedName>
    <definedName name="UNIFORMANCES1R82C7" hidden="1">[3]Source!$G$82</definedName>
    <definedName name="UNIFORMANCES1R83C7" hidden="1">[3]Source!$G$83</definedName>
    <definedName name="UNIFORMANCES1R85C7" hidden="1">[3]Source!$G$85</definedName>
    <definedName name="UNIFORMANCES1R86C7" hidden="1">[3]Source!$G$86</definedName>
    <definedName name="UNIFORMANCES1R87C7" hidden="1">[3]Source!$G$87</definedName>
    <definedName name="UNIFORMANCES1R89C7" hidden="1">[3]Source!$G$89</definedName>
    <definedName name="UNIFORMANCES1R90C7" hidden="1">[3]Source!$G$90</definedName>
    <definedName name="UNIFORMANCES1R93C7" hidden="1">[3]Source!$G$93</definedName>
    <definedName name="UNIFORMANCES1R94C7" hidden="1">[3]Source!$G$94</definedName>
    <definedName name="UNIFORMANCES1R97C7" hidden="1">[3]Source!$G$97</definedName>
    <definedName name="UNIFORMANCES1R98C7" hidden="1">[3]Source!$G$98</definedName>
    <definedName name="UNIFORMANCES1R99C7" hidden="1">[3]Source!$G$99</definedName>
    <definedName name="UNIFORMANCES2R100C6" hidden="1">[4]Sheet2!$F$100</definedName>
    <definedName name="UNIFORMANCES2R101C6" hidden="1">[4]Sheet2!$F$101</definedName>
    <definedName name="UNIFORMANCES2R102C6" hidden="1">[4]Sheet2!$F$102</definedName>
    <definedName name="UNIFORMANCES2R103C6" hidden="1">[4]Sheet2!$F$103</definedName>
    <definedName name="UNIFORMANCES2R104C6" hidden="1">[4]Sheet2!$F$104</definedName>
    <definedName name="UNIFORMANCES2R105C6" hidden="1">[4]Sheet2!$F$105</definedName>
    <definedName name="UNIFORMANCES2R106C6" hidden="1">[4]Sheet2!$F$106</definedName>
    <definedName name="UNIFORMANCES2R107C6" hidden="1">[4]Sheet2!$F$107</definedName>
    <definedName name="UNIFORMANCES2R108C6" hidden="1">[4]Sheet2!$F$108</definedName>
    <definedName name="UNIFORMANCES2R109C6" hidden="1">[4]Sheet2!$F$109</definedName>
    <definedName name="UNIFORMANCES2R10C6" hidden="1">[4]Sheet2!$F$10</definedName>
    <definedName name="UNIFORMANCES2R110C6" hidden="1">[4]Sheet2!$F$110</definedName>
    <definedName name="UNIFORMANCES2R111C6" hidden="1">[4]Sheet2!$F$111</definedName>
    <definedName name="UNIFORMANCES2R112C6" hidden="1">[4]Sheet2!$F$112</definedName>
    <definedName name="UNIFORMANCES2R113C6" hidden="1">[4]Sheet2!$F$113</definedName>
    <definedName name="UNIFORMANCES2R114C6" hidden="1">[4]Sheet2!$F$114</definedName>
    <definedName name="UNIFORMANCES2R115C6" hidden="1">[4]Sheet2!$F$115</definedName>
    <definedName name="UNIFORMANCES2R116C6" hidden="1">[4]Sheet2!$F$116</definedName>
    <definedName name="UNIFORMANCES2R117C6" hidden="1">[4]Sheet2!$F$117</definedName>
    <definedName name="UNIFORMANCES2R118C6" hidden="1">[4]Sheet2!$F$118</definedName>
    <definedName name="UNIFORMANCES2R119C6" hidden="1">[4]Sheet2!$F$119</definedName>
    <definedName name="UNIFORMANCES2R11C6" hidden="1">[4]Sheet2!$F$11</definedName>
    <definedName name="UNIFORMANCES2R120C6" hidden="1">[4]Sheet2!$F$120</definedName>
    <definedName name="UNIFORMANCES2R121C6" hidden="1">[4]Sheet2!$F$121</definedName>
    <definedName name="UNIFORMANCES2R122C6" hidden="1">[4]Sheet2!$F$122</definedName>
    <definedName name="UNIFORMANCES2R123C6" hidden="1">[4]Sheet2!$F$123</definedName>
    <definedName name="UNIFORMANCES2R124C6" hidden="1">[4]Sheet2!$F$124</definedName>
    <definedName name="UNIFORMANCES2R125C6" hidden="1">[4]Sheet2!$F$125</definedName>
    <definedName name="UNIFORMANCES2R126C6" hidden="1">[4]Sheet2!$F$126</definedName>
    <definedName name="UNIFORMANCES2R128C6" hidden="1">[4]Sheet2!$F$128</definedName>
    <definedName name="UNIFORMANCES2R129C6" hidden="1">[4]Sheet2!$F$129</definedName>
    <definedName name="UNIFORMANCES2R12C6" hidden="1">[4]Sheet2!$F$12</definedName>
    <definedName name="UNIFORMANCES2R130C6" hidden="1">[4]Sheet2!$F$130</definedName>
    <definedName name="UNIFORMANCES2R131C6" hidden="1">[4]Sheet2!$F$131</definedName>
    <definedName name="UNIFORMANCES2R132C6" hidden="1">[4]Sheet2!$F$132</definedName>
    <definedName name="UNIFORMANCES2R133C6" hidden="1">[4]Sheet2!$F$133</definedName>
    <definedName name="UNIFORMANCES2R134C6" hidden="1">[4]Sheet2!$F$134</definedName>
    <definedName name="UNIFORMANCES2R135C6" hidden="1">[4]Sheet2!$F$135</definedName>
    <definedName name="UNIFORMANCES2R136C6" hidden="1">[4]Sheet2!$F$136</definedName>
    <definedName name="UNIFORMANCES2R137C6" hidden="1">[4]Sheet2!$F$137</definedName>
    <definedName name="UNIFORMANCES2R138C6" hidden="1">[4]Sheet2!$F$138</definedName>
    <definedName name="UNIFORMANCES2R139C6" hidden="1">[4]Sheet2!$F$139</definedName>
    <definedName name="UNIFORMANCES2R13C6" hidden="1">[4]Sheet2!$F$13</definedName>
    <definedName name="UNIFORMANCES2R140C6" hidden="1">[4]Sheet2!$F$140</definedName>
    <definedName name="UNIFORMANCES2R141C6" hidden="1">[4]Sheet2!$F$141</definedName>
    <definedName name="UNIFORMANCES2R142C6" hidden="1">[4]Sheet2!$F$142</definedName>
    <definedName name="UNIFORMANCES2R143C6" hidden="1">[4]Sheet2!$F$143</definedName>
    <definedName name="UNIFORMANCES2R144C6" hidden="1">[4]Sheet2!$F$144</definedName>
    <definedName name="UNIFORMANCES2R145C6" hidden="1">[4]Sheet2!$F$145</definedName>
    <definedName name="UNIFORMANCES2R146C6" hidden="1">[4]Sheet2!$F$146</definedName>
    <definedName name="UNIFORMANCES2R147C6" hidden="1">[4]Sheet2!$F$147</definedName>
    <definedName name="UNIFORMANCES2R148C6" hidden="1">[4]Sheet2!$F$148</definedName>
    <definedName name="UNIFORMANCES2R149C6" hidden="1">[4]Sheet2!$F$149</definedName>
    <definedName name="UNIFORMANCES2R14C6" hidden="1">[4]Sheet2!$F$14</definedName>
    <definedName name="UNIFORMANCES2R150C6" hidden="1">[4]Sheet2!$F$150</definedName>
    <definedName name="UNIFORMANCES2R151C6" hidden="1">[4]Sheet2!$F$151</definedName>
    <definedName name="UNIFORMANCES2R152C6" hidden="1">[4]Sheet2!$F$152</definedName>
    <definedName name="UNIFORMANCES2R153C6" hidden="1">[4]Sheet2!$F$153</definedName>
    <definedName name="UNIFORMANCES2R154C6" hidden="1">[4]Sheet2!$F$154</definedName>
    <definedName name="UNIFORMANCES2R155C6" hidden="1">[4]Sheet2!$F$155</definedName>
    <definedName name="UNIFORMANCES2R156C6" hidden="1">[4]Sheet2!$F$156</definedName>
    <definedName name="UNIFORMANCES2R157C6" hidden="1">[4]Sheet2!$F$157</definedName>
    <definedName name="UNIFORMANCES2R158C6" hidden="1">[4]Sheet2!$F$158</definedName>
    <definedName name="UNIFORMANCES2R159C6" hidden="1">[4]Sheet2!$F$159</definedName>
    <definedName name="UNIFORMANCES2R160C6" hidden="1">[4]Sheet2!$F$160</definedName>
    <definedName name="UNIFORMANCES2R161C6" hidden="1">[4]Sheet2!$F$161</definedName>
    <definedName name="UNIFORMANCES2R16C6" hidden="1">[4]Sheet2!$F$16</definedName>
    <definedName name="UNIFORMANCES2R17C6" hidden="1">[4]Sheet2!$F$17</definedName>
    <definedName name="UNIFORMANCES2R184C6" hidden="1">[4]Sheet2!$F$184</definedName>
    <definedName name="UNIFORMANCES2R185C6" hidden="1">[4]Sheet2!$F$185</definedName>
    <definedName name="UNIFORMANCES2R186C6" hidden="1">[4]Sheet2!$F$186</definedName>
    <definedName name="UNIFORMANCES2R187C6" hidden="1">[4]Sheet2!$F$187</definedName>
    <definedName name="UNIFORMANCES2R18C6" hidden="1">[4]Sheet2!$F$18</definedName>
    <definedName name="UNIFORMANCES2R191C6" hidden="1">[4]Sheet2!$F$191</definedName>
    <definedName name="UNIFORMANCES2R192C6" hidden="1">[4]Sheet2!$F$192</definedName>
    <definedName name="UNIFORMANCES2R193C6" hidden="1">[4]Sheet2!$F$193</definedName>
    <definedName name="UNIFORMANCES2R194C6" hidden="1">[4]Sheet2!$F$194</definedName>
    <definedName name="UNIFORMANCES2R195C6" hidden="1">[4]Sheet2!$F$195</definedName>
    <definedName name="UNIFORMANCES2R196C6" hidden="1">[4]Sheet2!$F$196</definedName>
    <definedName name="UNIFORMANCES2R197C6" hidden="1">[4]Sheet2!$F$197</definedName>
    <definedName name="UNIFORMANCES2R198C6" hidden="1">[4]Sheet2!$F$198</definedName>
    <definedName name="UNIFORMANCES2R199C6" hidden="1">[4]Sheet2!$F$199</definedName>
    <definedName name="UNIFORMANCES2R19C6" hidden="1">[4]Sheet2!$F$19</definedName>
    <definedName name="UNIFORMANCES2R200C6" hidden="1">[4]Sheet2!$F$200</definedName>
    <definedName name="UNIFORMANCES2R201C6" hidden="1">[4]Sheet2!$F$201</definedName>
    <definedName name="UNIFORMANCES2R202C6" hidden="1">[4]Sheet2!$F$202</definedName>
    <definedName name="UNIFORMANCES2R203C6" hidden="1">[4]Sheet2!$F$203</definedName>
    <definedName name="UNIFORMANCES2R204C6" hidden="1">[4]Sheet2!$F$204</definedName>
    <definedName name="UNIFORMANCES2R205C6" hidden="1">[4]Sheet2!$F$205</definedName>
    <definedName name="UNIFORMANCES2R206C6" hidden="1">[4]Sheet2!$F$206</definedName>
    <definedName name="UNIFORMANCES2R207C6" hidden="1">[4]Sheet2!$F$207</definedName>
    <definedName name="UNIFORMANCES2R208C6" hidden="1">[4]Sheet2!$F$208</definedName>
    <definedName name="UNIFORMANCES2R209C6" hidden="1">[4]Sheet2!$F$209</definedName>
    <definedName name="UNIFORMANCES2R20C6" hidden="1">[4]Sheet2!$F$20</definedName>
    <definedName name="UNIFORMANCES2R210C6" hidden="1">[4]Sheet2!$F$210</definedName>
    <definedName name="UNIFORMANCES2R211C6" hidden="1">[4]Sheet2!$F$211</definedName>
    <definedName name="UNIFORMANCES2R212C6" hidden="1">[4]Sheet2!$F$212</definedName>
    <definedName name="UNIFORMANCES2R213C6" hidden="1">[4]Sheet2!$F$213</definedName>
    <definedName name="UNIFORMANCES2R214C6" hidden="1">[4]Sheet2!$F$214</definedName>
    <definedName name="UNIFORMANCES2R215C6" hidden="1">[4]Sheet2!$F$215</definedName>
    <definedName name="UNIFORMANCES2R216C6" hidden="1">[4]Sheet2!$F$216</definedName>
    <definedName name="UNIFORMANCES2R217C6" hidden="1">[4]Sheet2!$F$217</definedName>
    <definedName name="UNIFORMANCES2R218C6" hidden="1">[4]Sheet2!$F$218</definedName>
    <definedName name="UNIFORMANCES2R219C6" hidden="1">[4]Sheet2!$F$219</definedName>
    <definedName name="UNIFORMANCES2R21C6" hidden="1">[4]Sheet2!$F$21</definedName>
    <definedName name="UNIFORMANCES2R220C6" hidden="1">[4]Sheet2!$F$220</definedName>
    <definedName name="UNIFORMANCES2R221C6" hidden="1">[4]Sheet2!$F$221</definedName>
    <definedName name="UNIFORMANCES2R222C6" hidden="1">[4]Sheet2!$F$222</definedName>
    <definedName name="UNIFORMANCES2R223C6" hidden="1">[4]Sheet2!$F$223</definedName>
    <definedName name="UNIFORMANCES2R224C6" hidden="1">[4]Sheet2!$F$224</definedName>
    <definedName name="UNIFORMANCES2R225C6" hidden="1">[4]Sheet2!$F$225</definedName>
    <definedName name="UNIFORMANCES2R227C6" hidden="1">[4]Sheet2!$F$227</definedName>
    <definedName name="UNIFORMANCES2R229C6" hidden="1">[4]Sheet2!$F$229</definedName>
    <definedName name="UNIFORMANCES2R22C6" hidden="1">[4]Sheet2!$F$22</definedName>
    <definedName name="UNIFORMANCES2R230C6" hidden="1">[4]Sheet2!$F$230</definedName>
    <definedName name="UNIFORMANCES2R231C6" hidden="1">[4]Sheet2!$F$231</definedName>
    <definedName name="UNIFORMANCES2R232C6" hidden="1">[4]Sheet2!$F$232</definedName>
    <definedName name="UNIFORMANCES2R233C6" hidden="1">[4]Sheet2!$F$233</definedName>
    <definedName name="UNIFORMANCES2R234C6" hidden="1">[4]Sheet2!$F$234</definedName>
    <definedName name="UNIFORMANCES2R235C6" hidden="1">[4]Sheet2!$F$235</definedName>
    <definedName name="UNIFORMANCES2R236C6" hidden="1">[4]Sheet2!$F$236</definedName>
    <definedName name="UNIFORMANCES2R237C6" hidden="1">[4]Sheet2!$F$237</definedName>
    <definedName name="UNIFORMANCES2R238C6" hidden="1">[4]Sheet2!$F$238</definedName>
    <definedName name="UNIFORMANCES2R239C6" hidden="1">[4]Sheet2!$F$239</definedName>
    <definedName name="UNIFORMANCES2R23C6" hidden="1">[4]Sheet2!$F$23</definedName>
    <definedName name="UNIFORMANCES2R240C6" hidden="1">[4]Sheet2!$F$240</definedName>
    <definedName name="UNIFORMANCES2R241C6" hidden="1">[4]Sheet2!$F$241</definedName>
    <definedName name="UNIFORMANCES2R242C6" hidden="1">[4]Sheet2!$F$242</definedName>
    <definedName name="UNIFORMANCES2R243C6" hidden="1">[4]Sheet2!$F$243</definedName>
    <definedName name="UNIFORMANCES2R24C6" hidden="1">[4]Sheet2!$F$24</definedName>
    <definedName name="UNIFORMANCES2R25C6" hidden="1">[4]Sheet2!$F$25</definedName>
    <definedName name="UNIFORMANCES2R26C6" hidden="1">[4]Sheet2!$F$26</definedName>
    <definedName name="UNIFORMANCES2R27C6" hidden="1">[4]Sheet2!$F$27</definedName>
    <definedName name="UNIFORMANCES2R28C6" hidden="1">[4]Sheet2!$F$28</definedName>
    <definedName name="UNIFORMANCES2R29C6" hidden="1">[4]Sheet2!$F$29</definedName>
    <definedName name="UNIFORMANCES2R30C6" hidden="1">[4]Sheet2!$F$30</definedName>
    <definedName name="UNIFORMANCES2R31C6" hidden="1">[4]Sheet2!$F$31</definedName>
    <definedName name="UNIFORMANCES2R32C6" hidden="1">[4]Sheet2!$F$32</definedName>
    <definedName name="UNIFORMANCES2R33C6" hidden="1">[4]Sheet2!$F$33</definedName>
    <definedName name="UNIFORMANCES2R34C6" hidden="1">[4]Sheet2!$F$34</definedName>
    <definedName name="UNIFORMANCES2R35C6" hidden="1">[4]Sheet2!$F$35</definedName>
    <definedName name="UNIFORMANCES2R36C6" hidden="1">[4]Sheet2!$F$36</definedName>
    <definedName name="UNIFORMANCES2R37C6" hidden="1">[4]Sheet2!$F$37</definedName>
    <definedName name="UNIFORMANCES2R38C6" hidden="1">[4]Sheet2!$F$38</definedName>
    <definedName name="UNIFORMANCES2R39C6" hidden="1">[4]Sheet2!$F$39</definedName>
    <definedName name="UNIFORMANCES2R40C6" hidden="1">[4]Sheet2!$F$40</definedName>
    <definedName name="UNIFORMANCES2R41C6" hidden="1">[4]Sheet2!$F$41</definedName>
    <definedName name="UNIFORMANCES2R42C6" hidden="1">[4]Sheet2!$F$42</definedName>
    <definedName name="UNIFORMANCES2R43C6" hidden="1">[4]Sheet2!$F$43</definedName>
    <definedName name="UNIFORMANCES2R44C6" hidden="1">[4]Sheet2!$F$44</definedName>
    <definedName name="UNIFORMANCES2R45C6" hidden="1">[4]Sheet2!$F$45</definedName>
    <definedName name="UNIFORMANCES2R46C6" hidden="1">[4]Sheet2!$F$46</definedName>
    <definedName name="UNIFORMANCES2R47C6" hidden="1">[4]Sheet2!$F$47</definedName>
    <definedName name="UNIFORMANCES2R48C6" hidden="1">[4]Sheet2!$F$48</definedName>
    <definedName name="UNIFORMANCES2R49C6" hidden="1">[4]Sheet2!$F$49</definedName>
    <definedName name="UNIFORMANCES2R4C6" hidden="1">[4]Sheet2!$F$4</definedName>
    <definedName name="UNIFORMANCES2R50C6" hidden="1">[4]Sheet2!$F$50</definedName>
    <definedName name="UNIFORMANCES2R51C6" hidden="1">[4]Sheet2!$F$51</definedName>
    <definedName name="UNIFORMANCES2R52C6" hidden="1">[4]Sheet2!$F$52</definedName>
    <definedName name="UNIFORMANCES2R53C6" hidden="1">[4]Sheet2!$F$53</definedName>
    <definedName name="UNIFORMANCES2R54C6" hidden="1">[4]Sheet2!$F$54</definedName>
    <definedName name="UNIFORMANCES2R55C6" hidden="1">[4]Sheet2!$F$55</definedName>
    <definedName name="UNIFORMANCES2R56C6" hidden="1">[4]Sheet2!$F$56</definedName>
    <definedName name="UNIFORMANCES2R57C6" hidden="1">[4]Sheet2!$F$57</definedName>
    <definedName name="UNIFORMANCES2R58C6" hidden="1">[4]Sheet2!$F$58</definedName>
    <definedName name="UNIFORMANCES2R59C6" hidden="1">[4]Sheet2!$F$59</definedName>
    <definedName name="UNIFORMANCES2R60C6" hidden="1">[4]Sheet2!$F$60</definedName>
    <definedName name="UNIFORMANCES2R61C6" hidden="1">[4]Sheet2!$F$61</definedName>
    <definedName name="UNIFORMANCES2R62C6" hidden="1">[4]Sheet2!$F$62</definedName>
    <definedName name="UNIFORMANCES2R63C6" hidden="1">[4]Sheet2!$F$63</definedName>
    <definedName name="UNIFORMANCES2R64C6" hidden="1">[4]Sheet2!$F$64</definedName>
    <definedName name="UNIFORMANCES2R65C6" hidden="1">[4]Sheet2!$F$65</definedName>
    <definedName name="UNIFORMANCES2R66C6" hidden="1">[4]Sheet2!$F$66</definedName>
    <definedName name="UNIFORMANCES2R67C6" hidden="1">[4]Sheet2!$F$67</definedName>
    <definedName name="UNIFORMANCES2R68C6" hidden="1">[4]Sheet2!$F$68</definedName>
    <definedName name="UNIFORMANCES2R69C6" hidden="1">[4]Sheet2!$F$69</definedName>
    <definedName name="UNIFORMANCES2R6C6" hidden="1">[4]Sheet2!$F$6</definedName>
    <definedName name="UNIFORMANCES2R70C6" hidden="1">[4]Sheet2!$F$70</definedName>
    <definedName name="UNIFORMANCES2R71C6" hidden="1">[4]Sheet2!$F$71</definedName>
    <definedName name="UNIFORMANCES2R72C6" hidden="1">[4]Sheet2!$F$72</definedName>
    <definedName name="UNIFORMANCES2R73C6" hidden="1">[4]Sheet2!$F$73</definedName>
    <definedName name="UNIFORMANCES2R74C6" hidden="1">[4]Sheet2!$F$74</definedName>
    <definedName name="UNIFORMANCES2R75C6" hidden="1">[4]Sheet2!$F$75</definedName>
    <definedName name="UNIFORMANCES2R76C6" hidden="1">[4]Sheet2!$F$76</definedName>
    <definedName name="UNIFORMANCES2R77C6" hidden="1">[4]Sheet2!$F$77</definedName>
    <definedName name="UNIFORMANCES2R78C6" hidden="1">[4]Sheet2!$F$78</definedName>
    <definedName name="UNIFORMANCES2R79C6" hidden="1">[4]Sheet2!$F$79</definedName>
    <definedName name="UNIFORMANCES2R80C6" hidden="1">[4]Sheet2!$F$80</definedName>
    <definedName name="UNIFORMANCES2R81C6" hidden="1">[4]Sheet2!$F$81</definedName>
    <definedName name="UNIFORMANCES2R82C6" hidden="1">[4]Sheet2!$F$82</definedName>
    <definedName name="UNIFORMANCES2R83C6" hidden="1">[4]Sheet2!$F$83</definedName>
    <definedName name="UNIFORMANCES2R84C6" hidden="1">[4]Sheet2!$F$84</definedName>
    <definedName name="UNIFORMANCES2R85C6" hidden="1">[4]Sheet2!$F$85</definedName>
    <definedName name="UNIFORMANCES2R86C6" hidden="1">[4]Sheet2!$F$86</definedName>
    <definedName name="UNIFORMANCES2R87C6" hidden="1">[4]Sheet2!$F$87</definedName>
    <definedName name="UNIFORMANCES2R88C6" hidden="1">[4]Sheet2!$F$88</definedName>
    <definedName name="UNIFORMANCES2R89C6" hidden="1">[4]Sheet2!$F$89</definedName>
    <definedName name="UNIFORMANCES2R8C6" hidden="1">[4]Sheet2!$F$8</definedName>
    <definedName name="UNIFORMANCES2R90C6" hidden="1">[4]Sheet2!$F$90</definedName>
    <definedName name="UNIFORMANCES2R91C6" hidden="1">[4]Sheet2!$F$91</definedName>
    <definedName name="UNIFORMANCES2R92C6" hidden="1">[4]Sheet2!$F$92</definedName>
    <definedName name="UNIFORMANCES2R93C6" hidden="1">[4]Sheet2!$F$93</definedName>
    <definedName name="UNIFORMANCES2R94C6" hidden="1">[4]Sheet2!$F$94</definedName>
    <definedName name="UNIFORMANCES2R95C6" hidden="1">[4]Sheet2!$F$95</definedName>
    <definedName name="UNIFORMANCES2R96C6" hidden="1">[4]Sheet2!$F$96</definedName>
    <definedName name="UNIFORMANCES2R97C6" hidden="1">[4]Sheet2!$F$97</definedName>
    <definedName name="UNIFORMANCES2R98C6" hidden="1">[4]Sheet2!$F$98</definedName>
    <definedName name="UNIFORMANCES2R99C6" hidden="1">[4]Sheet2!$F$99</definedName>
    <definedName name="UNIFORMANCES2R9C6" hidden="1">[4]Sheet2!$F$9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7" l="1"/>
  <c r="C52" i="7"/>
  <c r="T44" i="7"/>
  <c r="T55" i="7" s="1"/>
  <c r="S44" i="7"/>
  <c r="S55" i="7" s="1"/>
  <c r="C41" i="7"/>
  <c r="D36" i="7"/>
  <c r="C29" i="7"/>
  <c r="C30" i="7" s="1"/>
  <c r="D25" i="7"/>
  <c r="W24" i="7"/>
  <c r="V24" i="7"/>
  <c r="U24" i="7"/>
  <c r="T24" i="7"/>
  <c r="S24" i="7"/>
  <c r="W23" i="7"/>
  <c r="V23" i="7"/>
  <c r="U23" i="7"/>
  <c r="T23" i="7"/>
  <c r="S23" i="7"/>
  <c r="D23" i="7"/>
  <c r="C15" i="7"/>
  <c r="C16" i="7" s="1"/>
  <c r="W13" i="7"/>
  <c r="W12" i="7"/>
  <c r="V12" i="7"/>
  <c r="U12" i="7"/>
  <c r="T12" i="7"/>
  <c r="S12" i="7"/>
  <c r="W8" i="7"/>
  <c r="W44" i="7" s="1"/>
  <c r="W55" i="7" s="1"/>
  <c r="V8" i="7"/>
  <c r="V44" i="7" s="1"/>
  <c r="V55" i="7" s="1"/>
  <c r="U8" i="7"/>
  <c r="U44" i="7" s="1"/>
  <c r="U55" i="7" s="1"/>
  <c r="T8" i="7"/>
  <c r="S8" i="7"/>
  <c r="W6" i="7"/>
  <c r="V6" i="7"/>
  <c r="U6" i="7"/>
  <c r="T6" i="7"/>
  <c r="S6" i="7"/>
  <c r="W5" i="7"/>
  <c r="V5" i="7"/>
  <c r="U5" i="7"/>
  <c r="T5" i="7"/>
  <c r="S5" i="7"/>
  <c r="S7" i="7" s="1"/>
  <c r="W4" i="7"/>
  <c r="W7" i="7" s="1"/>
  <c r="V4" i="7"/>
  <c r="V7" i="7" s="1"/>
  <c r="U4" i="7"/>
  <c r="U7" i="7" s="1"/>
  <c r="T4" i="7"/>
  <c r="T7" i="7" s="1"/>
  <c r="S4" i="7"/>
  <c r="T9" i="7" l="1"/>
  <c r="U9" i="7"/>
  <c r="W9" i="7"/>
  <c r="S9" i="7"/>
  <c r="V9" i="7"/>
  <c r="C36" i="7"/>
  <c r="E41" i="5"/>
  <c r="I15" i="3"/>
  <c r="E177" i="2"/>
  <c r="C164" i="2"/>
  <c r="C162" i="2"/>
  <c r="C161" i="2"/>
  <c r="E28" i="5"/>
  <c r="C38" i="7" l="1"/>
  <c r="G44" i="2"/>
  <c r="G45" i="2"/>
  <c r="F50" i="2"/>
  <c r="F49" i="2"/>
  <c r="F40" i="2"/>
  <c r="M33" i="3" l="1"/>
  <c r="I11" i="3" l="1"/>
  <c r="C54" i="2" l="1"/>
  <c r="C214" i="2" l="1"/>
  <c r="C111" i="2" l="1"/>
  <c r="I9" i="3"/>
  <c r="C59" i="2"/>
  <c r="C17" i="2"/>
  <c r="T45" i="5"/>
  <c r="U45" i="5"/>
  <c r="V45" i="5"/>
  <c r="W45" i="5"/>
  <c r="X45" i="5"/>
  <c r="C89" i="2"/>
  <c r="T190" i="2"/>
  <c r="U190" i="2"/>
  <c r="V190" i="2"/>
  <c r="W190" i="2"/>
  <c r="X190" i="2"/>
  <c r="T192" i="2"/>
  <c r="U192" i="2"/>
  <c r="V192" i="2"/>
  <c r="W192" i="2"/>
  <c r="X192" i="2"/>
  <c r="T199" i="2"/>
  <c r="U199" i="2"/>
  <c r="V199" i="2"/>
  <c r="W199" i="2"/>
  <c r="X199" i="2"/>
  <c r="T175" i="2"/>
  <c r="U175" i="2" s="1"/>
  <c r="V175" i="2" s="1"/>
  <c r="W175" i="2" s="1"/>
  <c r="X175" i="2" s="1"/>
  <c r="R111" i="2"/>
  <c r="T24" i="5" s="1"/>
  <c r="T41" i="5" s="1"/>
  <c r="T43" i="5" s="1"/>
  <c r="S111" i="2"/>
  <c r="U24" i="5" s="1"/>
  <c r="U41" i="5" s="1"/>
  <c r="U43" i="5" s="1"/>
  <c r="T111" i="2"/>
  <c r="V24" i="5" s="1"/>
  <c r="V41" i="5" s="1"/>
  <c r="V43" i="5" s="1"/>
  <c r="U111" i="2"/>
  <c r="W24" i="5" s="1"/>
  <c r="W41" i="5" s="1"/>
  <c r="W43" i="5" s="1"/>
  <c r="V111" i="2"/>
  <c r="X24" i="5" s="1"/>
  <c r="X41" i="5" s="1"/>
  <c r="X43" i="5" s="1"/>
  <c r="R165" i="2"/>
  <c r="S165" i="2"/>
  <c r="T165" i="2"/>
  <c r="U165" i="2"/>
  <c r="V165" i="2"/>
  <c r="R110" i="2"/>
  <c r="S110" i="2" s="1"/>
  <c r="T110" i="2" s="1"/>
  <c r="U110" i="2" s="1"/>
  <c r="V110" i="2" s="1"/>
  <c r="D98" i="2"/>
  <c r="C98" i="2"/>
  <c r="S45" i="5"/>
  <c r="X187" i="2" l="1"/>
  <c r="X181" i="2"/>
  <c r="U181" i="2"/>
  <c r="U187" i="2"/>
  <c r="V181" i="2"/>
  <c r="V187" i="2"/>
  <c r="W187" i="2"/>
  <c r="W181" i="2"/>
  <c r="D85" i="2"/>
  <c r="D86" i="2" s="1"/>
  <c r="D87" i="2" s="1"/>
  <c r="O220" i="2"/>
  <c r="N24" i="7" s="1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E199" i="2"/>
  <c r="B66" i="2"/>
  <c r="M18" i="3"/>
  <c r="M19" i="3"/>
  <c r="L18" i="3"/>
  <c r="L17" i="3"/>
  <c r="M17" i="3"/>
  <c r="P62" i="3"/>
  <c r="M28" i="3"/>
  <c r="O8" i="3"/>
  <c r="O7" i="3"/>
  <c r="C215" i="2"/>
  <c r="D12" i="3"/>
  <c r="C20" i="2"/>
  <c r="P220" i="2"/>
  <c r="E4" i="2"/>
  <c r="C85" i="2"/>
  <c r="E120" i="2"/>
  <c r="F120" i="2" s="1"/>
  <c r="D120" i="2"/>
  <c r="E119" i="2"/>
  <c r="F119" i="2" s="1"/>
  <c r="G119" i="2" s="1"/>
  <c r="H119" i="2" s="1"/>
  <c r="D119" i="2"/>
  <c r="C120" i="2"/>
  <c r="C119" i="2"/>
  <c r="F111" i="2"/>
  <c r="H24" i="5" s="1"/>
  <c r="G111" i="2"/>
  <c r="I24" i="5" s="1"/>
  <c r="H111" i="2"/>
  <c r="J24" i="5" s="1"/>
  <c r="I111" i="2"/>
  <c r="K24" i="5" s="1"/>
  <c r="J111" i="2"/>
  <c r="L24" i="5" s="1"/>
  <c r="K111" i="2"/>
  <c r="M24" i="5" s="1"/>
  <c r="L111" i="2"/>
  <c r="N24" i="5" s="1"/>
  <c r="M111" i="2"/>
  <c r="O24" i="5" s="1"/>
  <c r="N111" i="2"/>
  <c r="P24" i="5" s="1"/>
  <c r="O111" i="2"/>
  <c r="Q24" i="5" s="1"/>
  <c r="P111" i="2"/>
  <c r="R24" i="5" s="1"/>
  <c r="Q111" i="2"/>
  <c r="S24" i="5" s="1"/>
  <c r="E111" i="2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D111" i="2"/>
  <c r="D142" i="2" s="1"/>
  <c r="C140" i="2"/>
  <c r="C8" i="1"/>
  <c r="C9" i="1" s="1"/>
  <c r="C10" i="1" s="1"/>
  <c r="C11" i="1" s="1"/>
  <c r="C6" i="1"/>
  <c r="C7" i="1" s="1"/>
  <c r="P192" i="2" l="1"/>
  <c r="O24" i="7"/>
  <c r="T112" i="2"/>
  <c r="T131" i="2" s="1"/>
  <c r="F4" i="2"/>
  <c r="M31" i="3"/>
  <c r="C151" i="2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V112" i="2"/>
  <c r="V131" i="2" s="1"/>
  <c r="S112" i="2"/>
  <c r="S128" i="2" s="1"/>
  <c r="R112" i="2"/>
  <c r="R131" i="2" s="1"/>
  <c r="U112" i="2"/>
  <c r="U131" i="2" s="1"/>
  <c r="T130" i="2"/>
  <c r="T129" i="2"/>
  <c r="T128" i="2"/>
  <c r="T126" i="2"/>
  <c r="V30" i="5" s="1"/>
  <c r="C17" i="1"/>
  <c r="C15" i="1"/>
  <c r="M29" i="3"/>
  <c r="I8" i="3" s="1"/>
  <c r="O10" i="3"/>
  <c r="I7" i="3" s="1"/>
  <c r="D112" i="2"/>
  <c r="D131" i="2" s="1"/>
  <c r="M30" i="3"/>
  <c r="M32" i="3"/>
  <c r="E112" i="2"/>
  <c r="E131" i="2" s="1"/>
  <c r="O112" i="2"/>
  <c r="K112" i="2"/>
  <c r="G112" i="2"/>
  <c r="P112" i="2"/>
  <c r="L112" i="2"/>
  <c r="Q112" i="2"/>
  <c r="M112" i="2"/>
  <c r="I112" i="2"/>
  <c r="N112" i="2"/>
  <c r="J112" i="2"/>
  <c r="F112" i="2"/>
  <c r="H112" i="2"/>
  <c r="C112" i="2"/>
  <c r="C131" i="2" s="1"/>
  <c r="O192" i="2"/>
  <c r="Q220" i="2"/>
  <c r="P24" i="7" s="1"/>
  <c r="R220" i="2"/>
  <c r="S220" i="2"/>
  <c r="D6" i="3"/>
  <c r="D10" i="3"/>
  <c r="D9" i="3"/>
  <c r="D18" i="3"/>
  <c r="D8" i="3"/>
  <c r="D17" i="3"/>
  <c r="D7" i="3"/>
  <c r="D11" i="3"/>
  <c r="F24" i="5"/>
  <c r="E24" i="5"/>
  <c r="H41" i="5"/>
  <c r="H43" i="5" s="1"/>
  <c r="S41" i="5"/>
  <c r="S43" i="5" s="1"/>
  <c r="O41" i="5"/>
  <c r="O43" i="5" s="1"/>
  <c r="K41" i="5"/>
  <c r="K43" i="5" s="1"/>
  <c r="P41" i="5"/>
  <c r="P43" i="5" s="1"/>
  <c r="L41" i="5"/>
  <c r="L43" i="5" s="1"/>
  <c r="Q41" i="5"/>
  <c r="Q43" i="5" s="1"/>
  <c r="M41" i="5"/>
  <c r="M43" i="5" s="1"/>
  <c r="I41" i="5"/>
  <c r="I43" i="5" s="1"/>
  <c r="R41" i="5"/>
  <c r="R43" i="5" s="1"/>
  <c r="N41" i="5"/>
  <c r="N43" i="5" s="1"/>
  <c r="J41" i="5"/>
  <c r="J43" i="5" s="1"/>
  <c r="G24" i="5"/>
  <c r="E142" i="2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D140" i="2"/>
  <c r="G120" i="2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C142" i="2"/>
  <c r="D143" i="2"/>
  <c r="E140" i="2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C143" i="2"/>
  <c r="I119" i="2"/>
  <c r="S192" i="2" l="1"/>
  <c r="R24" i="7"/>
  <c r="R192" i="2"/>
  <c r="Q24" i="7"/>
  <c r="J126" i="2"/>
  <c r="L30" i="5" s="1"/>
  <c r="J131" i="2"/>
  <c r="Q126" i="2"/>
  <c r="S30" i="5" s="1"/>
  <c r="Q131" i="2"/>
  <c r="K126" i="2"/>
  <c r="K131" i="2"/>
  <c r="N126" i="2"/>
  <c r="P30" i="5" s="1"/>
  <c r="N131" i="2"/>
  <c r="L126" i="2"/>
  <c r="L131" i="2"/>
  <c r="O126" i="2"/>
  <c r="Q30" i="5" s="1"/>
  <c r="O131" i="2"/>
  <c r="S129" i="2"/>
  <c r="S131" i="2"/>
  <c r="F126" i="2"/>
  <c r="H30" i="5" s="1"/>
  <c r="F131" i="2"/>
  <c r="M126" i="2"/>
  <c r="O30" i="5" s="1"/>
  <c r="M131" i="2"/>
  <c r="G126" i="2"/>
  <c r="I30" i="5" s="1"/>
  <c r="G131" i="2"/>
  <c r="H126" i="2"/>
  <c r="H131" i="2"/>
  <c r="I126" i="2"/>
  <c r="K30" i="5" s="1"/>
  <c r="I131" i="2"/>
  <c r="P126" i="2"/>
  <c r="P131" i="2"/>
  <c r="S130" i="2"/>
  <c r="S126" i="2"/>
  <c r="U30" i="5" s="1"/>
  <c r="U130" i="2"/>
  <c r="U129" i="2"/>
  <c r="U128" i="2"/>
  <c r="U126" i="2"/>
  <c r="T181" i="2"/>
  <c r="T187" i="2"/>
  <c r="V126" i="2"/>
  <c r="V128" i="2"/>
  <c r="V130" i="2"/>
  <c r="V129" i="2"/>
  <c r="D129" i="2"/>
  <c r="D126" i="2"/>
  <c r="F30" i="5" s="1"/>
  <c r="R126" i="2"/>
  <c r="R128" i="2"/>
  <c r="R129" i="2"/>
  <c r="R130" i="2"/>
  <c r="E130" i="2"/>
  <c r="E126" i="2"/>
  <c r="G30" i="5" s="1"/>
  <c r="M15" i="3"/>
  <c r="D10" i="6"/>
  <c r="S120" i="2"/>
  <c r="C18" i="1"/>
  <c r="C19" i="1" s="1"/>
  <c r="D128" i="2"/>
  <c r="D130" i="2"/>
  <c r="E129" i="2"/>
  <c r="E128" i="2"/>
  <c r="N130" i="2"/>
  <c r="N129" i="2"/>
  <c r="N128" i="2"/>
  <c r="M128" i="2"/>
  <c r="M130" i="2"/>
  <c r="M129" i="2"/>
  <c r="G128" i="2"/>
  <c r="G130" i="2"/>
  <c r="G129" i="2"/>
  <c r="J128" i="2"/>
  <c r="J130" i="2"/>
  <c r="J129" i="2"/>
  <c r="I128" i="2"/>
  <c r="I130" i="2"/>
  <c r="I129" i="2"/>
  <c r="R30" i="5"/>
  <c r="P128" i="2"/>
  <c r="P130" i="2"/>
  <c r="P129" i="2"/>
  <c r="F130" i="2"/>
  <c r="F129" i="2"/>
  <c r="F128" i="2"/>
  <c r="N30" i="5"/>
  <c r="L128" i="2"/>
  <c r="L130" i="2"/>
  <c r="L129" i="2"/>
  <c r="O128" i="2"/>
  <c r="O130" i="2"/>
  <c r="O129" i="2"/>
  <c r="J30" i="5"/>
  <c r="H128" i="2"/>
  <c r="H130" i="2"/>
  <c r="H129" i="2"/>
  <c r="Q128" i="2"/>
  <c r="Q129" i="2"/>
  <c r="Q130" i="2"/>
  <c r="K129" i="2"/>
  <c r="M30" i="5"/>
  <c r="K128" i="2"/>
  <c r="K130" i="2"/>
  <c r="C130" i="2"/>
  <c r="C129" i="2"/>
  <c r="C128" i="2"/>
  <c r="C126" i="2"/>
  <c r="N187" i="2"/>
  <c r="N181" i="2"/>
  <c r="M187" i="2"/>
  <c r="M181" i="2"/>
  <c r="K181" i="2"/>
  <c r="K187" i="2"/>
  <c r="S181" i="2"/>
  <c r="S187" i="2"/>
  <c r="J187" i="2"/>
  <c r="J181" i="2"/>
  <c r="R187" i="2"/>
  <c r="R181" i="2"/>
  <c r="L181" i="2"/>
  <c r="L187" i="2"/>
  <c r="I187" i="2"/>
  <c r="I181" i="2"/>
  <c r="Q187" i="2"/>
  <c r="Q181" i="2"/>
  <c r="P181" i="2"/>
  <c r="P187" i="2"/>
  <c r="O181" i="2"/>
  <c r="O187" i="2"/>
  <c r="Q192" i="2"/>
  <c r="E5" i="2"/>
  <c r="F5" i="2" s="1"/>
  <c r="D19" i="3"/>
  <c r="D13" i="3"/>
  <c r="F41" i="5"/>
  <c r="F43" i="5" s="1"/>
  <c r="E43" i="5"/>
  <c r="G41" i="5"/>
  <c r="G43" i="5" s="1"/>
  <c r="J119" i="2"/>
  <c r="D11" i="6" l="1"/>
  <c r="D12" i="6" s="1"/>
  <c r="E10" i="6" s="1"/>
  <c r="C150" i="2"/>
  <c r="W30" i="5"/>
  <c r="T30" i="5"/>
  <c r="T115" i="2"/>
  <c r="T137" i="2" s="1"/>
  <c r="U115" i="2"/>
  <c r="U137" i="2" s="1"/>
  <c r="V115" i="2"/>
  <c r="V137" i="2" s="1"/>
  <c r="R115" i="2"/>
  <c r="R137" i="2" s="1"/>
  <c r="S115" i="2"/>
  <c r="S137" i="2" s="1"/>
  <c r="X30" i="5"/>
  <c r="T120" i="2"/>
  <c r="M16" i="3"/>
  <c r="M20" i="3" s="1"/>
  <c r="M22" i="3" s="1"/>
  <c r="E181" i="2"/>
  <c r="F181" i="2"/>
  <c r="F187" i="2"/>
  <c r="G181" i="2"/>
  <c r="G187" i="2"/>
  <c r="H181" i="2"/>
  <c r="H187" i="2"/>
  <c r="L115" i="2"/>
  <c r="L137" i="2" s="1"/>
  <c r="Q115" i="2"/>
  <c r="Q137" i="2" s="1"/>
  <c r="N115" i="2"/>
  <c r="N137" i="2" s="1"/>
  <c r="O115" i="2"/>
  <c r="O137" i="2" s="1"/>
  <c r="C115" i="2"/>
  <c r="C137" i="2" s="1"/>
  <c r="P115" i="2"/>
  <c r="P137" i="2" s="1"/>
  <c r="E115" i="2"/>
  <c r="E137" i="2" s="1"/>
  <c r="D115" i="2"/>
  <c r="D137" i="2" s="1"/>
  <c r="I115" i="2"/>
  <c r="I137" i="2" s="1"/>
  <c r="F115" i="2"/>
  <c r="F137" i="2" s="1"/>
  <c r="G115" i="2"/>
  <c r="G137" i="2" s="1"/>
  <c r="H115" i="2"/>
  <c r="H137" i="2" s="1"/>
  <c r="M115" i="2"/>
  <c r="M137" i="2" s="1"/>
  <c r="J115" i="2"/>
  <c r="J137" i="2" s="1"/>
  <c r="K115" i="2"/>
  <c r="K137" i="2" s="1"/>
  <c r="D21" i="3"/>
  <c r="D23" i="3" s="1"/>
  <c r="K119" i="2"/>
  <c r="E11" i="6" l="1"/>
  <c r="E12" i="6" s="1"/>
  <c r="D150" i="2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R133" i="2"/>
  <c r="R136" i="2"/>
  <c r="R135" i="2"/>
  <c r="R134" i="2"/>
  <c r="U114" i="2"/>
  <c r="U116" i="2" s="1"/>
  <c r="R114" i="2"/>
  <c r="T114" i="2"/>
  <c r="T116" i="2" s="1"/>
  <c r="V114" i="2"/>
  <c r="V116" i="2" s="1"/>
  <c r="S114" i="2"/>
  <c r="V133" i="2"/>
  <c r="V134" i="2"/>
  <c r="V135" i="2"/>
  <c r="V136" i="2"/>
  <c r="U134" i="2"/>
  <c r="U135" i="2"/>
  <c r="U136" i="2"/>
  <c r="U133" i="2"/>
  <c r="S133" i="2"/>
  <c r="S136" i="2"/>
  <c r="S135" i="2"/>
  <c r="S134" i="2"/>
  <c r="T135" i="2"/>
  <c r="T136" i="2"/>
  <c r="T133" i="2"/>
  <c r="T134" i="2"/>
  <c r="U120" i="2"/>
  <c r="I12" i="3"/>
  <c r="I23" i="3" s="1"/>
  <c r="N135" i="2"/>
  <c r="N136" i="2"/>
  <c r="N133" i="2"/>
  <c r="N134" i="2"/>
  <c r="K134" i="2"/>
  <c r="K136" i="2"/>
  <c r="K133" i="2"/>
  <c r="K135" i="2"/>
  <c r="E141" i="2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E134" i="2"/>
  <c r="E135" i="2"/>
  <c r="E136" i="2"/>
  <c r="E133" i="2"/>
  <c r="O135" i="2"/>
  <c r="O136" i="2"/>
  <c r="O133" i="2"/>
  <c r="O134" i="2"/>
  <c r="M134" i="2"/>
  <c r="M135" i="2"/>
  <c r="M136" i="2"/>
  <c r="M133" i="2"/>
  <c r="L133" i="2"/>
  <c r="L134" i="2"/>
  <c r="L135" i="2"/>
  <c r="L136" i="2"/>
  <c r="G136" i="2"/>
  <c r="G133" i="2"/>
  <c r="G134" i="2"/>
  <c r="G135" i="2"/>
  <c r="H133" i="2"/>
  <c r="H134" i="2"/>
  <c r="H135" i="2"/>
  <c r="H136" i="2"/>
  <c r="I134" i="2"/>
  <c r="I135" i="2"/>
  <c r="I136" i="2"/>
  <c r="I133" i="2"/>
  <c r="J135" i="2"/>
  <c r="J136" i="2"/>
  <c r="J133" i="2"/>
  <c r="J134" i="2"/>
  <c r="F135" i="2"/>
  <c r="F136" i="2"/>
  <c r="F133" i="2"/>
  <c r="F134" i="2"/>
  <c r="P133" i="2"/>
  <c r="P134" i="2"/>
  <c r="P135" i="2"/>
  <c r="P136" i="2"/>
  <c r="Q134" i="2"/>
  <c r="Q135" i="2"/>
  <c r="Q136" i="2"/>
  <c r="Q133" i="2"/>
  <c r="D141" i="2"/>
  <c r="D135" i="2"/>
  <c r="D133" i="2"/>
  <c r="D134" i="2"/>
  <c r="D136" i="2"/>
  <c r="C141" i="2"/>
  <c r="C136" i="2"/>
  <c r="C134" i="2"/>
  <c r="C133" i="2"/>
  <c r="C135" i="2"/>
  <c r="N114" i="2"/>
  <c r="N116" i="2" s="1"/>
  <c r="C114" i="2"/>
  <c r="C122" i="2" s="1"/>
  <c r="P114" i="2"/>
  <c r="P116" i="2" s="1"/>
  <c r="Q114" i="2"/>
  <c r="Q116" i="2" s="1"/>
  <c r="G114" i="2"/>
  <c r="D114" i="2"/>
  <c r="E114" i="2"/>
  <c r="F114" i="2"/>
  <c r="K114" i="2"/>
  <c r="K116" i="2" s="1"/>
  <c r="H114" i="2"/>
  <c r="I114" i="2"/>
  <c r="J114" i="2"/>
  <c r="O114" i="2"/>
  <c r="O116" i="2" s="1"/>
  <c r="L114" i="2"/>
  <c r="L116" i="2" s="1"/>
  <c r="M114" i="2"/>
  <c r="M116" i="2" s="1"/>
  <c r="D24" i="3"/>
  <c r="K122" i="2"/>
  <c r="L119" i="2"/>
  <c r="F154" i="2" l="1"/>
  <c r="F147" i="2"/>
  <c r="O154" i="2"/>
  <c r="O147" i="2"/>
  <c r="G154" i="2"/>
  <c r="G147" i="2"/>
  <c r="K154" i="2"/>
  <c r="K147" i="2"/>
  <c r="N154" i="2"/>
  <c r="N147" i="2"/>
  <c r="S147" i="2"/>
  <c r="V147" i="2"/>
  <c r="C147" i="2"/>
  <c r="P154" i="2"/>
  <c r="P147" i="2"/>
  <c r="H154" i="2"/>
  <c r="H147" i="2"/>
  <c r="L154" i="2"/>
  <c r="L147" i="2"/>
  <c r="U147" i="2"/>
  <c r="R147" i="2"/>
  <c r="D154" i="2"/>
  <c r="D147" i="2"/>
  <c r="J154" i="2"/>
  <c r="J147" i="2"/>
  <c r="Q154" i="2"/>
  <c r="Q147" i="2"/>
  <c r="I154" i="2"/>
  <c r="I147" i="2"/>
  <c r="M154" i="2"/>
  <c r="M147" i="2"/>
  <c r="E154" i="2"/>
  <c r="E147" i="2"/>
  <c r="T147" i="2"/>
  <c r="D221" i="2"/>
  <c r="M28" i="5"/>
  <c r="K153" i="2"/>
  <c r="M31" i="5" s="1"/>
  <c r="S154" i="2"/>
  <c r="E30" i="5"/>
  <c r="C154" i="2"/>
  <c r="U154" i="2"/>
  <c r="V154" i="2"/>
  <c r="R116" i="2"/>
  <c r="T154" i="2"/>
  <c r="S116" i="2"/>
  <c r="R154" i="2"/>
  <c r="V120" i="2"/>
  <c r="K152" i="2"/>
  <c r="C116" i="2"/>
  <c r="I116" i="2"/>
  <c r="I122" i="2"/>
  <c r="G122" i="2"/>
  <c r="G116" i="2"/>
  <c r="H122" i="2"/>
  <c r="H116" i="2"/>
  <c r="D116" i="2"/>
  <c r="D122" i="2"/>
  <c r="E116" i="2"/>
  <c r="E122" i="2"/>
  <c r="J116" i="2"/>
  <c r="J122" i="2"/>
  <c r="F122" i="2"/>
  <c r="F116" i="2"/>
  <c r="L122" i="2"/>
  <c r="M119" i="2"/>
  <c r="G28" i="5" l="1"/>
  <c r="E153" i="2"/>
  <c r="G31" i="5" s="1"/>
  <c r="H28" i="5"/>
  <c r="F153" i="2"/>
  <c r="H31" i="5" s="1"/>
  <c r="L28" i="5"/>
  <c r="J153" i="2"/>
  <c r="L31" i="5" s="1"/>
  <c r="K28" i="5"/>
  <c r="I153" i="2"/>
  <c r="K31" i="5" s="1"/>
  <c r="J28" i="5"/>
  <c r="H153" i="2"/>
  <c r="J31" i="5" s="1"/>
  <c r="F28" i="5"/>
  <c r="D153" i="2"/>
  <c r="N28" i="5"/>
  <c r="L153" i="2"/>
  <c r="N31" i="5" s="1"/>
  <c r="I28" i="5"/>
  <c r="G153" i="2"/>
  <c r="I31" i="5" s="1"/>
  <c r="C153" i="2"/>
  <c r="C152" i="2"/>
  <c r="J152" i="2"/>
  <c r="D152" i="2"/>
  <c r="F152" i="2"/>
  <c r="H152" i="2"/>
  <c r="E152" i="2"/>
  <c r="I152" i="2"/>
  <c r="L152" i="2"/>
  <c r="G152" i="2"/>
  <c r="E145" i="2"/>
  <c r="F145" i="2" s="1"/>
  <c r="G145" i="2" s="1"/>
  <c r="H145" i="2" s="1"/>
  <c r="I145" i="2" s="1"/>
  <c r="E144" i="2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E138" i="2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E139" i="2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C145" i="2"/>
  <c r="C138" i="2"/>
  <c r="C144" i="2"/>
  <c r="C139" i="2"/>
  <c r="D145" i="2"/>
  <c r="D144" i="2"/>
  <c r="D139" i="2"/>
  <c r="D138" i="2"/>
  <c r="M122" i="2"/>
  <c r="N119" i="2"/>
  <c r="O28" i="5" l="1"/>
  <c r="M153" i="2"/>
  <c r="O31" i="5" s="1"/>
  <c r="C156" i="2"/>
  <c r="C31" i="5"/>
  <c r="C42" i="5" s="1"/>
  <c r="C43" i="5" s="1"/>
  <c r="E31" i="5"/>
  <c r="D31" i="5" s="1"/>
  <c r="F31" i="5"/>
  <c r="M152" i="2"/>
  <c r="J145" i="2"/>
  <c r="O119" i="2"/>
  <c r="N122" i="2"/>
  <c r="P28" i="5" l="1"/>
  <c r="N153" i="2"/>
  <c r="P31" i="5" s="1"/>
  <c r="C32" i="5"/>
  <c r="C188" i="2" s="1"/>
  <c r="D32" i="5"/>
  <c r="D42" i="5"/>
  <c r="D43" i="5" s="1"/>
  <c r="C181" i="2"/>
  <c r="N152" i="2"/>
  <c r="K145" i="2"/>
  <c r="O122" i="2"/>
  <c r="P119" i="2"/>
  <c r="Q28" i="5" l="1"/>
  <c r="O153" i="2"/>
  <c r="Q31" i="5" s="1"/>
  <c r="C55" i="5"/>
  <c r="D188" i="2"/>
  <c r="D55" i="5"/>
  <c r="D181" i="2"/>
  <c r="O152" i="2"/>
  <c r="L145" i="2"/>
  <c r="P122" i="2"/>
  <c r="Q119" i="2"/>
  <c r="R28" i="5" l="1"/>
  <c r="P153" i="2"/>
  <c r="Q122" i="2"/>
  <c r="R119" i="2"/>
  <c r="P152" i="2"/>
  <c r="R31" i="5"/>
  <c r="M145" i="2"/>
  <c r="S28" i="5" l="1"/>
  <c r="Q153" i="2"/>
  <c r="S31" i="5" s="1"/>
  <c r="Q152" i="2"/>
  <c r="S119" i="2"/>
  <c r="R122" i="2"/>
  <c r="R153" i="2" s="1"/>
  <c r="N145" i="2"/>
  <c r="T119" i="2" l="1"/>
  <c r="S122" i="2"/>
  <c r="S153" i="2" s="1"/>
  <c r="R152" i="2"/>
  <c r="R156" i="2" s="1"/>
  <c r="T31" i="5"/>
  <c r="T28" i="5"/>
  <c r="O145" i="2"/>
  <c r="R159" i="2" l="1"/>
  <c r="U28" i="5"/>
  <c r="U31" i="5"/>
  <c r="S152" i="2"/>
  <c r="S156" i="2" s="1"/>
  <c r="U119" i="2"/>
  <c r="T122" i="2"/>
  <c r="T153" i="2" s="1"/>
  <c r="P145" i="2"/>
  <c r="V31" i="5" l="1"/>
  <c r="V28" i="5"/>
  <c r="T152" i="2"/>
  <c r="T156" i="2" s="1"/>
  <c r="S159" i="2"/>
  <c r="T29" i="5"/>
  <c r="T32" i="5" s="1"/>
  <c r="T55" i="5" s="1"/>
  <c r="R162" i="2"/>
  <c r="R161" i="2"/>
  <c r="V119" i="2"/>
  <c r="V122" i="2" s="1"/>
  <c r="V153" i="2" s="1"/>
  <c r="U122" i="2"/>
  <c r="U153" i="2" s="1"/>
  <c r="Q145" i="2"/>
  <c r="R145" i="2" s="1"/>
  <c r="S145" i="2" s="1"/>
  <c r="T145" i="2" s="1"/>
  <c r="U145" i="2" s="1"/>
  <c r="V145" i="2" s="1"/>
  <c r="W28" i="5" l="1"/>
  <c r="W31" i="5"/>
  <c r="U152" i="2"/>
  <c r="V152" i="2"/>
  <c r="V156" i="2" s="1"/>
  <c r="X31" i="5"/>
  <c r="X28" i="5"/>
  <c r="S162" i="2"/>
  <c r="U29" i="5"/>
  <c r="U32" i="5" s="1"/>
  <c r="S161" i="2"/>
  <c r="T159" i="2"/>
  <c r="T177" i="2"/>
  <c r="R171" i="2"/>
  <c r="V159" i="2" l="1"/>
  <c r="U156" i="2"/>
  <c r="V29" i="5"/>
  <c r="V32" i="5" s="1"/>
  <c r="T162" i="2"/>
  <c r="T161" i="2"/>
  <c r="U177" i="2"/>
  <c r="S171" i="2"/>
  <c r="U55" i="5"/>
  <c r="U188" i="2"/>
  <c r="U182" i="2"/>
  <c r="U184" i="2" l="1"/>
  <c r="V182" i="2"/>
  <c r="V188" i="2"/>
  <c r="V55" i="5"/>
  <c r="U159" i="2"/>
  <c r="T171" i="2"/>
  <c r="V177" i="2"/>
  <c r="X29" i="5"/>
  <c r="X32" i="5" s="1"/>
  <c r="V162" i="2"/>
  <c r="V161" i="2"/>
  <c r="V184" i="2" l="1"/>
  <c r="X177" i="2"/>
  <c r="V171" i="2"/>
  <c r="X55" i="5"/>
  <c r="U162" i="2"/>
  <c r="W29" i="5"/>
  <c r="W32" i="5" s="1"/>
  <c r="X182" i="2" s="1"/>
  <c r="U161" i="2"/>
  <c r="X188" i="2" l="1"/>
  <c r="W177" i="2"/>
  <c r="U171" i="2"/>
  <c r="W55" i="5"/>
  <c r="W188" i="2"/>
  <c r="W182" i="2"/>
  <c r="X184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W184" i="2" l="1"/>
  <c r="G159" i="2"/>
  <c r="I29" i="5" s="1"/>
  <c r="P159" i="2"/>
  <c r="R29" i="5" s="1"/>
  <c r="H159" i="2"/>
  <c r="J29" i="5" s="1"/>
  <c r="L159" i="2"/>
  <c r="N29" i="5" s="1"/>
  <c r="O159" i="2"/>
  <c r="Q29" i="5" s="1"/>
  <c r="D159" i="2"/>
  <c r="F29" i="5" s="1"/>
  <c r="K159" i="2"/>
  <c r="M29" i="5" s="1"/>
  <c r="M159" i="2"/>
  <c r="I159" i="2"/>
  <c r="E159" i="2"/>
  <c r="Q159" i="2"/>
  <c r="N159" i="2"/>
  <c r="J159" i="2"/>
  <c r="F159" i="2"/>
  <c r="C159" i="2"/>
  <c r="E29" i="5" s="1"/>
  <c r="L29" i="5" l="1"/>
  <c r="L32" i="5" s="1"/>
  <c r="L55" i="5" s="1"/>
  <c r="K29" i="5"/>
  <c r="K32" i="5" s="1"/>
  <c r="K55" i="5" s="1"/>
  <c r="H29" i="5"/>
  <c r="H32" i="5" s="1"/>
  <c r="H55" i="5" s="1"/>
  <c r="G29" i="5"/>
  <c r="G32" i="5" s="1"/>
  <c r="G55" i="5" s="1"/>
  <c r="S29" i="5"/>
  <c r="S32" i="5" s="1"/>
  <c r="P29" i="5"/>
  <c r="P32" i="5" s="1"/>
  <c r="P55" i="5" s="1"/>
  <c r="O29" i="5"/>
  <c r="O32" i="5" s="1"/>
  <c r="O55" i="5" s="1"/>
  <c r="O162" i="2"/>
  <c r="Q32" i="5"/>
  <c r="Q55" i="5" s="1"/>
  <c r="G162" i="2"/>
  <c r="I32" i="5"/>
  <c r="I55" i="5" s="1"/>
  <c r="D161" i="2"/>
  <c r="F32" i="5"/>
  <c r="F55" i="5" s="1"/>
  <c r="P161" i="2"/>
  <c r="R32" i="5"/>
  <c r="R55" i="5" s="1"/>
  <c r="K161" i="2"/>
  <c r="M32" i="5"/>
  <c r="M55" i="5" s="1"/>
  <c r="H161" i="2"/>
  <c r="J32" i="5"/>
  <c r="J55" i="5" s="1"/>
  <c r="L161" i="2"/>
  <c r="N32" i="5"/>
  <c r="N55" i="5" s="1"/>
  <c r="H162" i="2"/>
  <c r="P162" i="2"/>
  <c r="O161" i="2"/>
  <c r="G161" i="2"/>
  <c r="D162" i="2"/>
  <c r="L162" i="2"/>
  <c r="K162" i="2"/>
  <c r="M162" i="2"/>
  <c r="M161" i="2"/>
  <c r="E162" i="2"/>
  <c r="E161" i="2"/>
  <c r="I161" i="2"/>
  <c r="I162" i="2"/>
  <c r="Q161" i="2"/>
  <c r="Q162" i="2"/>
  <c r="J161" i="2"/>
  <c r="J162" i="2"/>
  <c r="F162" i="2"/>
  <c r="F161" i="2"/>
  <c r="N162" i="2"/>
  <c r="N161" i="2"/>
  <c r="C171" i="2"/>
  <c r="E32" i="5"/>
  <c r="E55" i="5" s="1"/>
  <c r="J13" i="3" s="1"/>
  <c r="I13" i="3" l="1"/>
  <c r="S55" i="5"/>
  <c r="T188" i="2"/>
  <c r="T182" i="2"/>
  <c r="T184" i="2" s="1"/>
  <c r="G182" i="2"/>
  <c r="N188" i="2"/>
  <c r="J188" i="2"/>
  <c r="O188" i="2"/>
  <c r="J182" i="2"/>
  <c r="R188" i="2"/>
  <c r="R182" i="2"/>
  <c r="K182" i="2"/>
  <c r="K177" i="2"/>
  <c r="I171" i="2"/>
  <c r="I177" i="2"/>
  <c r="G171" i="2"/>
  <c r="R177" i="2"/>
  <c r="P171" i="2"/>
  <c r="O177" i="2"/>
  <c r="M171" i="2"/>
  <c r="N177" i="2"/>
  <c r="L171" i="2"/>
  <c r="J177" i="2"/>
  <c r="H171" i="2"/>
  <c r="F177" i="2"/>
  <c r="D171" i="2"/>
  <c r="H177" i="2"/>
  <c r="F171" i="2"/>
  <c r="L177" i="2"/>
  <c r="J171" i="2"/>
  <c r="S177" i="2"/>
  <c r="Q171" i="2"/>
  <c r="P177" i="2"/>
  <c r="N171" i="2"/>
  <c r="G177" i="2"/>
  <c r="E171" i="2"/>
  <c r="Q177" i="2"/>
  <c r="O171" i="2"/>
  <c r="M177" i="2"/>
  <c r="K171" i="2"/>
  <c r="N182" i="2"/>
  <c r="F182" i="2"/>
  <c r="K188" i="2"/>
  <c r="O182" i="2"/>
  <c r="F188" i="2"/>
  <c r="G188" i="2"/>
  <c r="S188" i="2"/>
  <c r="S182" i="2"/>
  <c r="P188" i="2"/>
  <c r="P182" i="2"/>
  <c r="Q188" i="2"/>
  <c r="Q182" i="2"/>
  <c r="L188" i="2"/>
  <c r="L182" i="2"/>
  <c r="M182" i="2"/>
  <c r="M188" i="2"/>
  <c r="H188" i="2"/>
  <c r="H182" i="2"/>
  <c r="I182" i="2"/>
  <c r="I188" i="2"/>
  <c r="E184" i="2"/>
  <c r="I14" i="3" l="1"/>
  <c r="I24" i="3"/>
  <c r="L184" i="2"/>
  <c r="P184" i="2"/>
  <c r="G184" i="2"/>
  <c r="R184" i="2"/>
  <c r="K184" i="2"/>
  <c r="I184" i="2"/>
  <c r="M184" i="2"/>
  <c r="N184" i="2"/>
  <c r="H184" i="2"/>
  <c r="S184" i="2"/>
  <c r="O184" i="2"/>
  <c r="J184" i="2"/>
  <c r="Q184" i="2"/>
  <c r="F184" i="2"/>
  <c r="E179" i="2" l="1"/>
  <c r="E188" i="2"/>
  <c r="C29" i="2" l="1"/>
  <c r="C31" i="2" l="1"/>
  <c r="D222" i="2" l="1"/>
  <c r="D190" i="2" l="1"/>
  <c r="D27" i="3"/>
  <c r="D26" i="3" s="1"/>
  <c r="F26" i="3" s="1"/>
  <c r="I25" i="3" l="1"/>
  <c r="I26" i="3" s="1"/>
  <c r="I19" i="3"/>
  <c r="F10" i="6"/>
  <c r="F11" i="6"/>
  <c r="G11" i="6" s="1"/>
  <c r="C30" i="2"/>
  <c r="C32" i="2" s="1"/>
  <c r="D36" i="2" l="1"/>
  <c r="D35" i="2"/>
  <c r="F20" i="6"/>
  <c r="G21" i="6" s="1"/>
  <c r="D256" i="2"/>
  <c r="I21" i="3"/>
  <c r="I20" i="3"/>
  <c r="F12" i="6"/>
  <c r="G10" i="6"/>
  <c r="D255" i="2" s="1"/>
  <c r="E255" i="2" s="1"/>
  <c r="U46" i="5"/>
  <c r="T46" i="5"/>
  <c r="X46" i="5"/>
  <c r="W46" i="5"/>
  <c r="V46" i="5"/>
  <c r="E46" i="5"/>
  <c r="I46" i="5"/>
  <c r="M46" i="5"/>
  <c r="Q46" i="5"/>
  <c r="E35" i="5"/>
  <c r="H46" i="5"/>
  <c r="L46" i="5"/>
  <c r="P46" i="5"/>
  <c r="G46" i="5"/>
  <c r="K46" i="5"/>
  <c r="O46" i="5"/>
  <c r="S46" i="5"/>
  <c r="N46" i="5"/>
  <c r="J46" i="5"/>
  <c r="F46" i="5"/>
  <c r="R46" i="5"/>
  <c r="G30" i="6" l="1"/>
  <c r="G34" i="6"/>
  <c r="G26" i="6"/>
  <c r="G24" i="6"/>
  <c r="G36" i="6"/>
  <c r="G35" i="6"/>
  <c r="G25" i="6"/>
  <c r="G31" i="6"/>
  <c r="G33" i="6"/>
  <c r="D37" i="2"/>
  <c r="G23" i="6"/>
  <c r="G20" i="6"/>
  <c r="F21" i="6" s="1"/>
  <c r="F22" i="6" s="1"/>
  <c r="G32" i="6"/>
  <c r="G38" i="6"/>
  <c r="G28" i="6"/>
  <c r="F255" i="2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G22" i="6"/>
  <c r="G27" i="6"/>
  <c r="G29" i="6"/>
  <c r="G37" i="6"/>
  <c r="G39" i="6"/>
  <c r="E256" i="2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J26" i="3"/>
  <c r="J23" i="3"/>
  <c r="C216" i="2"/>
  <c r="C217" i="2" s="1"/>
  <c r="E220" i="2" s="1"/>
  <c r="D24" i="7" s="1"/>
  <c r="G12" i="6"/>
  <c r="D20" i="6"/>
  <c r="C46" i="5"/>
  <c r="C35" i="5"/>
  <c r="F35" i="5"/>
  <c r="D35" i="5"/>
  <c r="D37" i="5" s="1"/>
  <c r="D38" i="5" s="1"/>
  <c r="E259" i="2" l="1"/>
  <c r="C232" i="2" s="1"/>
  <c r="F23" i="6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M220" i="2"/>
  <c r="L24" i="7" s="1"/>
  <c r="N220" i="2"/>
  <c r="M24" i="7" s="1"/>
  <c r="E35" i="6"/>
  <c r="H35" i="6" s="1"/>
  <c r="E27" i="6"/>
  <c r="H27" i="6" s="1"/>
  <c r="E29" i="6"/>
  <c r="H29" i="6" s="1"/>
  <c r="E25" i="6"/>
  <c r="H25" i="6" s="1"/>
  <c r="E23" i="6"/>
  <c r="H23" i="6" s="1"/>
  <c r="E39" i="6"/>
  <c r="H39" i="6" s="1"/>
  <c r="E33" i="6"/>
  <c r="H33" i="6" s="1"/>
  <c r="E28" i="6"/>
  <c r="H28" i="6" s="1"/>
  <c r="E24" i="6"/>
  <c r="H24" i="6" s="1"/>
  <c r="E37" i="6"/>
  <c r="H37" i="6" s="1"/>
  <c r="E21" i="6"/>
  <c r="H21" i="6" s="1"/>
  <c r="E32" i="6"/>
  <c r="H32" i="6" s="1"/>
  <c r="E34" i="6"/>
  <c r="H34" i="6" s="1"/>
  <c r="E22" i="6"/>
  <c r="H22" i="6" s="1"/>
  <c r="E36" i="6"/>
  <c r="H36" i="6" s="1"/>
  <c r="E38" i="6"/>
  <c r="H38" i="6" s="1"/>
  <c r="E30" i="6"/>
  <c r="H30" i="6" s="1"/>
  <c r="E26" i="6"/>
  <c r="H26" i="6" s="1"/>
  <c r="E20" i="6"/>
  <c r="H20" i="6" s="1"/>
  <c r="E31" i="6"/>
  <c r="H31" i="6" s="1"/>
  <c r="G35" i="5"/>
  <c r="E221" i="2"/>
  <c r="D46" i="5"/>
  <c r="C48" i="5"/>
  <c r="C180" i="2"/>
  <c r="C183" i="2" s="1"/>
  <c r="C186" i="2"/>
  <c r="C194" i="2" s="1"/>
  <c r="C37" i="5"/>
  <c r="C38" i="5" s="1"/>
  <c r="N192" i="2" l="1"/>
  <c r="M192" i="2"/>
  <c r="C166" i="2"/>
  <c r="H40" i="6"/>
  <c r="C49" i="5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G259" i="2"/>
  <c r="E232" i="2" s="1"/>
  <c r="D45" i="5"/>
  <c r="E222" i="2"/>
  <c r="H35" i="5"/>
  <c r="F259" i="2"/>
  <c r="D232" i="2" s="1"/>
  <c r="G220" i="2"/>
  <c r="F24" i="7" s="1"/>
  <c r="K220" i="2"/>
  <c r="J24" i="7" s="1"/>
  <c r="F220" i="2"/>
  <c r="E24" i="7" s="1"/>
  <c r="J220" i="2"/>
  <c r="I24" i="7" s="1"/>
  <c r="I220" i="2"/>
  <c r="H24" i="7" s="1"/>
  <c r="L220" i="2"/>
  <c r="K24" i="7" s="1"/>
  <c r="H220" i="2"/>
  <c r="G24" i="7" s="1"/>
  <c r="H41" i="6" l="1"/>
  <c r="D166" i="2"/>
  <c r="F36" i="5" s="1"/>
  <c r="F37" i="5" s="1"/>
  <c r="E36" i="5"/>
  <c r="E37" i="5" s="1"/>
  <c r="C231" i="2"/>
  <c r="H259" i="2"/>
  <c r="F232" i="2" s="1"/>
  <c r="E192" i="2"/>
  <c r="D179" i="2"/>
  <c r="D183" i="2" s="1"/>
  <c r="D186" i="2"/>
  <c r="D194" i="2" s="1"/>
  <c r="D48" i="5"/>
  <c r="D49" i="5" s="1"/>
  <c r="I192" i="2"/>
  <c r="K192" i="2"/>
  <c r="F221" i="2"/>
  <c r="G192" i="2"/>
  <c r="L192" i="2"/>
  <c r="F192" i="2"/>
  <c r="E190" i="2"/>
  <c r="C165" i="2"/>
  <c r="H192" i="2"/>
  <c r="J192" i="2"/>
  <c r="I35" i="5"/>
  <c r="E166" i="2" l="1"/>
  <c r="D231" i="2"/>
  <c r="J259" i="2"/>
  <c r="H232" i="2" s="1"/>
  <c r="C167" i="2"/>
  <c r="C230" i="2" s="1"/>
  <c r="J35" i="5"/>
  <c r="E45" i="5"/>
  <c r="G221" i="2"/>
  <c r="F222" i="2"/>
  <c r="F166" i="2" l="1"/>
  <c r="H36" i="5" s="1"/>
  <c r="H37" i="5" s="1"/>
  <c r="E231" i="2"/>
  <c r="G36" i="5"/>
  <c r="G37" i="5" s="1"/>
  <c r="I259" i="2"/>
  <c r="G232" i="2" s="1"/>
  <c r="K259" i="2"/>
  <c r="I232" i="2" s="1"/>
  <c r="D165" i="2"/>
  <c r="E23" i="7" s="1"/>
  <c r="F190" i="2"/>
  <c r="K35" i="5"/>
  <c r="C237" i="2"/>
  <c r="C233" i="2"/>
  <c r="C235" i="2" s="1"/>
  <c r="G222" i="2"/>
  <c r="H221" i="2"/>
  <c r="F45" i="5"/>
  <c r="G166" i="2" l="1"/>
  <c r="F231" i="2"/>
  <c r="L259" i="2"/>
  <c r="J232" i="2" s="1"/>
  <c r="E165" i="2"/>
  <c r="F23" i="7" s="1"/>
  <c r="G190" i="2"/>
  <c r="C236" i="2"/>
  <c r="D234" i="2"/>
  <c r="L35" i="5"/>
  <c r="G45" i="5"/>
  <c r="I221" i="2"/>
  <c r="H222" i="2"/>
  <c r="H166" i="2" l="1"/>
  <c r="J36" i="5" s="1"/>
  <c r="J37" i="5" s="1"/>
  <c r="G231" i="2"/>
  <c r="I36" i="5"/>
  <c r="I37" i="5" s="1"/>
  <c r="N259" i="2"/>
  <c r="L232" i="2" s="1"/>
  <c r="H190" i="2"/>
  <c r="F165" i="2"/>
  <c r="G23" i="7" s="1"/>
  <c r="C243" i="2"/>
  <c r="C244" i="2" s="1"/>
  <c r="C238" i="2"/>
  <c r="C239" i="2"/>
  <c r="H45" i="5"/>
  <c r="J221" i="2"/>
  <c r="I222" i="2"/>
  <c r="M35" i="5"/>
  <c r="C245" i="2"/>
  <c r="I166" i="2" l="1"/>
  <c r="H231" i="2"/>
  <c r="O259" i="2"/>
  <c r="M232" i="2" s="1"/>
  <c r="M259" i="2"/>
  <c r="K232" i="2" s="1"/>
  <c r="I190" i="2"/>
  <c r="G165" i="2"/>
  <c r="H23" i="7" s="1"/>
  <c r="I45" i="5"/>
  <c r="K221" i="2"/>
  <c r="J222" i="2"/>
  <c r="N35" i="5"/>
  <c r="J166" i="2" l="1"/>
  <c r="I231" i="2"/>
  <c r="K36" i="5"/>
  <c r="K37" i="5" s="1"/>
  <c r="L36" i="5"/>
  <c r="L37" i="5" s="1"/>
  <c r="P259" i="2"/>
  <c r="N232" i="2" s="1"/>
  <c r="O35" i="5"/>
  <c r="K222" i="2"/>
  <c r="J45" i="5"/>
  <c r="L221" i="2"/>
  <c r="H165" i="2"/>
  <c r="I23" i="7" s="1"/>
  <c r="J190" i="2"/>
  <c r="K166" i="2" l="1"/>
  <c r="J231" i="2"/>
  <c r="Q259" i="2"/>
  <c r="O232" i="2" s="1"/>
  <c r="K45" i="5"/>
  <c r="M221" i="2"/>
  <c r="L222" i="2"/>
  <c r="P35" i="5"/>
  <c r="I165" i="2"/>
  <c r="J23" i="7" s="1"/>
  <c r="K190" i="2"/>
  <c r="R259" i="2" l="1"/>
  <c r="P232" i="2" s="1"/>
  <c r="L166" i="2"/>
  <c r="N36" i="5" s="1"/>
  <c r="N37" i="5" s="1"/>
  <c r="K231" i="2"/>
  <c r="M36" i="5"/>
  <c r="M37" i="5" s="1"/>
  <c r="L45" i="5"/>
  <c r="N221" i="2"/>
  <c r="M222" i="2"/>
  <c r="L190" i="2"/>
  <c r="J165" i="2"/>
  <c r="K23" i="7" s="1"/>
  <c r="Q35" i="5"/>
  <c r="M166" i="2" l="1"/>
  <c r="L231" i="2"/>
  <c r="R35" i="5"/>
  <c r="M45" i="5"/>
  <c r="O221" i="2"/>
  <c r="N222" i="2"/>
  <c r="M190" i="2"/>
  <c r="K165" i="2"/>
  <c r="L23" i="7" s="1"/>
  <c r="S259" i="2" l="1"/>
  <c r="Q232" i="2" s="1"/>
  <c r="T259" i="2"/>
  <c r="R232" i="2" s="1"/>
  <c r="N166" i="2"/>
  <c r="M231" i="2"/>
  <c r="O36" i="5"/>
  <c r="O37" i="5" s="1"/>
  <c r="U259" i="2"/>
  <c r="S232" i="2" s="1"/>
  <c r="L165" i="2"/>
  <c r="M23" i="7" s="1"/>
  <c r="N190" i="2"/>
  <c r="S35" i="5"/>
  <c r="O222" i="2"/>
  <c r="N45" i="5"/>
  <c r="P221" i="2"/>
  <c r="O166" i="2" l="1"/>
  <c r="N231" i="2"/>
  <c r="P36" i="5"/>
  <c r="P37" i="5" s="1"/>
  <c r="T35" i="5"/>
  <c r="V259" i="2"/>
  <c r="T232" i="2" s="1"/>
  <c r="O45" i="5"/>
  <c r="Q221" i="2"/>
  <c r="P222" i="2"/>
  <c r="M165" i="2"/>
  <c r="N23" i="7" s="1"/>
  <c r="O190" i="2"/>
  <c r="P166" i="2" l="1"/>
  <c r="O231" i="2"/>
  <c r="Q36" i="5"/>
  <c r="Q37" i="5" s="1"/>
  <c r="U35" i="5"/>
  <c r="W259" i="2"/>
  <c r="U232" i="2" s="1"/>
  <c r="X259" i="2"/>
  <c r="V232" i="2" s="1"/>
  <c r="P45" i="5"/>
  <c r="R221" i="2"/>
  <c r="Q222" i="2"/>
  <c r="P190" i="2"/>
  <c r="N165" i="2"/>
  <c r="O23" i="7" s="1"/>
  <c r="Q166" i="2" l="1"/>
  <c r="P231" i="2"/>
  <c r="R36" i="5"/>
  <c r="R37" i="5" s="1"/>
  <c r="V35" i="5"/>
  <c r="Q45" i="5"/>
  <c r="S221" i="2"/>
  <c r="R222" i="2"/>
  <c r="Q190" i="2"/>
  <c r="O165" i="2"/>
  <c r="P23" i="7" s="1"/>
  <c r="R166" i="2" l="1"/>
  <c r="Q231" i="2"/>
  <c r="S36" i="5"/>
  <c r="S37" i="5" s="1"/>
  <c r="W35" i="5"/>
  <c r="P165" i="2"/>
  <c r="Q23" i="7" s="1"/>
  <c r="R190" i="2"/>
  <c r="S222" i="2"/>
  <c r="R45" i="5"/>
  <c r="R231" i="2" l="1"/>
  <c r="S166" i="2"/>
  <c r="T36" i="5"/>
  <c r="T37" i="5" s="1"/>
  <c r="X35" i="5"/>
  <c r="Q165" i="2"/>
  <c r="R23" i="7" s="1"/>
  <c r="S190" i="2"/>
  <c r="S231" i="2" l="1"/>
  <c r="T166" i="2"/>
  <c r="U36" i="5"/>
  <c r="U37" i="5" s="1"/>
  <c r="T231" i="2" l="1"/>
  <c r="U166" i="2"/>
  <c r="V36" i="5"/>
  <c r="V37" i="5" s="1"/>
  <c r="V166" i="2" l="1"/>
  <c r="U231" i="2"/>
  <c r="W36" i="5"/>
  <c r="W37" i="5" s="1"/>
  <c r="V231" i="2" l="1"/>
  <c r="X36" i="5"/>
  <c r="X37" i="5" s="1"/>
  <c r="O4" i="7" l="1"/>
  <c r="R4" i="7"/>
  <c r="P4" i="7"/>
  <c r="Q4" i="7" l="1"/>
  <c r="N4" i="7" l="1"/>
  <c r="F4" i="7"/>
  <c r="M4" i="7"/>
  <c r="E4" i="7"/>
  <c r="L4" i="7"/>
  <c r="J4" i="7"/>
  <c r="I4" i="7"/>
  <c r="H4" i="7"/>
  <c r="D4" i="7"/>
  <c r="G4" i="7"/>
  <c r="K4" i="7" l="1"/>
  <c r="D6" i="7" l="1"/>
  <c r="F6" i="7" l="1"/>
  <c r="E6" i="7"/>
  <c r="D5" i="7" l="1"/>
  <c r="D7" i="7" s="1"/>
  <c r="E5" i="7" l="1"/>
  <c r="E7" i="7" s="1"/>
  <c r="G6" i="7"/>
  <c r="H6" i="7" l="1"/>
  <c r="F5" i="7"/>
  <c r="F7" i="7" s="1"/>
  <c r="D12" i="7" l="1"/>
  <c r="I6" i="7"/>
  <c r="G5" i="7"/>
  <c r="G7" i="7" s="1"/>
  <c r="J6" i="7"/>
  <c r="K6" i="7" l="1"/>
  <c r="H5" i="7"/>
  <c r="H7" i="7" s="1"/>
  <c r="E12" i="7" l="1"/>
  <c r="I5" i="7"/>
  <c r="I7" i="7" s="1"/>
  <c r="F12" i="7" l="1"/>
  <c r="J5" i="7"/>
  <c r="J7" i="7" s="1"/>
  <c r="L6" i="7"/>
  <c r="M6" i="7"/>
  <c r="G12" i="7" l="1"/>
  <c r="K5" i="7"/>
  <c r="K7" i="7" s="1"/>
  <c r="N6" i="7" l="1"/>
  <c r="H12" i="7"/>
  <c r="L5" i="7"/>
  <c r="L7" i="7" s="1"/>
  <c r="I12" i="7" l="1"/>
  <c r="O6" i="7"/>
  <c r="M5" i="7"/>
  <c r="M7" i="7" s="1"/>
  <c r="P6" i="7" l="1"/>
  <c r="J12" i="7"/>
  <c r="N5" i="7"/>
  <c r="N7" i="7" s="1"/>
  <c r="K12" i="7" l="1"/>
  <c r="D8" i="7"/>
  <c r="O5" i="7"/>
  <c r="O7" i="7" s="1"/>
  <c r="Q6" i="7" l="1"/>
  <c r="L12" i="7"/>
  <c r="D44" i="7"/>
  <c r="D55" i="7" s="1"/>
  <c r="D9" i="7"/>
  <c r="P5" i="7"/>
  <c r="P7" i="7" s="1"/>
  <c r="E8" i="7"/>
  <c r="M12" i="7" l="1"/>
  <c r="R6" i="7"/>
  <c r="E44" i="7"/>
  <c r="E55" i="7" s="1"/>
  <c r="E9" i="7"/>
  <c r="F8" i="7"/>
  <c r="R5" i="7"/>
  <c r="R7" i="7" s="1"/>
  <c r="Q5" i="7"/>
  <c r="Q7" i="7" s="1"/>
  <c r="F44" i="7" l="1"/>
  <c r="F55" i="7" s="1"/>
  <c r="F9" i="7"/>
  <c r="N12" i="7"/>
  <c r="G8" i="7"/>
  <c r="G44" i="7" l="1"/>
  <c r="G55" i="7" s="1"/>
  <c r="G9" i="7"/>
  <c r="O12" i="7"/>
  <c r="H8" i="7"/>
  <c r="H44" i="7" l="1"/>
  <c r="H55" i="7" s="1"/>
  <c r="H9" i="7"/>
  <c r="P12" i="7"/>
  <c r="R12" i="7" l="1"/>
  <c r="I8" i="7"/>
  <c r="Q12" i="7"/>
  <c r="J8" i="7"/>
  <c r="J44" i="7" l="1"/>
  <c r="J55" i="7" s="1"/>
  <c r="J9" i="7"/>
  <c r="I44" i="7"/>
  <c r="I55" i="7" s="1"/>
  <c r="I9" i="7"/>
  <c r="K8" i="7"/>
  <c r="K44" i="7" l="1"/>
  <c r="K55" i="7" s="1"/>
  <c r="K9" i="7"/>
  <c r="L8" i="7"/>
  <c r="L44" i="7" l="1"/>
  <c r="L55" i="7" s="1"/>
  <c r="L9" i="7"/>
  <c r="M8" i="7"/>
  <c r="M44" i="7" l="1"/>
  <c r="M55" i="7" s="1"/>
  <c r="M9" i="7"/>
  <c r="N8" i="7"/>
  <c r="N44" i="7" l="1"/>
  <c r="N55" i="7" s="1"/>
  <c r="N9" i="7"/>
  <c r="O8" i="7"/>
  <c r="O44" i="7" l="1"/>
  <c r="O55" i="7" s="1"/>
  <c r="O9" i="7"/>
  <c r="P8" i="7"/>
  <c r="P44" i="7" l="1"/>
  <c r="P55" i="7" s="1"/>
  <c r="P9" i="7"/>
  <c r="Q8" i="7"/>
  <c r="Q44" i="7" l="1"/>
  <c r="Q55" i="7" s="1"/>
  <c r="Q9" i="7"/>
  <c r="R8" i="7"/>
  <c r="R44" i="7" l="1"/>
  <c r="R55" i="7" s="1"/>
  <c r="R9" i="7"/>
  <c r="R10" i="7" l="1"/>
  <c r="R45" i="7" l="1"/>
  <c r="R58" i="7" s="1"/>
  <c r="R11" i="7"/>
  <c r="I10" i="7"/>
  <c r="P10" i="7"/>
  <c r="G10" i="7"/>
  <c r="H10" i="7"/>
  <c r="F10" i="7"/>
  <c r="Q10" i="7"/>
  <c r="M10" i="7"/>
  <c r="E10" i="7"/>
  <c r="J10" i="7"/>
  <c r="N10" i="7"/>
  <c r="D10" i="7"/>
  <c r="O10" i="7"/>
  <c r="L10" i="7"/>
  <c r="K10" i="7"/>
  <c r="N45" i="7" l="1"/>
  <c r="N58" i="7" s="1"/>
  <c r="N11" i="7"/>
  <c r="P45" i="7"/>
  <c r="P58" i="7" s="1"/>
  <c r="P11" i="7"/>
  <c r="L45" i="7"/>
  <c r="L58" i="7" s="1"/>
  <c r="L11" i="7"/>
  <c r="F45" i="7"/>
  <c r="F58" i="7" s="1"/>
  <c r="F11" i="7"/>
  <c r="O45" i="7"/>
  <c r="O58" i="7" s="1"/>
  <c r="O11" i="7"/>
  <c r="E45" i="7"/>
  <c r="E58" i="7" s="1"/>
  <c r="E11" i="7"/>
  <c r="H45" i="7"/>
  <c r="H58" i="7" s="1"/>
  <c r="H11" i="7"/>
  <c r="R27" i="7"/>
  <c r="R14" i="7"/>
  <c r="R16" i="7" s="1"/>
  <c r="R22" i="7" s="1"/>
  <c r="K45" i="7"/>
  <c r="K58" i="7" s="1"/>
  <c r="K11" i="7"/>
  <c r="Q45" i="7"/>
  <c r="Q58" i="7" s="1"/>
  <c r="Q11" i="7"/>
  <c r="I45" i="7"/>
  <c r="I58" i="7" s="1"/>
  <c r="I11" i="7"/>
  <c r="J45" i="7"/>
  <c r="J58" i="7" s="1"/>
  <c r="J11" i="7"/>
  <c r="D45" i="7"/>
  <c r="D58" i="7" s="1"/>
  <c r="D11" i="7"/>
  <c r="M45" i="7"/>
  <c r="M58" i="7" s="1"/>
  <c r="M11" i="7"/>
  <c r="G45" i="7"/>
  <c r="G58" i="7" s="1"/>
  <c r="G11" i="7"/>
  <c r="J27" i="7" l="1"/>
  <c r="J14" i="7"/>
  <c r="J16" i="7" s="1"/>
  <c r="J22" i="7" s="1"/>
  <c r="L27" i="7"/>
  <c r="L14" i="7"/>
  <c r="L16" i="7" s="1"/>
  <c r="L22" i="7" s="1"/>
  <c r="F27" i="7"/>
  <c r="F14" i="7"/>
  <c r="F16" i="7" s="1"/>
  <c r="F22" i="7" s="1"/>
  <c r="G27" i="7"/>
  <c r="G14" i="7"/>
  <c r="G16" i="7" s="1"/>
  <c r="G22" i="7" s="1"/>
  <c r="M27" i="7"/>
  <c r="M14" i="7"/>
  <c r="M16" i="7" s="1"/>
  <c r="M22" i="7" s="1"/>
  <c r="Q27" i="7"/>
  <c r="Q14" i="7"/>
  <c r="Q16" i="7" s="1"/>
  <c r="Q22" i="7" s="1"/>
  <c r="E27" i="7"/>
  <c r="E14" i="7"/>
  <c r="E16" i="7" s="1"/>
  <c r="E22" i="7" s="1"/>
  <c r="P27" i="7"/>
  <c r="P14" i="7"/>
  <c r="P16" i="7" s="1"/>
  <c r="P22" i="7" s="1"/>
  <c r="H27" i="7"/>
  <c r="H14" i="7"/>
  <c r="H16" i="7" s="1"/>
  <c r="H22" i="7" s="1"/>
  <c r="I27" i="7"/>
  <c r="I14" i="7"/>
  <c r="I16" i="7" s="1"/>
  <c r="I22" i="7" s="1"/>
  <c r="D27" i="7"/>
  <c r="D14" i="7"/>
  <c r="D16" i="7" s="1"/>
  <c r="D22" i="7" s="1"/>
  <c r="D26" i="7" s="1"/>
  <c r="K27" i="7"/>
  <c r="K14" i="7"/>
  <c r="K16" i="7" s="1"/>
  <c r="K22" i="7" s="1"/>
  <c r="O27" i="7"/>
  <c r="O14" i="7"/>
  <c r="O16" i="7" s="1"/>
  <c r="O22" i="7" s="1"/>
  <c r="N27" i="7"/>
  <c r="N14" i="7"/>
  <c r="N16" i="7" s="1"/>
  <c r="N22" i="7" s="1"/>
  <c r="J4" i="2" l="1"/>
  <c r="J5" i="2" l="1"/>
  <c r="T240" i="2"/>
  <c r="T246" i="2"/>
  <c r="T47" i="5"/>
  <c r="R170" i="2"/>
  <c r="R197" i="2"/>
  <c r="R195" i="2"/>
  <c r="P240" i="2"/>
  <c r="P246" i="2"/>
  <c r="Q48" i="5"/>
  <c r="Q44" i="5"/>
  <c r="J191" i="2"/>
  <c r="J203" i="2"/>
  <c r="E49" i="5"/>
  <c r="E38" i="5"/>
  <c r="E33" i="5"/>
  <c r="E208" i="2"/>
  <c r="E207" i="2"/>
  <c r="E183" i="2"/>
  <c r="E178" i="2"/>
  <c r="E202" i="2"/>
  <c r="I197" i="2"/>
  <c r="I195" i="2"/>
  <c r="V28" i="7"/>
  <c r="V56" i="7"/>
  <c r="X48" i="5"/>
  <c r="X44" i="5"/>
  <c r="X205" i="2"/>
  <c r="F56" i="7"/>
  <c r="F28" i="7"/>
  <c r="C31" i="7"/>
  <c r="D30" i="7"/>
  <c r="K57" i="7"/>
  <c r="S197" i="2"/>
  <c r="S195" i="2"/>
  <c r="I49" i="5"/>
  <c r="I38" i="5"/>
  <c r="I33" i="5"/>
  <c r="I208" i="2"/>
  <c r="I207" i="2"/>
  <c r="I183" i="2"/>
  <c r="I178" i="2"/>
  <c r="I202" i="2"/>
  <c r="M191" i="2"/>
  <c r="M203" i="2"/>
  <c r="N30" i="7"/>
  <c r="N26" i="7"/>
  <c r="N25" i="7"/>
  <c r="D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L47" i="5"/>
  <c r="J170" i="2"/>
  <c r="H59" i="7"/>
  <c r="H54" i="7"/>
  <c r="K193" i="2"/>
  <c r="I168" i="2"/>
  <c r="V25" i="7"/>
  <c r="Q240" i="2"/>
  <c r="Q246" i="2"/>
  <c r="N47" i="5"/>
  <c r="L170" i="2"/>
  <c r="H240" i="2"/>
  <c r="H246" i="2"/>
  <c r="K246" i="2"/>
  <c r="K240" i="2"/>
  <c r="S193" i="2"/>
  <c r="Q168" i="2"/>
  <c r="P48" i="5"/>
  <c r="P44" i="5"/>
  <c r="W30" i="7"/>
  <c r="W26" i="7"/>
  <c r="W22" i="7"/>
  <c r="W16" i="7"/>
  <c r="W14" i="7"/>
  <c r="I25" i="7"/>
  <c r="I26" i="7"/>
  <c r="I30" i="7"/>
  <c r="P193" i="2"/>
  <c r="N168" i="2"/>
  <c r="O56" i="7"/>
  <c r="N241" i="2"/>
  <c r="O28" i="7"/>
  <c r="N59" i="7"/>
  <c r="N54" i="7"/>
  <c r="T239" i="2"/>
  <c r="T245" i="2"/>
  <c r="D238" i="2"/>
  <c r="N238" i="2"/>
  <c r="N236" i="2"/>
  <c r="N243" i="2"/>
  <c r="R239" i="2"/>
  <c r="R245" i="2"/>
  <c r="W25" i="7"/>
  <c r="V191" i="2"/>
  <c r="V203" i="2"/>
  <c r="I194" i="2"/>
  <c r="Q46" i="7"/>
  <c r="N193" i="2"/>
  <c r="L168" i="2"/>
  <c r="O48" i="5"/>
  <c r="O44" i="5"/>
  <c r="U197" i="2"/>
  <c r="U195" i="2"/>
  <c r="M194" i="2"/>
  <c r="O194" i="2"/>
  <c r="D28" i="7"/>
  <c r="D56" i="7"/>
  <c r="U30" i="7"/>
  <c r="U26" i="7"/>
  <c r="U22" i="7"/>
  <c r="U16" i="7"/>
  <c r="U14" i="7"/>
  <c r="F234" i="2"/>
  <c r="M240" i="2"/>
  <c r="M246" i="2"/>
  <c r="J240" i="2"/>
  <c r="J246" i="2"/>
  <c r="E47" i="5"/>
  <c r="C170" i="2"/>
  <c r="G49" i="5"/>
  <c r="G38" i="5"/>
  <c r="G33" i="5"/>
  <c r="G208" i="2"/>
  <c r="G207" i="2"/>
  <c r="G183" i="2"/>
  <c r="G178" i="2"/>
  <c r="G202" i="2"/>
  <c r="X193" i="2"/>
  <c r="M238" i="2"/>
  <c r="M236" i="2"/>
  <c r="M243" i="2"/>
  <c r="N235" i="2"/>
  <c r="O234" i="2"/>
  <c r="V58" i="7"/>
  <c r="V45" i="7"/>
  <c r="M38" i="7"/>
  <c r="P191" i="2"/>
  <c r="P203" i="2"/>
  <c r="M195" i="2"/>
  <c r="M197" i="2"/>
  <c r="O195" i="2"/>
  <c r="O197" i="2"/>
  <c r="X191" i="2"/>
  <c r="X203" i="2"/>
  <c r="V243" i="2"/>
  <c r="V235" i="2"/>
  <c r="V236" i="2"/>
  <c r="V238" i="2"/>
  <c r="J59" i="7"/>
  <c r="J54" i="7"/>
  <c r="U54" i="5"/>
  <c r="U49" i="5"/>
  <c r="U202" i="2"/>
  <c r="U178" i="2"/>
  <c r="U183" i="2"/>
  <c r="U207" i="2"/>
  <c r="U208" i="2"/>
  <c r="U33" i="5"/>
  <c r="U38" i="5"/>
  <c r="H197" i="2"/>
  <c r="H195" i="2"/>
  <c r="O202" i="2"/>
  <c r="O178" i="2"/>
  <c r="O183" i="2"/>
  <c r="O207" i="2"/>
  <c r="O208" i="2"/>
  <c r="O33" i="5"/>
  <c r="O38" i="5"/>
  <c r="O49" i="5"/>
  <c r="U58" i="7"/>
  <c r="U45" i="7"/>
  <c r="U194" i="2"/>
  <c r="T57" i="7"/>
  <c r="L57" i="7"/>
  <c r="P194" i="2"/>
  <c r="M56" i="7"/>
  <c r="L241" i="2"/>
  <c r="M28" i="7"/>
  <c r="U240" i="2"/>
  <c r="U246" i="2"/>
  <c r="S194" i="2"/>
  <c r="H194" i="2"/>
  <c r="K243" i="2"/>
  <c r="K236" i="2"/>
  <c r="K238" i="2"/>
  <c r="E59" i="7"/>
  <c r="E54" i="7"/>
  <c r="U59" i="7"/>
  <c r="U54" i="7"/>
  <c r="P56" i="7"/>
  <c r="P28" i="7"/>
  <c r="Q36" i="7"/>
  <c r="I241" i="2"/>
  <c r="J28" i="7"/>
  <c r="J56" i="7"/>
  <c r="Q49" i="5"/>
  <c r="Q202" i="2"/>
  <c r="Q178" i="2"/>
  <c r="Q183" i="2"/>
  <c r="Q207" i="2"/>
  <c r="Q208" i="2"/>
  <c r="Q33" i="5"/>
  <c r="Q38" i="5"/>
  <c r="N48" i="5"/>
  <c r="N44" i="5"/>
  <c r="F191" i="2"/>
  <c r="F203" i="2"/>
  <c r="P209" i="2"/>
  <c r="F239" i="2"/>
  <c r="F245" i="2"/>
  <c r="J238" i="2"/>
  <c r="J236" i="2"/>
  <c r="J243" i="2"/>
  <c r="Q209" i="2"/>
  <c r="H56" i="7"/>
  <c r="H28" i="7"/>
  <c r="U25" i="7"/>
  <c r="P243" i="2"/>
  <c r="P236" i="2"/>
  <c r="P238" i="2"/>
  <c r="U56" i="7"/>
  <c r="U28" i="7"/>
  <c r="S209" i="2"/>
  <c r="E240" i="2"/>
  <c r="E246" i="2"/>
  <c r="N230" i="2"/>
  <c r="N233" i="2"/>
  <c r="O57" i="7"/>
  <c r="N57" i="7"/>
  <c r="L246" i="2"/>
  <c r="L240" i="2"/>
  <c r="S246" i="2"/>
  <c r="S240" i="2"/>
  <c r="U239" i="2"/>
  <c r="U245" i="2"/>
  <c r="K230" i="2"/>
  <c r="K233" i="2"/>
  <c r="K235" i="2"/>
  <c r="L234" i="2"/>
  <c r="P195" i="2"/>
  <c r="P197" i="2"/>
  <c r="E43" i="7"/>
  <c r="E46" i="7"/>
  <c r="U43" i="7"/>
  <c r="U46" i="7"/>
  <c r="H25" i="7"/>
  <c r="H26" i="7"/>
  <c r="H30" i="7"/>
  <c r="V230" i="2"/>
  <c r="V233" i="2"/>
  <c r="W57" i="7"/>
  <c r="H43" i="7"/>
  <c r="H46" i="7"/>
  <c r="S44" i="5"/>
  <c r="S48" i="5"/>
  <c r="J230" i="2"/>
  <c r="J233" i="2"/>
  <c r="J235" i="2"/>
  <c r="K234" i="2"/>
  <c r="L56" i="7"/>
  <c r="L28" i="7"/>
  <c r="O191" i="2"/>
  <c r="O200" i="2"/>
  <c r="O203" i="2"/>
  <c r="K47" i="5"/>
  <c r="I170" i="2"/>
  <c r="R47" i="5"/>
  <c r="P170" i="2"/>
  <c r="S47" i="5"/>
  <c r="Q170" i="2"/>
  <c r="W11" i="7"/>
  <c r="W27" i="7"/>
  <c r="E56" i="7"/>
  <c r="E28" i="7"/>
  <c r="R56" i="7"/>
  <c r="Q241" i="2"/>
  <c r="R28" i="7"/>
  <c r="G197" i="2"/>
  <c r="G195" i="2"/>
  <c r="W197" i="2"/>
  <c r="W195" i="2"/>
  <c r="P245" i="2"/>
  <c r="P239" i="2"/>
  <c r="T59" i="7"/>
  <c r="T54" i="7"/>
  <c r="W193" i="2"/>
  <c r="X10" i="7"/>
  <c r="Q193" i="2"/>
  <c r="O241" i="2"/>
  <c r="O168" i="2"/>
  <c r="H193" i="2"/>
  <c r="F168" i="2"/>
  <c r="I36" i="7"/>
  <c r="E48" i="5"/>
  <c r="E44" i="5"/>
  <c r="M59" i="7"/>
  <c r="M54" i="7"/>
  <c r="G38" i="7"/>
  <c r="R36" i="7"/>
  <c r="I243" i="2"/>
  <c r="I236" i="2"/>
  <c r="I238" i="2"/>
  <c r="D240" i="2"/>
  <c r="D246" i="2"/>
  <c r="L59" i="7"/>
  <c r="L54" i="7"/>
  <c r="O193" i="2"/>
  <c r="M168" i="2"/>
  <c r="N56" i="7"/>
  <c r="M241" i="2"/>
  <c r="N28" i="7"/>
  <c r="F197" i="2"/>
  <c r="F195" i="2"/>
  <c r="H234" i="2"/>
  <c r="V47" i="5"/>
  <c r="T169" i="2"/>
  <c r="T170" i="2"/>
  <c r="H48" i="5"/>
  <c r="H44" i="5"/>
  <c r="G56" i="7"/>
  <c r="F237" i="2"/>
  <c r="F241" i="2"/>
  <c r="G28" i="7"/>
  <c r="S25" i="7"/>
  <c r="U170" i="2"/>
  <c r="W47" i="5"/>
  <c r="V14" i="7"/>
  <c r="V16" i="7"/>
  <c r="V22" i="7"/>
  <c r="V26" i="7"/>
  <c r="V30" i="7"/>
  <c r="K245" i="2"/>
  <c r="K239" i="2"/>
  <c r="S59" i="7"/>
  <c r="S54" i="7"/>
  <c r="E25" i="7"/>
  <c r="E26" i="7"/>
  <c r="E30" i="7"/>
  <c r="K36" i="7"/>
  <c r="O245" i="2"/>
  <c r="O237" i="2"/>
  <c r="O239" i="2"/>
  <c r="P59" i="7"/>
  <c r="P54" i="7"/>
  <c r="H38" i="7"/>
  <c r="R169" i="2"/>
  <c r="S43" i="7"/>
  <c r="S46" i="7"/>
  <c r="S45" i="7"/>
  <c r="S58" i="7"/>
  <c r="W191" i="2"/>
  <c r="W203" i="2"/>
  <c r="G169" i="2"/>
  <c r="G170" i="2"/>
  <c r="I47" i="5"/>
  <c r="X194" i="2"/>
  <c r="V57" i="7"/>
  <c r="J38" i="7"/>
  <c r="T27" i="7"/>
  <c r="F170" i="2"/>
  <c r="H47" i="5"/>
  <c r="N36" i="7"/>
  <c r="N197" i="2"/>
  <c r="N195" i="2"/>
  <c r="Q38" i="7"/>
  <c r="T234" i="2"/>
  <c r="T28" i="7"/>
  <c r="T56" i="7"/>
  <c r="R38" i="7"/>
  <c r="J25" i="7"/>
  <c r="J26" i="7"/>
  <c r="J30" i="7"/>
  <c r="T193" i="2"/>
  <c r="R25" i="7"/>
  <c r="R26" i="7"/>
  <c r="R30" i="7"/>
  <c r="P25" i="7"/>
  <c r="P26" i="7"/>
  <c r="P30" i="7"/>
  <c r="N43" i="7"/>
  <c r="N46" i="7"/>
  <c r="D38" i="7"/>
  <c r="C39" i="7"/>
  <c r="G245" i="2"/>
  <c r="G239" i="2"/>
  <c r="S27" i="7"/>
  <c r="L48" i="5"/>
  <c r="L44" i="5"/>
  <c r="O240" i="2"/>
  <c r="O246" i="2"/>
  <c r="E245" i="2"/>
  <c r="E239" i="2"/>
  <c r="C17" i="7"/>
  <c r="L194" i="2"/>
  <c r="K191" i="2"/>
  <c r="K203" i="2"/>
  <c r="S191" i="2"/>
  <c r="S203" i="2"/>
  <c r="P49" i="5"/>
  <c r="P38" i="5"/>
  <c r="P33" i="5"/>
  <c r="P208" i="2"/>
  <c r="P200" i="2"/>
  <c r="P202" i="2"/>
  <c r="P178" i="2"/>
  <c r="P183" i="2"/>
  <c r="P207" i="2"/>
  <c r="P169" i="2"/>
  <c r="Q43" i="7"/>
  <c r="Q54" i="7"/>
  <c r="Q59" i="7"/>
  <c r="L193" i="2"/>
  <c r="J168" i="2"/>
  <c r="T202" i="2"/>
  <c r="T178" i="2"/>
  <c r="T183" i="2"/>
  <c r="T207" i="2"/>
  <c r="T208" i="2"/>
  <c r="T33" i="5"/>
  <c r="T38" i="5"/>
  <c r="T49" i="5"/>
  <c r="T54" i="5"/>
  <c r="S200" i="2"/>
  <c r="S202" i="2"/>
  <c r="S178" i="2"/>
  <c r="S183" i="2"/>
  <c r="S207" i="2"/>
  <c r="S208" i="2"/>
  <c r="S33" i="5"/>
  <c r="S38" i="5"/>
  <c r="S49" i="5"/>
  <c r="R202" i="2"/>
  <c r="R178" i="2"/>
  <c r="R183" i="2"/>
  <c r="R207" i="2"/>
  <c r="R208" i="2"/>
  <c r="R33" i="5"/>
  <c r="R38" i="5"/>
  <c r="R49" i="5"/>
  <c r="I235" i="2"/>
  <c r="J234" i="2"/>
  <c r="R193" i="2"/>
  <c r="P168" i="2"/>
  <c r="Q239" i="2"/>
  <c r="Q237" i="2"/>
  <c r="Q245" i="2"/>
  <c r="O238" i="2"/>
  <c r="O236" i="2"/>
  <c r="O243" i="2"/>
  <c r="I56" i="7"/>
  <c r="I28" i="7"/>
  <c r="L238" i="2"/>
  <c r="L236" i="2"/>
  <c r="L243" i="2"/>
  <c r="M200" i="2"/>
  <c r="M202" i="2"/>
  <c r="M178" i="2"/>
  <c r="M183" i="2"/>
  <c r="M207" i="2"/>
  <c r="M208" i="2"/>
  <c r="M33" i="5"/>
  <c r="M38" i="5"/>
  <c r="M49" i="5"/>
  <c r="I234" i="2"/>
  <c r="O47" i="5"/>
  <c r="M170" i="2"/>
  <c r="K197" i="2"/>
  <c r="K195" i="2"/>
  <c r="I59" i="7"/>
  <c r="I54" i="7"/>
  <c r="L191" i="2"/>
  <c r="L203" i="2"/>
  <c r="M209" i="2"/>
  <c r="F25" i="7"/>
  <c r="F26" i="7"/>
  <c r="F30" i="7"/>
  <c r="R48" i="5"/>
  <c r="R44" i="5"/>
  <c r="I193" i="2"/>
  <c r="G237" i="2"/>
  <c r="G241" i="2"/>
  <c r="G168" i="2"/>
  <c r="F57" i="7"/>
  <c r="V48" i="5"/>
  <c r="V44" i="5"/>
  <c r="N239" i="2"/>
  <c r="N237" i="2"/>
  <c r="N245" i="2"/>
  <c r="R59" i="7"/>
  <c r="R54" i="7"/>
  <c r="H57" i="7"/>
  <c r="W56" i="7"/>
  <c r="W28" i="7"/>
  <c r="L209" i="2"/>
  <c r="I48" i="5"/>
  <c r="I44" i="5"/>
  <c r="G194" i="2"/>
  <c r="O235" i="2"/>
  <c r="P234" i="2"/>
  <c r="J209" i="2"/>
  <c r="F246" i="2"/>
  <c r="F240" i="2"/>
  <c r="J239" i="2"/>
  <c r="J245" i="2"/>
  <c r="T43" i="7"/>
  <c r="T46" i="7"/>
  <c r="L195" i="2"/>
  <c r="L197" i="2"/>
  <c r="S57" i="7"/>
  <c r="N191" i="2"/>
  <c r="N203" i="2"/>
  <c r="F49" i="5"/>
  <c r="F38" i="5"/>
  <c r="F33" i="5"/>
  <c r="F200" i="2"/>
  <c r="F202" i="2"/>
  <c r="F178" i="2"/>
  <c r="F183" i="2"/>
  <c r="F207" i="2"/>
  <c r="F208" i="2"/>
  <c r="E57" i="7"/>
  <c r="L245" i="2"/>
  <c r="L237" i="2"/>
  <c r="L239" i="2"/>
  <c r="N200" i="2"/>
  <c r="N202" i="2"/>
  <c r="N178" i="2"/>
  <c r="N183" i="2"/>
  <c r="N207" i="2"/>
  <c r="N208" i="2"/>
  <c r="N33" i="5"/>
  <c r="N38" i="5"/>
  <c r="N49" i="5"/>
  <c r="V197" i="2"/>
  <c r="V195" i="2"/>
  <c r="R209" i="2"/>
  <c r="Q238" i="2"/>
  <c r="Q236" i="2"/>
  <c r="Q243" i="2"/>
  <c r="R200" i="2"/>
  <c r="R203" i="2"/>
  <c r="R191" i="2"/>
  <c r="I200" i="2"/>
  <c r="I203" i="2"/>
  <c r="I191" i="2"/>
  <c r="H191" i="2"/>
  <c r="H203" i="2"/>
  <c r="N194" i="2"/>
  <c r="J47" i="5"/>
  <c r="H170" i="2"/>
  <c r="M169" i="2"/>
  <c r="N38" i="7"/>
  <c r="R194" i="2"/>
  <c r="T200" i="2"/>
  <c r="T203" i="2"/>
  <c r="T191" i="2"/>
  <c r="H243" i="2"/>
  <c r="H235" i="2"/>
  <c r="H236" i="2"/>
  <c r="H238" i="2"/>
  <c r="I43" i="7"/>
  <c r="I46" i="7"/>
  <c r="L38" i="7"/>
  <c r="I246" i="2"/>
  <c r="I240" i="2"/>
  <c r="V193" i="2"/>
  <c r="M25" i="7"/>
  <c r="M26" i="7"/>
  <c r="M30" i="7"/>
  <c r="K200" i="2"/>
  <c r="K202" i="2"/>
  <c r="K178" i="2"/>
  <c r="K183" i="2"/>
  <c r="K207" i="2"/>
  <c r="K208" i="2"/>
  <c r="K33" i="5"/>
  <c r="K38" i="5"/>
  <c r="K49" i="5"/>
  <c r="T44" i="5"/>
  <c r="T48" i="5"/>
  <c r="M44" i="5"/>
  <c r="M48" i="5"/>
  <c r="Q169" i="2"/>
  <c r="R43" i="7"/>
  <c r="R46" i="7"/>
  <c r="G57" i="7"/>
  <c r="E238" i="2"/>
  <c r="E230" i="2"/>
  <c r="E233" i="2"/>
  <c r="E235" i="2"/>
  <c r="E236" i="2"/>
  <c r="E243" i="2"/>
  <c r="O36" i="7"/>
  <c r="H245" i="2"/>
  <c r="H239" i="2"/>
  <c r="V245" i="2"/>
  <c r="V239" i="2"/>
  <c r="S239" i="2"/>
  <c r="S245" i="2"/>
  <c r="D239" i="2"/>
  <c r="L30" i="7"/>
  <c r="L26" i="7"/>
  <c r="L25" i="7"/>
  <c r="O230" i="2"/>
  <c r="O233" i="2"/>
  <c r="P57" i="7"/>
  <c r="G46" i="7"/>
  <c r="R168" i="2"/>
  <c r="S10" i="7"/>
  <c r="S11" i="7"/>
  <c r="S14" i="7"/>
  <c r="S16" i="7"/>
  <c r="S22" i="7"/>
  <c r="S26" i="7"/>
  <c r="S30" i="7"/>
  <c r="F48" i="5"/>
  <c r="F44" i="5"/>
  <c r="O59" i="7"/>
  <c r="O54" i="7"/>
  <c r="I209" i="2"/>
  <c r="P43" i="7"/>
  <c r="P46" i="7"/>
  <c r="S169" i="2"/>
  <c r="S170" i="2"/>
  <c r="U47" i="5"/>
  <c r="G209" i="2"/>
  <c r="Q57" i="7"/>
  <c r="V54" i="5"/>
  <c r="V49" i="5"/>
  <c r="V200" i="2"/>
  <c r="V202" i="2"/>
  <c r="V178" i="2"/>
  <c r="V183" i="2"/>
  <c r="V207" i="2"/>
  <c r="V208" i="2"/>
  <c r="V33" i="5"/>
  <c r="V38" i="5"/>
  <c r="T30" i="7"/>
  <c r="T26" i="7"/>
  <c r="T11" i="7"/>
  <c r="T14" i="7"/>
  <c r="T16" i="7"/>
  <c r="T22" i="7"/>
  <c r="W200" i="2"/>
  <c r="W202" i="2"/>
  <c r="W178" i="2"/>
  <c r="W183" i="2"/>
  <c r="W207" i="2"/>
  <c r="W208" i="2"/>
  <c r="W33" i="5"/>
  <c r="W38" i="5"/>
  <c r="W49" i="5"/>
  <c r="W54" i="5"/>
  <c r="T237" i="2"/>
  <c r="T241" i="2"/>
  <c r="T168" i="2"/>
  <c r="U10" i="7"/>
  <c r="U11" i="7"/>
  <c r="U27" i="7"/>
  <c r="L235" i="2"/>
  <c r="M234" i="2"/>
  <c r="E234" i="2"/>
  <c r="H49" i="5"/>
  <c r="H38" i="5"/>
  <c r="H200" i="2"/>
  <c r="H202" i="2"/>
  <c r="H178" i="2"/>
  <c r="H183" i="2"/>
  <c r="H207" i="2"/>
  <c r="H208" i="2"/>
  <c r="H33" i="5"/>
  <c r="R246" i="2"/>
  <c r="R240" i="2"/>
  <c r="T243" i="2"/>
  <c r="T236" i="2"/>
  <c r="T238" i="2"/>
  <c r="M230" i="2"/>
  <c r="M233" i="2"/>
  <c r="M235" i="2"/>
  <c r="N234" i="2"/>
  <c r="U237" i="2"/>
  <c r="U241" i="2"/>
  <c r="U168" i="2"/>
  <c r="V10" i="7"/>
  <c r="V11" i="7"/>
  <c r="V27" i="7"/>
  <c r="F46" i="7"/>
  <c r="H169" i="2"/>
  <c r="I38" i="7"/>
  <c r="K170" i="2"/>
  <c r="M47" i="5"/>
  <c r="C169" i="2"/>
  <c r="D43" i="7"/>
  <c r="D54" i="7"/>
  <c r="D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J194" i="2"/>
  <c r="P47" i="5"/>
  <c r="N170" i="2"/>
  <c r="E36" i="7"/>
  <c r="C37" i="7"/>
  <c r="J200" i="2"/>
  <c r="J202" i="2"/>
  <c r="J178" i="2"/>
  <c r="J183" i="2"/>
  <c r="J207" i="2"/>
  <c r="J208" i="2"/>
  <c r="J33" i="5"/>
  <c r="J38" i="5"/>
  <c r="J49" i="5"/>
  <c r="V46" i="7"/>
  <c r="N209" i="2"/>
  <c r="Q47" i="5"/>
  <c r="O170" i="2"/>
  <c r="F38" i="7"/>
  <c r="H237" i="2"/>
  <c r="H241" i="2"/>
  <c r="H168" i="2"/>
  <c r="J193" i="2"/>
  <c r="K38" i="7"/>
  <c r="H36" i="7"/>
  <c r="Q56" i="7"/>
  <c r="P237" i="2"/>
  <c r="P241" i="2"/>
  <c r="Q28" i="7"/>
  <c r="K56" i="7"/>
  <c r="J237" i="2"/>
  <c r="J241" i="2"/>
  <c r="K28" i="7"/>
  <c r="Q200" i="2"/>
  <c r="Q203" i="2"/>
  <c r="Q191" i="2"/>
  <c r="T197" i="2"/>
  <c r="T195" i="2"/>
  <c r="F169" i="2"/>
  <c r="G43" i="7"/>
  <c r="G54" i="7"/>
  <c r="G59" i="7"/>
  <c r="K46" i="7"/>
  <c r="F209" i="2"/>
  <c r="H164" i="2"/>
  <c r="H167" i="2"/>
  <c r="H230" i="2"/>
  <c r="H233" i="2"/>
  <c r="I57" i="7"/>
  <c r="Q197" i="2"/>
  <c r="Q195" i="2"/>
  <c r="G44" i="5"/>
  <c r="G48" i="5"/>
  <c r="O43" i="7"/>
  <c r="O46" i="7"/>
  <c r="W59" i="7"/>
  <c r="W54" i="7"/>
  <c r="N240" i="2"/>
  <c r="N246" i="2"/>
  <c r="Q30" i="7"/>
  <c r="Q25" i="7"/>
  <c r="Q26" i="7"/>
  <c r="M36" i="7"/>
  <c r="R189" i="2"/>
  <c r="P164" i="2"/>
  <c r="P167" i="2"/>
  <c r="P230" i="2"/>
  <c r="P233" i="2"/>
  <c r="P235" i="2"/>
  <c r="Q234" i="2"/>
  <c r="S234" i="2"/>
  <c r="J36" i="7"/>
  <c r="R57" i="7"/>
  <c r="L230" i="2"/>
  <c r="L233" i="2"/>
  <c r="M57" i="7"/>
  <c r="V194" i="2"/>
  <c r="T235" i="2"/>
  <c r="U234" i="2"/>
  <c r="R237" i="2"/>
  <c r="R241" i="2"/>
  <c r="S28" i="7"/>
  <c r="S56" i="7"/>
  <c r="F243" i="2"/>
  <c r="F236" i="2"/>
  <c r="F238" i="2"/>
  <c r="K194" i="2"/>
  <c r="I230" i="2"/>
  <c r="I233" i="2"/>
  <c r="J57" i="7"/>
  <c r="K25" i="7"/>
  <c r="K26" i="7"/>
  <c r="K30" i="7"/>
  <c r="E170" i="2"/>
  <c r="G47" i="5"/>
  <c r="G200" i="2"/>
  <c r="G203" i="2"/>
  <c r="G191" i="2"/>
  <c r="G246" i="2"/>
  <c r="G240" i="2"/>
  <c r="T25" i="7"/>
  <c r="E169" i="2"/>
  <c r="F43" i="7"/>
  <c r="F54" i="7"/>
  <c r="F59" i="7"/>
  <c r="V170" i="2"/>
  <c r="X47" i="5"/>
  <c r="U243" i="2"/>
  <c r="U236" i="2"/>
  <c r="U238" i="2"/>
  <c r="L200" i="2"/>
  <c r="L202" i="2"/>
  <c r="L178" i="2"/>
  <c r="L183" i="2"/>
  <c r="L207" i="2"/>
  <c r="L208" i="2"/>
  <c r="L33" i="5"/>
  <c r="L38" i="5"/>
  <c r="L49" i="5"/>
  <c r="J189" i="2"/>
  <c r="J195" i="2"/>
  <c r="J197" i="2"/>
  <c r="E191" i="2"/>
  <c r="E194" i="2"/>
  <c r="E237" i="2"/>
  <c r="E241" i="2"/>
  <c r="E168" i="2"/>
  <c r="G193" i="2"/>
  <c r="K237" i="2"/>
  <c r="K241" i="2"/>
  <c r="K168" i="2"/>
  <c r="M193" i="2"/>
  <c r="U44" i="5"/>
  <c r="U48" i="5"/>
  <c r="E38" i="7"/>
  <c r="D230" i="2"/>
  <c r="D233" i="2"/>
  <c r="D235" i="2"/>
  <c r="D236" i="2"/>
  <c r="D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V246" i="2"/>
  <c r="V240" i="2"/>
  <c r="O209" i="2"/>
  <c r="G36" i="7"/>
  <c r="U169" i="2"/>
  <c r="V43" i="7"/>
  <c r="V54" i="7"/>
  <c r="V59" i="7"/>
  <c r="O169" i="2"/>
  <c r="P38" i="7"/>
  <c r="I169" i="2"/>
  <c r="J43" i="7"/>
  <c r="J46" i="7"/>
  <c r="G189" i="2"/>
  <c r="E164" i="2"/>
  <c r="E167" i="2"/>
  <c r="F36" i="7"/>
  <c r="J44" i="5"/>
  <c r="J48" i="5"/>
  <c r="W194" i="2"/>
  <c r="T10" i="7"/>
  <c r="T45" i="7"/>
  <c r="T58" i="7"/>
  <c r="D241" i="2"/>
  <c r="D168" i="2"/>
  <c r="F193" i="2"/>
  <c r="T194" i="2"/>
  <c r="I239" i="2"/>
  <c r="K189" i="2"/>
  <c r="I164" i="2"/>
  <c r="I167" i="2"/>
  <c r="I237" i="2"/>
  <c r="I245" i="2"/>
  <c r="O164" i="2"/>
  <c r="O167" i="2"/>
  <c r="P36" i="7"/>
  <c r="X195" i="2"/>
  <c r="X197" i="2"/>
  <c r="L189" i="2"/>
  <c r="J164" i="2"/>
  <c r="J167" i="2"/>
  <c r="J169" i="2"/>
  <c r="K43" i="7"/>
  <c r="K54" i="7"/>
  <c r="K59" i="7"/>
  <c r="N167" i="2"/>
  <c r="N169" i="2"/>
  <c r="O38" i="7"/>
  <c r="V237" i="2"/>
  <c r="V241" i="2"/>
  <c r="V168" i="2"/>
  <c r="W10" i="7"/>
  <c r="W45" i="7"/>
  <c r="W58" i="7"/>
  <c r="Q189" i="2"/>
  <c r="Q194" i="2"/>
  <c r="E209" i="2"/>
  <c r="W44" i="5"/>
  <c r="W48" i="5"/>
  <c r="N189" i="2"/>
  <c r="L164" i="2"/>
  <c r="L167" i="2"/>
  <c r="L169" i="2"/>
  <c r="M43" i="7"/>
  <c r="M46" i="7"/>
  <c r="W205" i="2"/>
  <c r="X189" i="2"/>
  <c r="V164" i="2"/>
  <c r="V167" i="2"/>
  <c r="V169" i="2"/>
  <c r="W43" i="7"/>
  <c r="W46" i="7"/>
  <c r="V198" i="2"/>
  <c r="W198" i="2"/>
  <c r="X198" i="2"/>
  <c r="X200" i="2"/>
  <c r="X202" i="2"/>
  <c r="X178" i="2"/>
  <c r="X183" i="2"/>
  <c r="X207" i="2"/>
  <c r="X208" i="2"/>
  <c r="X33" i="5"/>
  <c r="X38" i="5"/>
  <c r="X49" i="5"/>
  <c r="X54" i="5"/>
  <c r="P189" i="2"/>
  <c r="N164" i="2"/>
  <c r="O25" i="7"/>
  <c r="O26" i="7"/>
  <c r="O30" i="7"/>
  <c r="R238" i="2"/>
  <c r="T189" i="2"/>
  <c r="R164" i="2"/>
  <c r="R167" i="2"/>
  <c r="R230" i="2"/>
  <c r="R233" i="2"/>
  <c r="R235" i="2"/>
  <c r="R236" i="2"/>
  <c r="R243" i="2"/>
  <c r="L36" i="7"/>
  <c r="V189" i="2"/>
  <c r="T164" i="2"/>
  <c r="T167" i="2"/>
  <c r="T230" i="2"/>
  <c r="T233" i="2"/>
  <c r="U57" i="7"/>
  <c r="S237" i="2"/>
  <c r="S241" i="2"/>
  <c r="S168" i="2"/>
  <c r="U193" i="2"/>
  <c r="M189" i="2"/>
  <c r="K164" i="2"/>
  <c r="K167" i="2"/>
  <c r="K169" i="2"/>
  <c r="L43" i="7"/>
  <c r="L46" i="7"/>
  <c r="K209" i="2"/>
  <c r="M239" i="2"/>
  <c r="O189" i="2"/>
  <c r="M164" i="2"/>
  <c r="M167" i="2"/>
  <c r="M237" i="2"/>
  <c r="M245" i="2"/>
  <c r="S238" i="2"/>
  <c r="U189" i="2"/>
  <c r="S164" i="2"/>
  <c r="S167" i="2"/>
  <c r="S230" i="2"/>
  <c r="S233" i="2"/>
  <c r="S235" i="2"/>
  <c r="S236" i="2"/>
  <c r="S243" i="2"/>
  <c r="S189" i="2"/>
  <c r="Q164" i="2"/>
  <c r="Q167" i="2"/>
  <c r="Q230" i="2"/>
  <c r="Q233" i="2"/>
  <c r="Q235" i="2"/>
  <c r="R234" i="2"/>
  <c r="F194" i="2"/>
  <c r="G238" i="2"/>
  <c r="I189" i="2"/>
  <c r="G164" i="2"/>
  <c r="G167" i="2"/>
  <c r="G230" i="2"/>
  <c r="G233" i="2"/>
  <c r="G235" i="2"/>
  <c r="G236" i="2"/>
  <c r="G243" i="2"/>
  <c r="L205" i="2"/>
  <c r="M205" i="2"/>
  <c r="N205" i="2"/>
  <c r="O205" i="2"/>
  <c r="P205" i="2"/>
  <c r="Q205" i="2"/>
  <c r="R205" i="2"/>
  <c r="S205" i="2"/>
  <c r="T205" i="2"/>
  <c r="U205" i="2"/>
  <c r="V205" i="2"/>
  <c r="W189" i="2"/>
  <c r="U164" i="2"/>
  <c r="U167" i="2"/>
  <c r="U230" i="2"/>
  <c r="U233" i="2"/>
  <c r="U235" i="2"/>
  <c r="V234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U200" i="2"/>
  <c r="U203" i="2"/>
  <c r="U191" i="2"/>
  <c r="G25" i="7"/>
  <c r="G26" i="7"/>
  <c r="G30" i="7"/>
  <c r="H189" i="2"/>
  <c r="F164" i="2"/>
  <c r="F167" i="2"/>
  <c r="F230" i="2"/>
  <c r="F233" i="2"/>
  <c r="F235" i="2"/>
  <c r="G234" i="2"/>
  <c r="H209" i="2"/>
  <c r="F205" i="2"/>
  <c r="G205" i="2"/>
  <c r="H205" i="2"/>
  <c r="I205" i="2"/>
  <c r="J205" i="2"/>
  <c r="K205" i="2"/>
  <c r="K44" i="5"/>
  <c r="K48" i="5"/>
  <c r="D237" i="2"/>
  <c r="D245" i="2"/>
  <c r="W245" i="2"/>
  <c r="C246" i="2"/>
  <c r="C240" i="2"/>
  <c r="C241" i="2"/>
  <c r="C168" i="2"/>
  <c r="E193" i="2"/>
  <c r="E195" i="2"/>
  <c r="E197" i="2"/>
  <c r="E198" i="2"/>
  <c r="E200" i="2"/>
  <c r="E203" i="2"/>
  <c r="E205" i="2"/>
  <c r="F189" i="2"/>
  <c r="D164" i="2"/>
  <c r="D167" i="2"/>
  <c r="D169" i="2"/>
  <c r="D170" i="2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ravinderkr</author>
  </authors>
  <commentList>
    <comment ref="C10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ravinderkr:</t>
        </r>
        <r>
          <rPr>
            <sz val="9"/>
            <color indexed="81"/>
            <rFont val="Tahoma"/>
            <family val="2"/>
          </rPr>
          <t xml:space="preserve">
reduced from 8% to 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ravinderkr</author>
  </authors>
  <commentList>
    <comment ref="I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ravinderkr:</t>
        </r>
        <r>
          <rPr>
            <sz val="9"/>
            <color indexed="81"/>
            <rFont val="Tahoma"/>
            <family val="2"/>
          </rPr>
          <t xml:space="preserve">
changed after plant suggestion</t>
        </r>
      </text>
    </comment>
  </commentList>
</comments>
</file>

<file path=xl/sharedStrings.xml><?xml version="1.0" encoding="utf-8"?>
<sst xmlns="http://schemas.openxmlformats.org/spreadsheetml/2006/main" count="616" uniqueCount="454">
  <si>
    <t xml:space="preserve">Basis </t>
  </si>
  <si>
    <t xml:space="preserve">Plant Capacity </t>
  </si>
  <si>
    <t>MTPD</t>
  </si>
  <si>
    <t>Ammonia Required</t>
  </si>
  <si>
    <t xml:space="preserve">Acid Production </t>
  </si>
  <si>
    <t xml:space="preserve">Water </t>
  </si>
  <si>
    <t>Kg NH3/MT of HNO3</t>
  </si>
  <si>
    <t xml:space="preserve">NH3 required </t>
  </si>
  <si>
    <t>Kg/day</t>
  </si>
  <si>
    <t>Kg/hr</t>
  </si>
  <si>
    <t>kg/mol</t>
  </si>
  <si>
    <t>NH3:Air</t>
  </si>
  <si>
    <t xml:space="preserve">Air required </t>
  </si>
  <si>
    <t xml:space="preserve">Primary Air Entering </t>
  </si>
  <si>
    <t>kg mol/hr</t>
  </si>
  <si>
    <t>Oxygen Entering reactor</t>
  </si>
  <si>
    <t>N2 entering</t>
  </si>
  <si>
    <t>Basic Assumptions</t>
  </si>
  <si>
    <t>TPD</t>
  </si>
  <si>
    <t>Capacity Plant</t>
  </si>
  <si>
    <t>Onstream days</t>
  </si>
  <si>
    <t>days</t>
  </si>
  <si>
    <t>Project Capital Cost</t>
  </si>
  <si>
    <t>lakhs</t>
  </si>
  <si>
    <t>Sensitivity</t>
  </si>
  <si>
    <t>Net Project Cost</t>
  </si>
  <si>
    <t>INDIRECT COST</t>
  </si>
  <si>
    <t xml:space="preserve">PURCHASED Equipment Cost </t>
  </si>
  <si>
    <t>E</t>
  </si>
  <si>
    <t>COMPONENTS</t>
  </si>
  <si>
    <t xml:space="preserve"> % AGES OF E </t>
  </si>
  <si>
    <t>Purchased equipment installation</t>
  </si>
  <si>
    <t>Instrumentation (installed)</t>
  </si>
  <si>
    <t xml:space="preserve">Piping (installed) </t>
  </si>
  <si>
    <t>Electrical (installed)</t>
  </si>
  <si>
    <t>Building (including Service)</t>
  </si>
  <si>
    <t>Service facilities</t>
  </si>
  <si>
    <t>Land</t>
  </si>
  <si>
    <t>Total Direct cost</t>
  </si>
  <si>
    <t>Engineering and supervision</t>
  </si>
  <si>
    <t>Construction Expenses</t>
  </si>
  <si>
    <t>A</t>
  </si>
  <si>
    <t>B</t>
  </si>
  <si>
    <t>A+B</t>
  </si>
  <si>
    <t>Total indirect + direct cost</t>
  </si>
  <si>
    <t>Contractor's Fee</t>
  </si>
  <si>
    <t>Contingency</t>
  </si>
  <si>
    <t>Working Capital Margin</t>
  </si>
  <si>
    <t>COST (Rs Lakh)</t>
  </si>
  <si>
    <t>Debt</t>
  </si>
  <si>
    <t>Equity</t>
  </si>
  <si>
    <t>Debt Equity Ratio</t>
  </si>
  <si>
    <t>Percent</t>
  </si>
  <si>
    <t>Value</t>
  </si>
  <si>
    <t>Total</t>
  </si>
  <si>
    <t>Specific Consumption's</t>
  </si>
  <si>
    <t>MT/MT</t>
  </si>
  <si>
    <t>Power</t>
  </si>
  <si>
    <t>CW make up</t>
  </si>
  <si>
    <t>Nitrogen</t>
  </si>
  <si>
    <t>DM water</t>
  </si>
  <si>
    <t>Rs/MT</t>
  </si>
  <si>
    <t>R&amp;M cost</t>
  </si>
  <si>
    <t>Interest rate- LT &amp; ST</t>
  </si>
  <si>
    <t>Insurance</t>
  </si>
  <si>
    <t>project cost</t>
  </si>
  <si>
    <t>LT loan repayment period</t>
  </si>
  <si>
    <t>yrs</t>
  </si>
  <si>
    <t>INCOME &amp; EXPENDITURE STATEMENT</t>
  </si>
  <si>
    <t>Sl.No.</t>
  </si>
  <si>
    <t>Item</t>
  </si>
  <si>
    <t>Capacity Utilization</t>
  </si>
  <si>
    <t>1st Year</t>
  </si>
  <si>
    <t>2nd Year</t>
  </si>
  <si>
    <t>3rd Year onwards</t>
  </si>
  <si>
    <t>Sales of the Product (MT)</t>
  </si>
  <si>
    <t>Dilute Nitric acid</t>
  </si>
  <si>
    <t>Conc. Nitric acid</t>
  </si>
  <si>
    <t xml:space="preserve">Escalation </t>
  </si>
  <si>
    <t>Variable Cost</t>
  </si>
  <si>
    <t>Finished Product</t>
  </si>
  <si>
    <t>R&amp;M</t>
  </si>
  <si>
    <t>Salary</t>
  </si>
  <si>
    <t>Marketing</t>
  </si>
  <si>
    <t>Ex Works sales Price (Rs/MT)</t>
  </si>
  <si>
    <t>100% base</t>
  </si>
  <si>
    <t>Ammonia Transfer Price</t>
  </si>
  <si>
    <t>Sales Realization</t>
  </si>
  <si>
    <t>Raw Material Cost</t>
  </si>
  <si>
    <t>Ammonia</t>
  </si>
  <si>
    <t>Total Product</t>
  </si>
  <si>
    <t>Platinum loss</t>
  </si>
  <si>
    <t>Steam (8 bar, 170 C)</t>
  </si>
  <si>
    <t>Inst air</t>
  </si>
  <si>
    <t>Export steam (40 kg, 450 C)</t>
  </si>
  <si>
    <t>Variable Cost (Rs Lakh)</t>
  </si>
  <si>
    <t>Total Variable Cost (Rs Lakhs)</t>
  </si>
  <si>
    <t>Fixed cost</t>
  </si>
  <si>
    <t xml:space="preserve">R&amp;M </t>
  </si>
  <si>
    <t>Salary &amp; wages</t>
  </si>
  <si>
    <t>Interest on ST loan</t>
  </si>
  <si>
    <t>Interest LT loan</t>
  </si>
  <si>
    <t>Depreciation</t>
  </si>
  <si>
    <t>S.No</t>
  </si>
  <si>
    <t>Industry Estimates</t>
  </si>
  <si>
    <t>Nos</t>
  </si>
  <si>
    <t>CEO/CFO/COO</t>
  </si>
  <si>
    <t>DGM  / GM</t>
  </si>
  <si>
    <t>SR Mgr / Manager / Dy Manager</t>
  </si>
  <si>
    <t>Engineers</t>
  </si>
  <si>
    <t>Technicians / Operators</t>
  </si>
  <si>
    <t>Labour for housekeeping/ cleaning</t>
  </si>
  <si>
    <t>Finance</t>
  </si>
  <si>
    <t>Administration</t>
  </si>
  <si>
    <t>Supply Chain &amp; Marketing</t>
  </si>
  <si>
    <t>Monthly Salary (in lakh)</t>
  </si>
  <si>
    <t>Total Annual Salary (in lakhs)</t>
  </si>
  <si>
    <t>Product Price</t>
  </si>
  <si>
    <t>Manpower</t>
  </si>
  <si>
    <t>Marketing Expenses</t>
  </si>
  <si>
    <t>Total Fixed Cost (Rs Lakhs)</t>
  </si>
  <si>
    <t>Income bef. Depr.,Int.&amp; Taxes</t>
  </si>
  <si>
    <t>Total Operating Cost</t>
  </si>
  <si>
    <t>CASH FLOW STATEMENT</t>
  </si>
  <si>
    <t>SOURCE OF FUNDS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</si>
  <si>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</si>
  <si>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</si>
  <si>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</si>
  <si>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</si>
  <si>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</si>
  <si>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</si>
  <si>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</si>
  <si>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</si>
  <si>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</si>
  <si>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</si>
  <si>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</si>
  <si>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</si>
  <si>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</si>
  <si>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</si>
  <si>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</si>
  <si>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Increase in ST Loan</t>
  </si>
  <si>
    <t>Increase in LT Loan</t>
  </si>
  <si>
    <t>Increase in Equity</t>
  </si>
  <si>
    <t>Incr. in Currt. Liability</t>
  </si>
  <si>
    <t>Decr. in Currt. Assets</t>
  </si>
  <si>
    <t>TOTAL (A)</t>
  </si>
  <si>
    <t>TOTAL Excluding ST Loan</t>
  </si>
  <si>
    <t>APPLICATION OF FUNDS</t>
  </si>
  <si>
    <t>Cost of Construction</t>
  </si>
  <si>
    <t>Decr. in Currt. Liability</t>
  </si>
  <si>
    <t>Incr.in Current Assets</t>
  </si>
  <si>
    <t>Interest on ST Loan</t>
  </si>
  <si>
    <t>Interest on LT Loan</t>
  </si>
  <si>
    <t>Repay. of ST Loan</t>
  </si>
  <si>
    <t>Amort. of LT Loan</t>
  </si>
  <si>
    <t>Taxes on Income</t>
  </si>
  <si>
    <t>TOTAL (B)</t>
  </si>
  <si>
    <t>TOTAL Excluding ST Loan reimbursment &amp; increase</t>
  </si>
  <si>
    <t>Dividends</t>
  </si>
  <si>
    <t>Change in treasury</t>
  </si>
  <si>
    <t>Treasury at the end of period</t>
  </si>
  <si>
    <t>Treasury required buffer</t>
  </si>
  <si>
    <t>(Required cash)/excess cash</t>
  </si>
  <si>
    <t>Reimbursment of ST Loan</t>
  </si>
  <si>
    <t xml:space="preserve">Working Capital Margin </t>
  </si>
  <si>
    <t>ST Loan at the end of period</t>
  </si>
  <si>
    <t>C</t>
  </si>
  <si>
    <t>Cash surplus for period</t>
  </si>
  <si>
    <t>D</t>
  </si>
  <si>
    <t>Cash at end of period</t>
  </si>
  <si>
    <t>Long Term Loans</t>
  </si>
  <si>
    <t>Moratorium</t>
  </si>
  <si>
    <t>Tenure</t>
  </si>
  <si>
    <t>Interest</t>
  </si>
  <si>
    <t>Loan</t>
  </si>
  <si>
    <t>Annual Installment</t>
  </si>
  <si>
    <t>Loan Repayment</t>
  </si>
  <si>
    <t>Loan Outstanding</t>
  </si>
  <si>
    <t>Total LSTK Cost</t>
  </si>
  <si>
    <t>Profit Before Tax</t>
  </si>
  <si>
    <t>INCOME TAX CALCULATION</t>
  </si>
  <si>
    <t>KRIBHCO</t>
  </si>
  <si>
    <t>SL.</t>
  </si>
  <si>
    <t>NO.</t>
  </si>
  <si>
    <t>Profit before Tax</t>
  </si>
  <si>
    <t>Add - Dep.as per Books</t>
  </si>
  <si>
    <t>Less - Depreciation for IT</t>
  </si>
  <si>
    <t>Adjusted Profit</t>
  </si>
  <si>
    <t>Less - B/F Business loss</t>
  </si>
  <si>
    <t>Taxable Profit / Loss</t>
  </si>
  <si>
    <t>Corporate Tax</t>
  </si>
  <si>
    <t>Tax under MAT</t>
  </si>
  <si>
    <t>Tax Payable</t>
  </si>
  <si>
    <t>Accumulated MAT for Credit</t>
  </si>
  <si>
    <t>MAT CREDIT</t>
  </si>
  <si>
    <t>Net Corporate Tax</t>
  </si>
  <si>
    <t>MAT Credit</t>
  </si>
  <si>
    <t>Accumulated MAT Credit</t>
  </si>
  <si>
    <t>TAX UNDER MAT</t>
  </si>
  <si>
    <t>Less - MAT Credit</t>
  </si>
  <si>
    <t>DEPRECIATION FOR INCOME TAX CALCULATION</t>
  </si>
  <si>
    <t>ITEM</t>
  </si>
  <si>
    <t xml:space="preserve">  RATE</t>
  </si>
  <si>
    <t>ASSET</t>
  </si>
  <si>
    <t>VALUE</t>
  </si>
  <si>
    <t xml:space="preserve"> </t>
  </si>
  <si>
    <t>TOTAL DEPRECIATION FOR TAX PURPOSE</t>
  </si>
  <si>
    <t>Tax Structure</t>
  </si>
  <si>
    <t xml:space="preserve">Corp Tax </t>
  </si>
  <si>
    <t>MAT</t>
  </si>
  <si>
    <t>Base</t>
  </si>
  <si>
    <t>Surcharge</t>
  </si>
  <si>
    <t>Cess</t>
  </si>
  <si>
    <t>Profit after Tax</t>
  </si>
  <si>
    <t>Retained Earnings</t>
  </si>
  <si>
    <t>Const 1</t>
  </si>
  <si>
    <t>Sales Revenue</t>
  </si>
  <si>
    <t>EBIDTA</t>
  </si>
  <si>
    <t>Salvage</t>
  </si>
  <si>
    <t>Net Cash Generation of Project</t>
  </si>
  <si>
    <t>Project Net Cash Flow</t>
  </si>
  <si>
    <t>LT Loans Interest</t>
  </si>
  <si>
    <t>LT Loan Repayment</t>
  </si>
  <si>
    <t>Short Term Interest</t>
  </si>
  <si>
    <t xml:space="preserve">Cash Generation for Sponsors </t>
  </si>
  <si>
    <t>Cash inflow</t>
  </si>
  <si>
    <t>Net Project Flow</t>
  </si>
  <si>
    <t>IDC</t>
  </si>
  <si>
    <t>Raw Material Inventory</t>
  </si>
  <si>
    <t>Days</t>
  </si>
  <si>
    <t xml:space="preserve">Raw Material/Suppliers Credit </t>
  </si>
  <si>
    <t>PROJECTED BALANCE SHEET</t>
  </si>
  <si>
    <t>ASSETS</t>
  </si>
  <si>
    <t>Current Assets</t>
  </si>
  <si>
    <t>Accounts Receivable</t>
  </si>
  <si>
    <t>From Dealer</t>
  </si>
  <si>
    <t>Raw Mat.Inventory &amp; Opr. Supplies</t>
  </si>
  <si>
    <t>Total Current Assets</t>
  </si>
  <si>
    <t>Cash &amp; Equivalent to-date</t>
  </si>
  <si>
    <t>Fixed Assets</t>
  </si>
  <si>
    <t>Gross Fixed Assets</t>
  </si>
  <si>
    <t>Accum. Depreciation</t>
  </si>
  <si>
    <t>Net Fixed Assets</t>
  </si>
  <si>
    <t>TOTAL ASSETS</t>
  </si>
  <si>
    <t>LIABILITIES</t>
  </si>
  <si>
    <t>Current Liabilities</t>
  </si>
  <si>
    <t>Suppliers Credit</t>
  </si>
  <si>
    <t>Advances &amp; Deposits</t>
  </si>
  <si>
    <t>Total Current Liabilities</t>
  </si>
  <si>
    <t>Short Term Loan</t>
  </si>
  <si>
    <t>LT Loan Outstanding</t>
  </si>
  <si>
    <t>Equity Share Capital</t>
  </si>
  <si>
    <t>TOTAL LIABILITIES</t>
  </si>
  <si>
    <t>Current Ratio</t>
  </si>
  <si>
    <t>Working Capital: Receivables fro Dealers</t>
  </si>
  <si>
    <t>WC Days for Receivables from Dealers/Customer</t>
  </si>
  <si>
    <t xml:space="preserve">Product Inventory </t>
  </si>
  <si>
    <t>Product Inventory</t>
  </si>
  <si>
    <t>Total COP (Rs/MT)</t>
  </si>
  <si>
    <t>Pre-Tax</t>
  </si>
  <si>
    <t>Cash Flow Pre-Tax</t>
  </si>
  <si>
    <t>Post Tax</t>
  </si>
  <si>
    <t>IRR</t>
  </si>
  <si>
    <t>In case of Import Ammonia</t>
  </si>
  <si>
    <t>Tank Farm at Port (1 Tank 10K MT)</t>
  </si>
  <si>
    <t>Ammonia Import Price</t>
  </si>
  <si>
    <t>$/MT</t>
  </si>
  <si>
    <t>Custom</t>
  </si>
  <si>
    <t>IGST</t>
  </si>
  <si>
    <t>Net Price</t>
  </si>
  <si>
    <t>Ammonia Price</t>
  </si>
  <si>
    <t>Ammonia Transportation Cost</t>
  </si>
  <si>
    <t>MTPA</t>
  </si>
  <si>
    <t>Land Devlopment</t>
  </si>
  <si>
    <t>Project</t>
  </si>
  <si>
    <t>WNA (@100% basis)</t>
  </si>
  <si>
    <t>Weak Nitric acid (@100% basis)</t>
  </si>
  <si>
    <t xml:space="preserve">Sales Volume </t>
  </si>
  <si>
    <t>Max Annunal Req.</t>
  </si>
  <si>
    <t>RM required</t>
  </si>
  <si>
    <t>WNA</t>
  </si>
  <si>
    <t>as per Nandani report</t>
  </si>
  <si>
    <t>CNA</t>
  </si>
  <si>
    <t>Others (for dehydrating agent etc)</t>
  </si>
  <si>
    <t>Rs/MT WNA produced</t>
  </si>
  <si>
    <t>Rs/MT CNA produced</t>
  </si>
  <si>
    <t xml:space="preserve">Electricity </t>
  </si>
  <si>
    <t>kWh</t>
  </si>
  <si>
    <t>Water</t>
  </si>
  <si>
    <t>m3/MT</t>
  </si>
  <si>
    <t>Rate</t>
  </si>
  <si>
    <t>per kWh</t>
  </si>
  <si>
    <t>Rs/m3</t>
  </si>
  <si>
    <t>Natural gas (Fuel)</t>
  </si>
  <si>
    <t>Long term</t>
  </si>
  <si>
    <t>Short Term</t>
  </si>
  <si>
    <t>Admin Expenses</t>
  </si>
  <si>
    <t>of sales value</t>
  </si>
  <si>
    <t>sales expenses</t>
  </si>
  <si>
    <t>Consumable and raw material cost</t>
  </si>
  <si>
    <t>of raw material expenses</t>
  </si>
  <si>
    <t>increment every year</t>
  </si>
  <si>
    <t>Weak Nitric acid</t>
  </si>
  <si>
    <t>WNA Production</t>
  </si>
  <si>
    <t>Electricity for WNA</t>
  </si>
  <si>
    <t>Others (catalyst for WNA)</t>
  </si>
  <si>
    <t>Water for WNA</t>
  </si>
  <si>
    <t>Particulars</t>
  </si>
  <si>
    <t>Rs. lakhs</t>
  </si>
  <si>
    <t>Site development and building</t>
  </si>
  <si>
    <t xml:space="preserve">Plant and Machinery </t>
  </si>
  <si>
    <t>Miscellaneous fixed assets</t>
  </si>
  <si>
    <t>Design and detailed engineering</t>
  </si>
  <si>
    <t>Preliminary &amp; Pre-operative expenses</t>
  </si>
  <si>
    <t>Provision for contingency</t>
  </si>
  <si>
    <t>Margin for working capital</t>
  </si>
  <si>
    <t>Total Project cost</t>
  </si>
  <si>
    <t>Interest During Construction</t>
  </si>
  <si>
    <t>Sales expenses</t>
  </si>
  <si>
    <t>Admin Exp</t>
  </si>
  <si>
    <t>Consumable and others</t>
  </si>
  <si>
    <t>EBIT</t>
  </si>
  <si>
    <t>Theoretical Corporate Tax on EBIT</t>
  </si>
  <si>
    <t>Change in Working capital</t>
  </si>
  <si>
    <t>Change in Working Capital</t>
  </si>
  <si>
    <t>Project IRR</t>
  </si>
  <si>
    <t>Equity IRR</t>
  </si>
  <si>
    <t>Less: Effective Tax</t>
  </si>
  <si>
    <t>ADD: Theoretical Income Tax</t>
  </si>
  <si>
    <t>Tax Rate</t>
  </si>
  <si>
    <t>Description of the building</t>
  </si>
  <si>
    <t>Total area required</t>
  </si>
  <si>
    <t>Rate per square meter (In US$)</t>
  </si>
  <si>
    <t>Total cost</t>
  </si>
  <si>
    <t>(in square meter)</t>
  </si>
  <si>
    <t>Factory building</t>
  </si>
  <si>
    <t xml:space="preserve">Packaging store/Main store and auxilliary building </t>
  </si>
  <si>
    <t xml:space="preserve">Miscellaneous building including pump house,  water storage etc  Earth works, drainage, toilet, rest room, internal roads etc. at 5% of totla cost of factory and non factory building,  Architect fees </t>
  </si>
  <si>
    <t>Lumpsum</t>
  </si>
  <si>
    <t>Description</t>
  </si>
  <si>
    <t>Cost in Rs. Lakhs</t>
  </si>
  <si>
    <t>Building</t>
  </si>
  <si>
    <t>Plant and Machinery</t>
  </si>
  <si>
    <t>Preliminary and preoperative expenses</t>
  </si>
  <si>
    <t xml:space="preserve">Plant and machinery </t>
  </si>
  <si>
    <t>In lakhs</t>
  </si>
  <si>
    <t>Cost of basic plant and machinery</t>
  </si>
  <si>
    <t>Auxiliary equipment and pollution control equipment at 5%</t>
  </si>
  <si>
    <t xml:space="preserve">Freight charges at 1% </t>
  </si>
  <si>
    <t>Insurance charges  at 2%</t>
  </si>
  <si>
    <t>Erection and foundation at 7.5% of plant machinery</t>
  </si>
  <si>
    <t>Stores and spares (2%)</t>
  </si>
  <si>
    <t>Electrification (including cost of installation, cabling, etc.)</t>
  </si>
  <si>
    <t xml:space="preserve">Steam generation and auxiliaries </t>
  </si>
  <si>
    <t>Water storage tank, borewell etc.</t>
  </si>
  <si>
    <t>Storage tanks</t>
  </si>
  <si>
    <t>Laboratory equipment</t>
  </si>
  <si>
    <t>Office machinery equipment</t>
  </si>
  <si>
    <t>Material handling equipment, packaging machinery, weight balance, etc.</t>
  </si>
  <si>
    <t>Preliminary and Pre operative expenses</t>
  </si>
  <si>
    <t>Cost in Rs. lakhs</t>
  </si>
  <si>
    <t>Preliminary and Pre-operative expenses, establishment and rent rate and taxes</t>
  </si>
  <si>
    <t>Establishment</t>
  </si>
  <si>
    <t>Rent rate and taxes</t>
  </si>
  <si>
    <t>Traveling expenses</t>
  </si>
  <si>
    <t>Interest and commitment charges on borrowing</t>
  </si>
  <si>
    <t>Construction Period</t>
  </si>
  <si>
    <t>(6 months)</t>
  </si>
  <si>
    <t>18 months construction Period</t>
  </si>
  <si>
    <t>As per Nandani Report</t>
  </si>
  <si>
    <t>-2 (6 Months Equity)</t>
  </si>
  <si>
    <t>Finished Product Trasportation Cost</t>
  </si>
  <si>
    <t>Capex excl IDC</t>
  </si>
  <si>
    <t>Lakhs</t>
  </si>
  <si>
    <t>Port Handling Charges + Trasportation</t>
  </si>
  <si>
    <t>Exchange Rate</t>
  </si>
  <si>
    <t>Rs/$</t>
  </si>
  <si>
    <t>Per year</t>
  </si>
  <si>
    <t>Cash in Hand (Salaries Exp)</t>
  </si>
  <si>
    <t>of plant and machinery and misc. fixed assets</t>
  </si>
  <si>
    <t>EBIDTA%</t>
  </si>
  <si>
    <t>No of Days in Year</t>
  </si>
  <si>
    <t>Ammonia &amp; other consumables</t>
  </si>
  <si>
    <t>Cash in hand (Salaries+Admin Expenses)</t>
  </si>
  <si>
    <t>Depreciation Calculation</t>
  </si>
  <si>
    <t>Rs. Lakhs</t>
  </si>
  <si>
    <t>Valuation of assets</t>
  </si>
  <si>
    <t>Type of assets</t>
  </si>
  <si>
    <t>Basic cost</t>
  </si>
  <si>
    <t>Civil Construction</t>
  </si>
  <si>
    <t>Plant &amp; Machinery, Misc fixed assets, Design and detailed engg</t>
  </si>
  <si>
    <t>Depreciation schedule</t>
  </si>
  <si>
    <t>I. As per Books of Accounts</t>
  </si>
  <si>
    <t>Years</t>
  </si>
  <si>
    <t>Buildings</t>
  </si>
  <si>
    <t>Net Value</t>
  </si>
  <si>
    <t>Dep. Amount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</si>
  <si>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</si>
  <si>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</si>
  <si>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</si>
  <si>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</si>
  <si>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</si>
  <si>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</si>
  <si>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</si>
  <si>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</si>
  <si>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</si>
  <si>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</si>
  <si>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</si>
  <si>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</si>
  <si>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</si>
  <si>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</si>
  <si>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</si>
  <si>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%age</t>
  </si>
  <si>
    <t>other Costs</t>
  </si>
  <si>
    <t>Total Cost</t>
  </si>
  <si>
    <t>Packaging Cost</t>
  </si>
  <si>
    <t>Provision for contigency at 10%</t>
  </si>
  <si>
    <t>16</t>
  </si>
  <si>
    <t>17</t>
  </si>
  <si>
    <t>18</t>
  </si>
  <si>
    <t>19</t>
  </si>
  <si>
    <t>20</t>
  </si>
  <si>
    <t>XVI</t>
  </si>
  <si>
    <t>XVII</t>
  </si>
  <si>
    <t>XVIII</t>
  </si>
  <si>
    <t>XIX</t>
  </si>
  <si>
    <t>XX</t>
  </si>
  <si>
    <t>Remaining</t>
  </si>
  <si>
    <t xml:space="preserve">Depreciation </t>
  </si>
  <si>
    <t>Plant &amp; Machinery incl site dev. cost</t>
  </si>
  <si>
    <t>Civil construction</t>
  </si>
  <si>
    <t>Steam Credit</t>
  </si>
  <si>
    <t>Steam Consumption</t>
  </si>
  <si>
    <t xml:space="preserve">Steam </t>
  </si>
  <si>
    <t>Total project cost</t>
  </si>
  <si>
    <t>PAT</t>
  </si>
  <si>
    <t>Dep</t>
  </si>
  <si>
    <t>Net profit+depreciation</t>
  </si>
  <si>
    <t>LT Loan Interest- net of tax</t>
  </si>
  <si>
    <t>Add: Tax as per Books</t>
  </si>
  <si>
    <t>Less: Tax applicable considering same unit</t>
  </si>
  <si>
    <t xml:space="preserve">Payback period </t>
  </si>
  <si>
    <t>Calculation of Payback period (Option1)</t>
  </si>
  <si>
    <t>Calculation of Payback period (Option2 with taxation benefit)</t>
  </si>
  <si>
    <t>Unrecovered portion</t>
  </si>
  <si>
    <t>Approx. 5.75 Years</t>
  </si>
  <si>
    <t>Manpower, O&amp;M etc.</t>
  </si>
  <si>
    <t>Approx. 7 Years</t>
  </si>
  <si>
    <t>TAN</t>
  </si>
  <si>
    <t>NH3 for WNA</t>
  </si>
  <si>
    <t>NH3 for TAN</t>
  </si>
  <si>
    <t>WNA for TAN</t>
  </si>
  <si>
    <t>Platinum(94%)/Rhodium(6%) Gauze (Catalyst)*</t>
  </si>
  <si>
    <t xml:space="preserve">Boiler Feed 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</si>
</sst>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00"/>
    <numFmt numFmtId="167" formatCode="_-* #,##0.00\ _€_-;\-* #,##0.00\ _€_-;_-* &quot;-&quot;??\ _€_-;_-@_-"/>
    <numFmt numFmtId="168" formatCode="General_)"/>
    <numFmt numFmtId="169" formatCode="0.0%"/>
    <numFmt numFmtId="170" formatCode="0.000%"/>
    <numFmt numFmtId="171" formatCode="#,##0;&quot;(&quot;#,##0&quot;)&quot;;&quot;-&quot;"/>
    <numFmt numFmtId="172" formatCode="_(* #,##0_);_(* \(#,##0\);_(* &quot;-&quot;??_);_(@_)"/>
    <numFmt numFmtId="173" formatCode="_ * #,##0_ ;_ * \-#,##0_ ;_ * &quot;-&quot;??_ ;_ @_ 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</font>
    <font>
      <sz val="8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2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2"/>
      <color indexed="13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0"/>
      <name val="Arial"/>
      <family val="2"/>
    </font>
    <font>
      <b/>
      <sz val="14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Arial Narrow"/>
      <family val="2"/>
    </font>
    <font>
      <b/>
      <sz val="10"/>
      <name val="Calibri"/>
      <family val="2"/>
      <scheme val="minor"/>
    </font>
    <font>
      <sz val="10"/>
      <name val="Verdana"/>
      <family val="2"/>
    </font>
    <font>
      <sz val="10"/>
      <color rgb="FF333333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sz val="10"/>
      <color indexed="10"/>
      <name val="Verdana"/>
      <family val="2"/>
    </font>
    <font>
      <sz val="11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5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4" fillId="0" borderId="0"/>
    <xf numFmtId="0" fontId="14" fillId="0" borderId="4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1" fillId="31" borderId="4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14" fillId="0" borderId="0"/>
    <xf numFmtId="0" fontId="5" fillId="0" borderId="0" applyFill="0"/>
    <xf numFmtId="0" fontId="14" fillId="0" borderId="4"/>
    <xf numFmtId="0" fontId="25" fillId="0" borderId="0" applyNumberFormat="0" applyFill="0" applyBorder="0" applyAlignment="0" applyProtection="0"/>
    <xf numFmtId="0" fontId="26" fillId="34" borderId="0"/>
    <xf numFmtId="0" fontId="27" fillId="0" borderId="11" applyNumberFormat="0" applyFill="0" applyAlignment="0" applyProtection="0"/>
    <xf numFmtId="0" fontId="21" fillId="0" borderId="12"/>
    <xf numFmtId="0" fontId="21" fillId="0" borderId="4"/>
    <xf numFmtId="0" fontId="28" fillId="0" borderId="0" applyNumberForma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5" fillId="33" borderId="9" applyNumberFormat="0" applyFont="0" applyAlignment="0" applyProtection="0"/>
    <xf numFmtId="0" fontId="29" fillId="0" borderId="0"/>
    <xf numFmtId="0" fontId="30" fillId="0" borderId="0"/>
    <xf numFmtId="0" fontId="3" fillId="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7" fillId="0" borderId="0">
      <alignment vertical="center"/>
    </xf>
    <xf numFmtId="0" fontId="2" fillId="0" borderId="0"/>
    <xf numFmtId="0" fontId="6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0" fillId="21" borderId="0" applyNumberFormat="0" applyBorder="0" applyAlignment="0" applyProtection="0"/>
    <xf numFmtId="0" fontId="9" fillId="20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20" fillId="16" borderId="2" applyNumberFormat="0" applyAlignment="0" applyProtection="0"/>
    <xf numFmtId="0" fontId="9" fillId="14" borderId="0" applyNumberFormat="0" applyBorder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9" fillId="14" borderId="0" applyNumberFormat="0" applyBorder="0" applyAlignment="0" applyProtection="0"/>
    <xf numFmtId="0" fontId="9" fillId="12" borderId="0" applyNumberFormat="0" applyBorder="0" applyAlignment="0" applyProtection="0"/>
    <xf numFmtId="0" fontId="8" fillId="0" borderId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10" fillId="18" borderId="0" applyNumberFormat="0" applyBorder="0" applyAlignment="0" applyProtection="0"/>
    <xf numFmtId="0" fontId="5" fillId="0" borderId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5" fillId="33" borderId="9" applyNumberFormat="0" applyFont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3" fillId="6" borderId="0" applyNumberFormat="0" applyBorder="0" applyAlignment="0" applyProtection="0"/>
    <xf numFmtId="0" fontId="9" fillId="15" borderId="0" applyNumberFormat="0" applyBorder="0" applyAlignment="0" applyProtection="0"/>
    <xf numFmtId="9" fontId="2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20" fillId="16" borderId="2" applyNumberFormat="0" applyAlignment="0" applyProtection="0"/>
    <xf numFmtId="0" fontId="9" fillId="19" borderId="0" applyNumberFormat="0" applyBorder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9" fillId="14" borderId="0" applyNumberFormat="0" applyBorder="0" applyAlignment="0" applyProtection="0"/>
    <xf numFmtId="0" fontId="9" fillId="12" borderId="0" applyNumberFormat="0" applyBorder="0" applyAlignment="0" applyProtection="0"/>
    <xf numFmtId="0" fontId="8" fillId="0" borderId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10" fillId="21" borderId="0" applyNumberFormat="0" applyBorder="0" applyAlignment="0" applyProtection="0"/>
    <xf numFmtId="0" fontId="5" fillId="0" borderId="0"/>
    <xf numFmtId="0" fontId="9" fillId="18" borderId="0" applyNumberFormat="0" applyBorder="0" applyAlignment="0" applyProtection="0"/>
    <xf numFmtId="0" fontId="9" fillId="17" borderId="0" applyNumberFormat="0" applyBorder="0" applyAlignment="0" applyProtection="0"/>
    <xf numFmtId="0" fontId="5" fillId="33" borderId="9" applyNumberFormat="0" applyFont="0" applyAlignment="0" applyProtection="0"/>
    <xf numFmtId="0" fontId="9" fillId="11" borderId="0" applyNumberFormat="0" applyBorder="0" applyAlignment="0" applyProtection="0"/>
    <xf numFmtId="0" fontId="5" fillId="0" borderId="0"/>
    <xf numFmtId="0" fontId="3" fillId="6" borderId="0" applyNumberFormat="0" applyBorder="0" applyAlignment="0" applyProtection="0"/>
    <xf numFmtId="0" fontId="9" fillId="15" borderId="0" applyNumberFormat="0" applyBorder="0" applyAlignment="0" applyProtection="0"/>
    <xf numFmtId="9" fontId="2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1" fillId="12" borderId="0" applyNumberFormat="0" applyBorder="0" applyAlignment="0" applyProtection="0"/>
    <xf numFmtId="0" fontId="12" fillId="29" borderId="2" applyNumberFormat="0" applyAlignment="0" applyProtection="0"/>
    <xf numFmtId="0" fontId="13" fillId="30" borderId="3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6" borderId="2" applyNumberFormat="0" applyAlignment="0" applyProtection="0"/>
    <xf numFmtId="0" fontId="22" fillId="0" borderId="8" applyNumberFormat="0" applyFill="0" applyAlignment="0" applyProtection="0"/>
    <xf numFmtId="0" fontId="23" fillId="32" borderId="0" applyNumberFormat="0" applyBorder="0" applyAlignment="0" applyProtection="0"/>
    <xf numFmtId="0" fontId="5" fillId="33" borderId="9" applyNumberFormat="0" applyFont="0" applyAlignment="0" applyProtection="0"/>
    <xf numFmtId="0" fontId="24" fillId="29" borderId="10" applyNumberFormat="0" applyAlignment="0" applyProtection="0"/>
    <xf numFmtId="0" fontId="25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8" fillId="0" borderId="0"/>
    <xf numFmtId="0" fontId="5" fillId="0" borderId="0"/>
    <xf numFmtId="0" fontId="5" fillId="33" borderId="9" applyNumberFormat="0" applyFont="0" applyAlignment="0" applyProtection="0"/>
    <xf numFmtId="0" fontId="5" fillId="0" borderId="0"/>
    <xf numFmtId="0" fontId="3" fillId="6" borderId="0" applyNumberFormat="0" applyBorder="0" applyAlignment="0" applyProtection="0"/>
    <xf numFmtId="9" fontId="2" fillId="0" borderId="0" applyFont="0" applyFill="0" applyBorder="0" applyAlignment="0" applyProtection="0"/>
    <xf numFmtId="0" fontId="6" fillId="0" borderId="0"/>
    <xf numFmtId="168" fontId="8" fillId="0" borderId="0"/>
    <xf numFmtId="0" fontId="2" fillId="0" borderId="0"/>
    <xf numFmtId="0" fontId="2" fillId="0" borderId="0"/>
    <xf numFmtId="168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5" fillId="0" borderId="0"/>
    <xf numFmtId="168" fontId="8" fillId="0" borderId="0"/>
    <xf numFmtId="0" fontId="2" fillId="0" borderId="0"/>
    <xf numFmtId="0" fontId="8" fillId="0" borderId="0"/>
    <xf numFmtId="168" fontId="8" fillId="0" borderId="0"/>
    <xf numFmtId="164" fontId="2" fillId="0" borderId="0" applyFont="0" applyFill="0" applyBorder="0" applyAlignment="0" applyProtection="0"/>
    <xf numFmtId="168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164" fontId="2" fillId="0" borderId="0" applyFont="0" applyFill="0" applyBorder="0" applyAlignment="0" applyProtection="0"/>
    <xf numFmtId="168" fontId="8" fillId="0" borderId="0"/>
    <xf numFmtId="0" fontId="5" fillId="0" borderId="0"/>
    <xf numFmtId="0" fontId="8" fillId="0" borderId="0"/>
    <xf numFmtId="164" fontId="2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0" fontId="2" fillId="0" borderId="0"/>
    <xf numFmtId="0" fontId="2" fillId="0" borderId="0"/>
    <xf numFmtId="168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168" fontId="8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8" fillId="0" borderId="0"/>
    <xf numFmtId="0" fontId="2" fillId="0" borderId="0"/>
    <xf numFmtId="0" fontId="8" fillId="0" borderId="0"/>
    <xf numFmtId="168" fontId="8" fillId="0" borderId="0"/>
    <xf numFmtId="0" fontId="2" fillId="0" borderId="0"/>
    <xf numFmtId="168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" fillId="0" borderId="0"/>
    <xf numFmtId="0" fontId="6" fillId="0" borderId="0"/>
    <xf numFmtId="168" fontId="8" fillId="0" borderId="0"/>
    <xf numFmtId="0" fontId="2" fillId="0" borderId="0"/>
    <xf numFmtId="0" fontId="2" fillId="0" borderId="0"/>
    <xf numFmtId="168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164" fontId="2" fillId="0" borderId="0" applyFont="0" applyFill="0" applyBorder="0" applyAlignment="0" applyProtection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8" fillId="0" borderId="0"/>
    <xf numFmtId="168" fontId="8" fillId="0" borderId="0"/>
    <xf numFmtId="168" fontId="8" fillId="0" borderId="0"/>
    <xf numFmtId="168" fontId="8" fillId="0" borderId="0"/>
    <xf numFmtId="0" fontId="2" fillId="0" borderId="0"/>
    <xf numFmtId="168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168" fontId="8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164" fontId="2" fillId="0" borderId="0" applyFont="0" applyFill="0" applyBorder="0" applyAlignment="0" applyProtection="0"/>
    <xf numFmtId="0" fontId="2" fillId="0" borderId="0"/>
    <xf numFmtId="168" fontId="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8" fillId="0" borderId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8" fontId="8" fillId="0" borderId="0"/>
    <xf numFmtId="168" fontId="8" fillId="0" borderId="0"/>
    <xf numFmtId="0" fontId="8" fillId="0" borderId="0"/>
    <xf numFmtId="164" fontId="2" fillId="0" borderId="0" applyFont="0" applyFill="0" applyBorder="0" applyAlignment="0" applyProtection="0"/>
    <xf numFmtId="0" fontId="2" fillId="0" borderId="0"/>
    <xf numFmtId="168" fontId="8" fillId="0" borderId="0"/>
    <xf numFmtId="168" fontId="8" fillId="0" borderId="0"/>
    <xf numFmtId="168" fontId="8" fillId="0" borderId="0"/>
    <xf numFmtId="0" fontId="2" fillId="0" borderId="0"/>
    <xf numFmtId="0" fontId="2" fillId="0" borderId="0"/>
    <xf numFmtId="168" fontId="8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2" fillId="0" borderId="0"/>
    <xf numFmtId="168" fontId="8" fillId="0" borderId="0"/>
    <xf numFmtId="168" fontId="8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8" fontId="8" fillId="0" borderId="0"/>
    <xf numFmtId="0" fontId="8" fillId="0" borderId="0"/>
    <xf numFmtId="0" fontId="8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168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168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168" fontId="8" fillId="0" borderId="0"/>
    <xf numFmtId="0" fontId="2" fillId="0" borderId="0"/>
    <xf numFmtId="0" fontId="8" fillId="0" borderId="0"/>
    <xf numFmtId="168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168" fontId="8" fillId="0" borderId="0"/>
    <xf numFmtId="0" fontId="2" fillId="0" borderId="0"/>
    <xf numFmtId="168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168" fontId="8" fillId="0" borderId="0"/>
    <xf numFmtId="168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168" fontId="8" fillId="0" borderId="0"/>
    <xf numFmtId="0" fontId="2" fillId="0" borderId="0"/>
    <xf numFmtId="0" fontId="2" fillId="0" borderId="0"/>
    <xf numFmtId="168" fontId="8" fillId="0" borderId="0"/>
    <xf numFmtId="0" fontId="8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168" fontId="8" fillId="0" borderId="0"/>
    <xf numFmtId="0" fontId="8" fillId="0" borderId="0"/>
    <xf numFmtId="164" fontId="2" fillId="0" borderId="0" applyFont="0" applyFill="0" applyBorder="0" applyAlignment="0" applyProtection="0"/>
    <xf numFmtId="0" fontId="8" fillId="0" borderId="0"/>
    <xf numFmtId="168" fontId="8" fillId="0" borderId="0"/>
    <xf numFmtId="0" fontId="2" fillId="0" borderId="0"/>
    <xf numFmtId="0" fontId="8" fillId="0" borderId="0"/>
    <xf numFmtId="0" fontId="2" fillId="0" borderId="0"/>
    <xf numFmtId="168" fontId="8" fillId="0" borderId="0"/>
    <xf numFmtId="168" fontId="8" fillId="0" borderId="0"/>
    <xf numFmtId="0" fontId="2" fillId="0" borderId="0"/>
    <xf numFmtId="0" fontId="2" fillId="0" borderId="0"/>
    <xf numFmtId="168" fontId="8" fillId="0" borderId="0"/>
    <xf numFmtId="168" fontId="8" fillId="0" borderId="0"/>
    <xf numFmtId="0" fontId="8" fillId="0" borderId="0"/>
    <xf numFmtId="0" fontId="2" fillId="0" borderId="0"/>
    <xf numFmtId="168" fontId="8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8" fontId="8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0" fillId="0" borderId="0"/>
    <xf numFmtId="164" fontId="30" fillId="0" borderId="0" applyFont="0" applyFill="0" applyBorder="0" applyAlignment="0" applyProtection="0"/>
    <xf numFmtId="0" fontId="2" fillId="0" borderId="0"/>
    <xf numFmtId="9" fontId="30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5">
    <xf numFmtId="0" fontId="0" fillId="0" borderId="0" xfId="0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1" xfId="0" applyBorder="1"/>
    <xf numFmtId="3" fontId="33" fillId="0" borderId="1" xfId="639" applyNumberFormat="1" applyFont="1" applyBorder="1" applyAlignment="1">
      <alignment horizontal="center" vertical="top"/>
    </xf>
    <xf numFmtId="3" fontId="33" fillId="10" borderId="1" xfId="639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Fill="1" applyBorder="1"/>
    <xf numFmtId="1" fontId="0" fillId="0" borderId="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6" xfId="0" applyFont="1" applyBorder="1"/>
    <xf numFmtId="0" fontId="0" fillId="7" borderId="1" xfId="0" applyFill="1" applyBorder="1"/>
    <xf numFmtId="0" fontId="1" fillId="0" borderId="0" xfId="0" applyFont="1" applyBorder="1"/>
    <xf numFmtId="1" fontId="0" fillId="0" borderId="0" xfId="0" applyNumberFormat="1" applyFill="1"/>
    <xf numFmtId="9" fontId="33" fillId="0" borderId="1" xfId="1086" applyNumberFormat="1" applyFont="1" applyBorder="1" applyAlignment="1" applyProtection="1">
      <alignment horizontal="center" vertical="top"/>
    </xf>
    <xf numFmtId="0" fontId="4" fillId="0" borderId="16" xfId="0" applyFont="1" applyBorder="1"/>
    <xf numFmtId="9" fontId="0" fillId="0" borderId="1" xfId="0" applyNumberFormat="1" applyFill="1" applyBorder="1"/>
    <xf numFmtId="0" fontId="5" fillId="0" borderId="1" xfId="0" applyFont="1" applyFill="1" applyBorder="1"/>
    <xf numFmtId="0" fontId="4" fillId="0" borderId="1" xfId="1086" applyFont="1" applyBorder="1" applyAlignment="1" applyProtection="1">
      <alignment horizontal="center" vertical="center"/>
    </xf>
    <xf numFmtId="9" fontId="33" fillId="0" borderId="1" xfId="1086" applyNumberFormat="1" applyFont="1" applyBorder="1" applyAlignment="1">
      <alignment horizontal="center" vertical="top"/>
    </xf>
    <xf numFmtId="0" fontId="4" fillId="0" borderId="1" xfId="1086" applyFont="1" applyBorder="1" applyAlignment="1" applyProtection="1">
      <alignment horizontal="left" vertical="top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1086" applyFont="1" applyBorder="1" applyAlignment="1" applyProtection="1">
      <alignment horizontal="center" vertical="top"/>
    </xf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0" borderId="1" xfId="0" applyFont="1" applyFill="1" applyBorder="1"/>
    <xf numFmtId="0" fontId="4" fillId="0" borderId="0" xfId="1086" applyFont="1" applyBorder="1" applyAlignment="1" applyProtection="1">
      <alignment horizontal="center" vertical="center"/>
    </xf>
    <xf numFmtId="0" fontId="1" fillId="36" borderId="1" xfId="0" applyFont="1" applyFill="1" applyBorder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/>
    <xf numFmtId="0" fontId="33" fillId="10" borderId="0" xfId="1209" quotePrefix="1" applyFont="1" applyFill="1" applyAlignment="1" applyProtection="1">
      <alignment horizontal="left" vertical="top"/>
    </xf>
    <xf numFmtId="0" fontId="33" fillId="10" borderId="1" xfId="1209" applyFont="1" applyFill="1" applyBorder="1" applyAlignment="1">
      <alignment horizontal="left" vertical="top"/>
    </xf>
    <xf numFmtId="0" fontId="33" fillId="10" borderId="1" xfId="1122" applyFont="1" applyFill="1" applyBorder="1" applyAlignment="1">
      <alignment horizontal="left" vertical="top"/>
    </xf>
    <xf numFmtId="165" fontId="33" fillId="0" borderId="23" xfId="1206" applyNumberFormat="1" applyFont="1" applyBorder="1" applyAlignment="1" applyProtection="1">
      <alignment horizontal="center" vertical="top"/>
    </xf>
    <xf numFmtId="0" fontId="1" fillId="0" borderId="1" xfId="0" applyFont="1" applyBorder="1" applyAlignment="1">
      <alignment horizontal="center"/>
    </xf>
    <xf numFmtId="0" fontId="33" fillId="10" borderId="1" xfId="1122" applyFont="1" applyFill="1" applyBorder="1" applyAlignment="1">
      <alignment vertical="top"/>
    </xf>
    <xf numFmtId="0" fontId="37" fillId="0" borderId="17" xfId="1206" applyFont="1" applyBorder="1" applyAlignment="1" applyProtection="1">
      <alignment horizontal="left" vertical="top"/>
    </xf>
    <xf numFmtId="0" fontId="0" fillId="0" borderId="0" xfId="0" applyFill="1"/>
    <xf numFmtId="0" fontId="33" fillId="0" borderId="1" xfId="1232" quotePrefix="1" applyFont="1" applyBorder="1" applyAlignment="1" applyProtection="1">
      <alignment horizontal="left" vertical="top"/>
    </xf>
    <xf numFmtId="3" fontId="37" fillId="0" borderId="17" xfId="1206" applyNumberFormat="1" applyFont="1" applyBorder="1" applyAlignment="1">
      <alignment vertical="top"/>
    </xf>
    <xf numFmtId="1" fontId="33" fillId="10" borderId="1" xfId="1209" applyNumberFormat="1" applyFont="1" applyFill="1" applyBorder="1" applyAlignment="1" applyProtection="1">
      <alignment horizontal="center" vertical="top"/>
    </xf>
    <xf numFmtId="0" fontId="4" fillId="0" borderId="0" xfId="1086" applyFont="1" applyFill="1" applyBorder="1" applyAlignment="1" applyProtection="1">
      <alignment horizontal="center" vertical="center"/>
    </xf>
    <xf numFmtId="3" fontId="33" fillId="0" borderId="1" xfId="1122" applyNumberFormat="1" applyFont="1" applyBorder="1" applyAlignment="1">
      <alignment horizontal="center"/>
    </xf>
    <xf numFmtId="0" fontId="0" fillId="0" borderId="0" xfId="0" applyFill="1" applyBorder="1"/>
    <xf numFmtId="3" fontId="37" fillId="0" borderId="0" xfId="1206" applyNumberFormat="1" applyFont="1" applyBorder="1" applyAlignment="1">
      <alignment vertical="top"/>
    </xf>
    <xf numFmtId="0" fontId="33" fillId="10" borderId="0" xfId="1209" quotePrefix="1" applyFont="1" applyFill="1" applyAlignment="1" applyProtection="1">
      <alignment horizontal="center" vertical="top"/>
    </xf>
    <xf numFmtId="0" fontId="33" fillId="10" borderId="1" xfId="1129" applyFont="1" applyFill="1" applyBorder="1" applyAlignment="1">
      <alignment horizontal="left" vertical="top"/>
    </xf>
    <xf numFmtId="0" fontId="37" fillId="7" borderId="1" xfId="1129" applyFont="1" applyFill="1" applyBorder="1" applyAlignment="1">
      <alignment horizontal="center" vertical="top"/>
    </xf>
    <xf numFmtId="3" fontId="33" fillId="0" borderId="0" xfId="1206" applyNumberFormat="1" applyFont="1" applyBorder="1" applyAlignment="1" applyProtection="1">
      <alignment vertical="top"/>
    </xf>
    <xf numFmtId="10" fontId="0" fillId="0" borderId="0" xfId="1" applyNumberFormat="1" applyFont="1"/>
    <xf numFmtId="0" fontId="33" fillId="10" borderId="0" xfId="1209" quotePrefix="1" applyFont="1" applyFill="1" applyAlignment="1" applyProtection="1">
      <alignment horizontal="right" vertical="top"/>
    </xf>
    <xf numFmtId="165" fontId="33" fillId="0" borderId="1" xfId="1232" applyNumberFormat="1" applyFont="1" applyFill="1" applyBorder="1" applyAlignment="1" applyProtection="1">
      <alignment horizontal="center" vertical="top"/>
    </xf>
    <xf numFmtId="0" fontId="4" fillId="0" borderId="1" xfId="1086" applyFont="1" applyFill="1" applyBorder="1" applyAlignment="1" applyProtection="1">
      <alignment horizontal="center" vertical="center"/>
    </xf>
    <xf numFmtId="165" fontId="33" fillId="35" borderId="1" xfId="1232" applyNumberFormat="1" applyFont="1" applyFill="1" applyBorder="1" applyAlignment="1" applyProtection="1">
      <alignment horizontal="center" vertical="top"/>
    </xf>
    <xf numFmtId="3" fontId="33" fillId="0" borderId="18" xfId="1206" applyNumberFormat="1" applyFont="1" applyBorder="1" applyAlignment="1" applyProtection="1">
      <alignment vertical="top"/>
    </xf>
    <xf numFmtId="0" fontId="33" fillId="10" borderId="1" xfId="1122" applyFont="1" applyFill="1" applyBorder="1" applyAlignment="1">
      <alignment horizontal="center" vertical="top"/>
    </xf>
    <xf numFmtId="0" fontId="37" fillId="7" borderId="1" xfId="1122" applyFont="1" applyFill="1" applyBorder="1" applyAlignment="1">
      <alignment horizontal="center" vertical="top"/>
    </xf>
    <xf numFmtId="3" fontId="0" fillId="4" borderId="1" xfId="0" applyNumberFormat="1" applyFill="1" applyBorder="1" applyAlignment="1">
      <alignment horizontal="center"/>
    </xf>
    <xf numFmtId="169" fontId="33" fillId="10" borderId="1" xfId="1129" applyNumberFormat="1" applyFont="1" applyFill="1" applyBorder="1" applyAlignment="1">
      <alignment horizontal="center" vertical="top"/>
    </xf>
    <xf numFmtId="0" fontId="37" fillId="10" borderId="0" xfId="1157" applyFont="1" applyFill="1" applyBorder="1" applyAlignment="1">
      <alignment horizontal="left"/>
    </xf>
    <xf numFmtId="168" fontId="33" fillId="0" borderId="0" xfId="1206" applyNumberFormat="1" applyFont="1" applyBorder="1" applyAlignment="1">
      <alignment vertical="top"/>
    </xf>
    <xf numFmtId="0" fontId="37" fillId="7" borderId="1" xfId="639" applyFont="1" applyFill="1" applyBorder="1" applyAlignment="1">
      <alignment horizontal="left" vertical="top"/>
    </xf>
    <xf numFmtId="0" fontId="33" fillId="7" borderId="1" xfId="1122" applyFont="1" applyFill="1" applyBorder="1" applyAlignment="1">
      <alignment horizontal="left" vertical="top"/>
    </xf>
    <xf numFmtId="0" fontId="37" fillId="10" borderId="19" xfId="1157" applyFont="1" applyFill="1" applyBorder="1"/>
    <xf numFmtId="165" fontId="33" fillId="0" borderId="1" xfId="1232" applyNumberFormat="1" applyFont="1" applyBorder="1" applyAlignment="1" applyProtection="1">
      <alignment horizontal="center" vertical="top"/>
    </xf>
    <xf numFmtId="1" fontId="0" fillId="36" borderId="1" xfId="0" applyNumberFormat="1" applyFill="1" applyBorder="1" applyAlignment="1">
      <alignment horizontal="center"/>
    </xf>
    <xf numFmtId="9" fontId="33" fillId="10" borderId="1" xfId="1209" applyNumberFormat="1" applyFont="1" applyFill="1" applyBorder="1" applyAlignment="1" applyProtection="1">
      <alignment vertical="center"/>
    </xf>
    <xf numFmtId="165" fontId="33" fillId="0" borderId="23" xfId="1206" applyNumberFormat="1" applyFont="1" applyBorder="1" applyAlignment="1">
      <alignment horizontal="center" vertical="top"/>
    </xf>
    <xf numFmtId="165" fontId="37" fillId="0" borderId="24" xfId="1206" applyNumberFormat="1" applyFont="1" applyBorder="1" applyAlignment="1" applyProtection="1">
      <alignment horizontal="center" vertical="top"/>
    </xf>
    <xf numFmtId="0" fontId="33" fillId="0" borderId="1" xfId="1122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  <xf numFmtId="165" fontId="37" fillId="0" borderId="1" xfId="1232" applyNumberFormat="1" applyFont="1" applyBorder="1" applyAlignment="1" applyProtection="1">
      <alignment horizontal="center" vertical="top"/>
    </xf>
    <xf numFmtId="0" fontId="33" fillId="10" borderId="1" xfId="1209" applyFont="1" applyFill="1" applyBorder="1" applyAlignment="1">
      <alignment vertical="top"/>
    </xf>
    <xf numFmtId="0" fontId="33" fillId="7" borderId="1" xfId="639" applyFont="1" applyFill="1" applyBorder="1" applyAlignment="1">
      <alignment horizontal="center" vertical="top"/>
    </xf>
    <xf numFmtId="165" fontId="33" fillId="0" borderId="1" xfId="1232" applyNumberFormat="1" applyFont="1" applyBorder="1" applyAlignment="1">
      <alignment horizontal="center" vertical="top"/>
    </xf>
    <xf numFmtId="3" fontId="33" fillId="10" borderId="1" xfId="1122" applyNumberFormat="1" applyFont="1" applyFill="1" applyBorder="1" applyAlignment="1">
      <alignment horizontal="center"/>
    </xf>
    <xf numFmtId="0" fontId="37" fillId="0" borderId="1" xfId="1232" quotePrefix="1" applyFont="1" applyBorder="1" applyAlignment="1" applyProtection="1">
      <alignment horizontal="left" vertical="top"/>
    </xf>
    <xf numFmtId="3" fontId="33" fillId="0" borderId="0" xfId="1206" applyNumberFormat="1" applyFont="1" applyBorder="1" applyAlignment="1" applyProtection="1">
      <alignment horizontal="right" vertical="top"/>
    </xf>
    <xf numFmtId="1" fontId="0" fillId="2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5" fillId="0" borderId="0" xfId="1146" quotePrefix="1" applyFont="1" applyBorder="1" applyAlignment="1" applyProtection="1">
      <alignment horizontal="left" vertical="top"/>
    </xf>
    <xf numFmtId="3" fontId="33" fillId="0" borderId="0" xfId="1206" applyNumberFormat="1" applyFont="1" applyBorder="1" applyAlignment="1">
      <alignment vertical="top"/>
    </xf>
    <xf numFmtId="0" fontId="33" fillId="0" borderId="0" xfId="1206" quotePrefix="1" applyFont="1" applyBorder="1" applyAlignment="1" applyProtection="1">
      <alignment horizontal="left" vertical="top"/>
    </xf>
    <xf numFmtId="0" fontId="33" fillId="0" borderId="0" xfId="1206" applyFont="1" applyBorder="1" applyAlignment="1" applyProtection="1">
      <alignment horizontal="left" vertical="top"/>
    </xf>
    <xf numFmtId="0" fontId="33" fillId="10" borderId="1" xfId="1209" applyFont="1" applyFill="1" applyBorder="1" applyAlignment="1" applyProtection="1">
      <alignment horizontal="center" vertical="top"/>
    </xf>
    <xf numFmtId="1" fontId="33" fillId="0" borderId="0" xfId="1206" applyNumberFormat="1" applyFont="1" applyBorder="1" applyAlignment="1">
      <alignment vertical="top"/>
    </xf>
    <xf numFmtId="0" fontId="0" fillId="39" borderId="1" xfId="0" applyFill="1" applyBorder="1"/>
    <xf numFmtId="168" fontId="33" fillId="10" borderId="1" xfId="1209" quotePrefix="1" applyNumberFormat="1" applyFont="1" applyFill="1" applyBorder="1" applyAlignment="1" applyProtection="1">
      <alignment vertical="top"/>
    </xf>
    <xf numFmtId="0" fontId="7" fillId="0" borderId="0" xfId="1227" applyFont="1" applyBorder="1" applyAlignment="1">
      <alignment vertical="top"/>
    </xf>
    <xf numFmtId="0" fontId="36" fillId="0" borderId="0" xfId="1227" applyFont="1" applyBorder="1" applyAlignment="1" applyProtection="1">
      <alignment horizontal="left" vertical="top"/>
    </xf>
    <xf numFmtId="0" fontId="37" fillId="10" borderId="14" xfId="1157" applyFont="1" applyFill="1" applyBorder="1"/>
    <xf numFmtId="0" fontId="4" fillId="0" borderId="15" xfId="1205" applyFont="1" applyBorder="1" applyAlignment="1" applyProtection="1">
      <alignment horizontal="center" vertical="top"/>
    </xf>
    <xf numFmtId="0" fontId="4" fillId="0" borderId="13" xfId="1205" applyFont="1" applyBorder="1" applyAlignment="1" applyProtection="1">
      <alignment horizontal="left" vertical="top"/>
    </xf>
    <xf numFmtId="0" fontId="33" fillId="0" borderId="0" xfId="1206" applyFont="1" applyBorder="1" applyAlignment="1">
      <alignment horizontal="left" vertical="top"/>
    </xf>
    <xf numFmtId="0" fontId="33" fillId="10" borderId="1" xfId="1209" applyFont="1" applyFill="1" applyBorder="1" applyAlignment="1" applyProtection="1">
      <alignment horizontal="right" vertical="top"/>
    </xf>
    <xf numFmtId="9" fontId="33" fillId="10" borderId="1" xfId="1209" applyNumberFormat="1" applyFont="1" applyFill="1" applyBorder="1" applyAlignment="1" applyProtection="1">
      <alignment vertical="top"/>
    </xf>
    <xf numFmtId="0" fontId="33" fillId="10" borderId="1" xfId="1209" applyFont="1" applyFill="1" applyBorder="1" applyAlignment="1" applyProtection="1">
      <alignment horizontal="left" vertical="top"/>
    </xf>
    <xf numFmtId="0" fontId="33" fillId="10" borderId="1" xfId="1129" applyFont="1" applyFill="1" applyBorder="1" applyAlignment="1">
      <alignment horizontal="center" vertical="top"/>
    </xf>
    <xf numFmtId="0" fontId="33" fillId="10" borderId="1" xfId="1209" applyFont="1" applyFill="1" applyBorder="1" applyAlignment="1" applyProtection="1">
      <alignment vertical="top"/>
    </xf>
    <xf numFmtId="0" fontId="1" fillId="4" borderId="1" xfId="0" applyFont="1" applyFill="1" applyBorder="1" applyAlignment="1">
      <alignment horizontal="center"/>
    </xf>
    <xf numFmtId="0" fontId="33" fillId="10" borderId="1" xfId="1209" applyFont="1" applyFill="1" applyBorder="1" applyAlignment="1">
      <alignment horizontal="right" vertical="top"/>
    </xf>
    <xf numFmtId="3" fontId="33" fillId="10" borderId="1" xfId="1157" applyNumberFormat="1" applyFont="1" applyFill="1" applyBorder="1" applyAlignment="1">
      <alignment horizontal="center"/>
    </xf>
    <xf numFmtId="0" fontId="33" fillId="10" borderId="1" xfId="1157" applyFont="1" applyFill="1" applyBorder="1" applyAlignment="1">
      <alignment horizontal="center"/>
    </xf>
    <xf numFmtId="0" fontId="33" fillId="10" borderId="0" xfId="1157" applyFont="1" applyFill="1"/>
    <xf numFmtId="0" fontId="33" fillId="10" borderId="1" xfId="1157" applyFont="1" applyFill="1" applyBorder="1"/>
    <xf numFmtId="1" fontId="33" fillId="10" borderId="1" xfId="1157" applyNumberFormat="1" applyFont="1" applyFill="1" applyBorder="1" applyAlignment="1">
      <alignment horizontal="center"/>
    </xf>
    <xf numFmtId="9" fontId="33" fillId="10" borderId="1" xfId="1157" applyNumberFormat="1" applyFont="1" applyFill="1" applyBorder="1" applyAlignment="1">
      <alignment horizontal="center"/>
    </xf>
    <xf numFmtId="1" fontId="33" fillId="10" borderId="0" xfId="1157" applyNumberFormat="1" applyFont="1" applyFill="1"/>
    <xf numFmtId="0" fontId="33" fillId="35" borderId="1" xfId="1157" applyFont="1" applyFill="1" applyBorder="1"/>
    <xf numFmtId="0" fontId="33" fillId="35" borderId="1" xfId="1157" applyFont="1" applyFill="1" applyBorder="1" applyAlignment="1">
      <alignment horizontal="center"/>
    </xf>
    <xf numFmtId="0" fontId="0" fillId="39" borderId="0" xfId="0" applyFill="1"/>
    <xf numFmtId="0" fontId="33" fillId="10" borderId="1" xfId="1209" applyFont="1" applyFill="1" applyBorder="1" applyAlignment="1">
      <alignment horizontal="center" vertical="top"/>
    </xf>
    <xf numFmtId="168" fontId="33" fillId="10" borderId="1" xfId="1209" applyNumberFormat="1" applyFont="1" applyFill="1" applyBorder="1" applyAlignment="1" applyProtection="1">
      <alignment horizontal="left" vertical="center"/>
    </xf>
    <xf numFmtId="0" fontId="33" fillId="10" borderId="0" xfId="1209" quotePrefix="1" applyFont="1" applyFill="1" applyAlignment="1" applyProtection="1">
      <alignment horizontal="centerContinuous" vertical="top"/>
    </xf>
    <xf numFmtId="0" fontId="8" fillId="0" borderId="0" xfId="1206"/>
    <xf numFmtId="0" fontId="8" fillId="0" borderId="0" xfId="1206" applyAlignment="1">
      <alignment vertical="top"/>
    </xf>
    <xf numFmtId="0" fontId="8" fillId="0" borderId="0" xfId="1206" applyAlignment="1">
      <alignment horizontal="center" vertical="top"/>
    </xf>
    <xf numFmtId="0" fontId="4" fillId="0" borderId="21" xfId="1206" applyFont="1" applyBorder="1" applyAlignment="1" applyProtection="1">
      <alignment horizontal="left" vertical="top"/>
    </xf>
    <xf numFmtId="0" fontId="4" fillId="0" borderId="20" xfId="1206" applyFont="1" applyBorder="1" applyAlignment="1" applyProtection="1">
      <alignment horizontal="center" vertical="top"/>
    </xf>
    <xf numFmtId="0" fontId="4" fillId="0" borderId="24" xfId="1206" applyFont="1" applyBorder="1" applyAlignment="1" applyProtection="1">
      <alignment horizontal="center" vertical="top"/>
    </xf>
    <xf numFmtId="0" fontId="4" fillId="0" borderId="17" xfId="1206" applyFont="1" applyBorder="1" applyAlignment="1">
      <alignment vertical="top"/>
    </xf>
    <xf numFmtId="0" fontId="4" fillId="0" borderId="17" xfId="1206" applyFont="1" applyBorder="1" applyAlignment="1" applyProtection="1">
      <alignment vertical="top"/>
    </xf>
    <xf numFmtId="0" fontId="4" fillId="0" borderId="19" xfId="1206" applyFont="1" applyBorder="1" applyAlignment="1">
      <alignment vertical="top"/>
    </xf>
    <xf numFmtId="0" fontId="4" fillId="0" borderId="17" xfId="1206" applyFont="1" applyBorder="1" applyAlignment="1">
      <alignment horizontal="left" vertical="top"/>
    </xf>
    <xf numFmtId="0" fontId="4" fillId="0" borderId="21" xfId="1206" applyFont="1" applyBorder="1" applyAlignment="1" applyProtection="1">
      <alignment horizontal="right" vertical="top"/>
    </xf>
    <xf numFmtId="0" fontId="4" fillId="0" borderId="22" xfId="1206" applyFont="1" applyBorder="1" applyAlignment="1" applyProtection="1">
      <alignment horizontal="right" vertical="top"/>
    </xf>
    <xf numFmtId="3" fontId="8" fillId="0" borderId="0" xfId="1206" applyNumberFormat="1" applyAlignment="1">
      <alignment vertical="top"/>
    </xf>
    <xf numFmtId="0" fontId="8" fillId="10" borderId="0" xfId="1206" applyFill="1" applyAlignment="1">
      <alignment vertical="top"/>
    </xf>
    <xf numFmtId="0" fontId="34" fillId="10" borderId="0" xfId="1206" applyFont="1" applyFill="1" applyBorder="1" applyAlignment="1" applyProtection="1">
      <alignment vertical="top"/>
    </xf>
    <xf numFmtId="0" fontId="5" fillId="10" borderId="0" xfId="1206" applyFont="1" applyFill="1" applyAlignment="1">
      <alignment horizontal="center" vertical="top"/>
    </xf>
    <xf numFmtId="0" fontId="5" fillId="10" borderId="0" xfId="1206" applyFont="1" applyFill="1" applyAlignment="1">
      <alignment horizontal="left" vertical="top"/>
    </xf>
    <xf numFmtId="0" fontId="5" fillId="10" borderId="0" xfId="1206" applyFont="1" applyFill="1" applyAlignment="1">
      <alignment vertical="top"/>
    </xf>
    <xf numFmtId="0" fontId="4" fillId="10" borderId="0" xfId="1206" applyFont="1" applyFill="1" applyAlignment="1" applyProtection="1">
      <alignment horizontal="left" vertical="top"/>
    </xf>
    <xf numFmtId="0" fontId="8" fillId="37" borderId="1" xfId="1206" applyFont="1" applyFill="1" applyBorder="1" applyAlignment="1">
      <alignment horizontal="left" vertical="top"/>
    </xf>
    <xf numFmtId="3" fontId="8" fillId="37" borderId="1" xfId="1206" applyNumberFormat="1" applyFill="1" applyBorder="1" applyAlignment="1">
      <alignment vertical="top"/>
    </xf>
    <xf numFmtId="0" fontId="5" fillId="37" borderId="1" xfId="1206" applyFont="1" applyFill="1" applyBorder="1" applyAlignment="1" applyProtection="1">
      <alignment horizontal="left" vertical="top"/>
    </xf>
    <xf numFmtId="3" fontId="39" fillId="37" borderId="1" xfId="1206" applyNumberFormat="1" applyFont="1" applyFill="1" applyBorder="1" applyAlignment="1" applyProtection="1">
      <alignment vertical="top"/>
    </xf>
    <xf numFmtId="0" fontId="32" fillId="10" borderId="0" xfId="1209" applyFont="1" applyFill="1" applyAlignment="1">
      <alignment horizontal="center" vertical="top"/>
    </xf>
    <xf numFmtId="0" fontId="32" fillId="10" borderId="0" xfId="1209" applyFont="1" applyFill="1" applyAlignment="1">
      <alignment horizontal="left" vertical="top"/>
    </xf>
    <xf numFmtId="0" fontId="32" fillId="10" borderId="0" xfId="1209" applyFont="1" applyFill="1" applyAlignment="1">
      <alignment vertical="top"/>
    </xf>
    <xf numFmtId="0" fontId="32" fillId="10" borderId="0" xfId="1209" applyFont="1" applyFill="1" applyAlignment="1">
      <alignment horizontal="right" vertical="top"/>
    </xf>
    <xf numFmtId="0" fontId="33" fillId="10" borderId="25" xfId="1157" applyFont="1" applyFill="1" applyBorder="1"/>
    <xf numFmtId="1" fontId="0" fillId="7" borderId="1" xfId="0" applyNumberFormat="1" applyFill="1" applyBorder="1" applyAlignment="1">
      <alignment horizontal="center"/>
    </xf>
    <xf numFmtId="0" fontId="37" fillId="7" borderId="1" xfId="1129" applyFont="1" applyFill="1" applyBorder="1" applyAlignment="1">
      <alignment horizontal="left" vertical="top"/>
    </xf>
    <xf numFmtId="1" fontId="0" fillId="39" borderId="1" xfId="0" applyNumberFormat="1" applyFill="1" applyBorder="1" applyAlignment="1">
      <alignment horizontal="center"/>
    </xf>
    <xf numFmtId="3" fontId="0" fillId="0" borderId="0" xfId="0" applyNumberFormat="1"/>
    <xf numFmtId="0" fontId="37" fillId="10" borderId="15" xfId="1157" applyFont="1" applyFill="1" applyBorder="1" applyAlignment="1">
      <alignment horizontal="left"/>
    </xf>
    <xf numFmtId="0" fontId="37" fillId="7" borderId="1" xfId="1129" applyFont="1" applyFill="1" applyBorder="1" applyAlignment="1" applyProtection="1">
      <alignment horizontal="center" vertical="top"/>
    </xf>
    <xf numFmtId="0" fontId="33" fillId="0" borderId="0" xfId="1122" applyFont="1" applyFill="1" applyBorder="1" applyAlignment="1">
      <alignment horizontal="left" vertical="top"/>
    </xf>
    <xf numFmtId="0" fontId="4" fillId="39" borderId="1" xfId="1086" applyFont="1" applyFill="1" applyBorder="1" applyAlignment="1" applyProtection="1">
      <alignment horizontal="center" vertical="center"/>
    </xf>
    <xf numFmtId="0" fontId="8" fillId="0" borderId="0" xfId="1248"/>
    <xf numFmtId="0" fontId="4" fillId="35" borderId="16" xfId="1248" applyFont="1" applyFill="1" applyBorder="1" applyAlignment="1">
      <alignment horizontal="center"/>
    </xf>
    <xf numFmtId="0" fontId="5" fillId="10" borderId="1" xfId="1248" applyFont="1" applyFill="1" applyBorder="1" applyAlignment="1">
      <alignment horizontal="center"/>
    </xf>
    <xf numFmtId="0" fontId="5" fillId="10" borderId="1" xfId="1248" applyFont="1" applyFill="1" applyBorder="1"/>
    <xf numFmtId="3" fontId="5" fillId="10" borderId="1" xfId="1248" applyNumberFormat="1" applyFont="1" applyFill="1" applyBorder="1" applyAlignment="1">
      <alignment horizontal="center"/>
    </xf>
    <xf numFmtId="0" fontId="5" fillId="35" borderId="1" xfId="1248" applyFont="1" applyFill="1" applyBorder="1"/>
    <xf numFmtId="10" fontId="5" fillId="35" borderId="1" xfId="1248" applyNumberFormat="1" applyFont="1" applyFill="1" applyBorder="1" applyAlignment="1">
      <alignment horizontal="center"/>
    </xf>
    <xf numFmtId="0" fontId="4" fillId="10" borderId="0" xfId="1248" applyFont="1" applyFill="1"/>
    <xf numFmtId="0" fontId="5" fillId="10" borderId="16" xfId="1248" applyFont="1" applyFill="1" applyBorder="1" applyAlignment="1">
      <alignment horizontal="center"/>
    </xf>
    <xf numFmtId="3" fontId="5" fillId="10" borderId="1" xfId="1248" applyNumberFormat="1" applyFont="1" applyFill="1" applyBorder="1"/>
    <xf numFmtId="3" fontId="5" fillId="10" borderId="0" xfId="1248" applyNumberFormat="1" applyFont="1" applyFill="1"/>
    <xf numFmtId="170" fontId="5" fillId="10" borderId="0" xfId="1248" applyNumberFormat="1" applyFont="1" applyFill="1"/>
    <xf numFmtId="3" fontId="5" fillId="38" borderId="1" xfId="1248" applyNumberFormat="1" applyFont="1" applyFill="1" applyBorder="1" applyAlignment="1">
      <alignment horizontal="center"/>
    </xf>
    <xf numFmtId="3" fontId="5" fillId="37" borderId="1" xfId="1248" applyNumberFormat="1" applyFont="1" applyFill="1" applyBorder="1" applyAlignment="1">
      <alignment horizontal="center"/>
    </xf>
    <xf numFmtId="0" fontId="5" fillId="2" borderId="1" xfId="1248" applyFont="1" applyFill="1" applyBorder="1"/>
    <xf numFmtId="171" fontId="5" fillId="10" borderId="1" xfId="1248" applyNumberFormat="1" applyFont="1" applyFill="1" applyBorder="1" applyAlignment="1">
      <alignment horizontal="center"/>
    </xf>
    <xf numFmtId="171" fontId="5" fillId="10" borderId="1" xfId="1248" applyNumberFormat="1" applyFont="1" applyFill="1" applyBorder="1"/>
    <xf numFmtId="9" fontId="4" fillId="0" borderId="17" xfId="1286" applyNumberFormat="1" applyFont="1" applyBorder="1" applyAlignment="1" applyProtection="1">
      <alignment vertical="top"/>
    </xf>
    <xf numFmtId="0" fontId="32" fillId="10" borderId="1" xfId="1260" applyFont="1" applyFill="1" applyBorder="1" applyAlignment="1" applyProtection="1">
      <alignment horizontal="left" vertical="top"/>
    </xf>
    <xf numFmtId="0" fontId="32" fillId="10" borderId="1" xfId="1297" applyFont="1" applyFill="1" applyBorder="1" applyAlignment="1" applyProtection="1">
      <alignment horizontal="left" vertical="top"/>
    </xf>
    <xf numFmtId="0" fontId="8" fillId="0" borderId="0" xfId="1286"/>
    <xf numFmtId="0" fontId="5" fillId="0" borderId="0" xfId="1286" applyFont="1" applyBorder="1" applyAlignment="1" applyProtection="1">
      <alignment horizontal="left" vertical="top"/>
    </xf>
    <xf numFmtId="0" fontId="4" fillId="0" borderId="17" xfId="1286" applyFont="1" applyBorder="1" applyAlignment="1" applyProtection="1">
      <alignment horizontal="left" vertical="top"/>
    </xf>
    <xf numFmtId="165" fontId="5" fillId="0" borderId="23" xfId="1286" applyNumberFormat="1" applyFont="1" applyBorder="1" applyAlignment="1" applyProtection="1">
      <alignment horizontal="center" vertical="top"/>
    </xf>
    <xf numFmtId="0" fontId="5" fillId="0" borderId="0" xfId="1286" quotePrefix="1" applyFont="1" applyBorder="1" applyAlignment="1" applyProtection="1">
      <alignment horizontal="left" vertical="top"/>
    </xf>
    <xf numFmtId="0" fontId="4" fillId="0" borderId="0" xfId="1286" applyFont="1" applyBorder="1" applyAlignment="1" applyProtection="1">
      <alignment horizontal="left" vertical="top"/>
    </xf>
    <xf numFmtId="165" fontId="5" fillId="0" borderId="23" xfId="1286" applyNumberFormat="1" applyFont="1" applyBorder="1" applyAlignment="1">
      <alignment horizontal="center" vertical="top"/>
    </xf>
    <xf numFmtId="0" fontId="5" fillId="0" borderId="24" xfId="1286" applyFont="1" applyBorder="1" applyAlignment="1" applyProtection="1">
      <alignment horizontal="center" vertical="top"/>
    </xf>
    <xf numFmtId="165" fontId="4" fillId="0" borderId="23" xfId="1286" applyNumberFormat="1" applyFont="1" applyBorder="1" applyAlignment="1" applyProtection="1">
      <alignment horizontal="center" vertical="top"/>
    </xf>
    <xf numFmtId="0" fontId="7" fillId="0" borderId="0" xfId="1286" applyFont="1" applyBorder="1" applyAlignment="1">
      <alignment vertical="top"/>
    </xf>
    <xf numFmtId="0" fontId="4" fillId="0" borderId="21" xfId="1286" applyFont="1" applyBorder="1" applyAlignment="1" applyProtection="1">
      <alignment horizontal="left" vertical="top"/>
    </xf>
    <xf numFmtId="0" fontId="4" fillId="0" borderId="20" xfId="1286" applyFont="1" applyBorder="1" applyAlignment="1" applyProtection="1">
      <alignment horizontal="center" vertical="top"/>
    </xf>
    <xf numFmtId="0" fontId="4" fillId="0" borderId="24" xfId="1286" applyFont="1" applyBorder="1" applyAlignment="1" applyProtection="1">
      <alignment horizontal="center" vertical="top"/>
    </xf>
    <xf numFmtId="0" fontId="4" fillId="0" borderId="17" xfId="1286" applyFont="1" applyBorder="1" applyAlignment="1">
      <alignment horizontal="left" vertical="top"/>
    </xf>
    <xf numFmtId="0" fontId="4" fillId="0" borderId="21" xfId="1286" applyFont="1" applyBorder="1" applyAlignment="1" applyProtection="1">
      <alignment horizontal="right" vertical="top"/>
    </xf>
    <xf numFmtId="165" fontId="4" fillId="35" borderId="23" xfId="1286" applyNumberFormat="1" applyFont="1" applyFill="1" applyBorder="1" applyAlignment="1" applyProtection="1">
      <alignment horizontal="center" vertical="top"/>
    </xf>
    <xf numFmtId="0" fontId="4" fillId="35" borderId="0" xfId="1286" applyFont="1" applyFill="1" applyBorder="1" applyAlignment="1" applyProtection="1">
      <alignment horizontal="left" vertical="top"/>
    </xf>
    <xf numFmtId="165" fontId="4" fillId="0" borderId="23" xfId="1286" applyNumberFormat="1" applyFont="1" applyFill="1" applyBorder="1" applyAlignment="1" applyProtection="1">
      <alignment horizontal="center" vertical="top"/>
    </xf>
    <xf numFmtId="0" fontId="4" fillId="0" borderId="0" xfId="1286" applyFont="1" applyFill="1" applyBorder="1" applyAlignment="1" applyProtection="1">
      <alignment horizontal="left" vertical="top"/>
    </xf>
    <xf numFmtId="3" fontId="34" fillId="0" borderId="0" xfId="1286" applyNumberFormat="1" applyFont="1" applyBorder="1" applyAlignment="1" applyProtection="1">
      <alignment vertical="top"/>
    </xf>
    <xf numFmtId="3" fontId="34" fillId="0" borderId="0" xfId="1286" applyNumberFormat="1" applyFont="1" applyBorder="1" applyAlignment="1">
      <alignment vertical="top"/>
    </xf>
    <xf numFmtId="3" fontId="34" fillId="0" borderId="0" xfId="1286" applyNumberFormat="1" applyFont="1" applyFill="1" applyBorder="1" applyAlignment="1" applyProtection="1">
      <alignment vertical="top"/>
    </xf>
    <xf numFmtId="3" fontId="34" fillId="0" borderId="17" xfId="1286" applyNumberFormat="1" applyFont="1" applyBorder="1" applyAlignment="1" applyProtection="1">
      <alignment vertical="top"/>
    </xf>
    <xf numFmtId="3" fontId="34" fillId="35" borderId="0" xfId="1286" applyNumberFormat="1" applyFont="1" applyFill="1" applyBorder="1" applyAlignment="1" applyProtection="1">
      <alignment vertical="top"/>
    </xf>
    <xf numFmtId="3" fontId="34" fillId="0" borderId="13" xfId="1286" applyNumberFormat="1" applyFont="1" applyBorder="1" applyAlignment="1" applyProtection="1">
      <alignment vertical="top"/>
    </xf>
    <xf numFmtId="0" fontId="5" fillId="10" borderId="0" xfId="1286" applyFont="1" applyFill="1" applyBorder="1" applyAlignment="1" applyProtection="1">
      <alignment horizontal="center" vertical="top"/>
    </xf>
    <xf numFmtId="0" fontId="4" fillId="10" borderId="0" xfId="1286" applyFont="1" applyFill="1" applyBorder="1" applyAlignment="1" applyProtection="1">
      <alignment horizontal="left" vertical="top"/>
    </xf>
    <xf numFmtId="1" fontId="34" fillId="10" borderId="0" xfId="1286" applyNumberFormat="1" applyFont="1" applyFill="1" applyBorder="1" applyAlignment="1" applyProtection="1">
      <alignment vertical="top"/>
    </xf>
    <xf numFmtId="0" fontId="34" fillId="10" borderId="0" xfId="1286" applyFont="1" applyFill="1" applyBorder="1" applyAlignment="1" applyProtection="1">
      <alignment vertical="top"/>
    </xf>
    <xf numFmtId="0" fontId="5" fillId="10" borderId="0" xfId="1286" applyFont="1" applyFill="1" applyAlignment="1">
      <alignment horizontal="center" vertical="top"/>
    </xf>
    <xf numFmtId="0" fontId="5" fillId="10" borderId="0" xfId="1286" applyFont="1" applyFill="1" applyAlignment="1">
      <alignment horizontal="left" vertical="top"/>
    </xf>
    <xf numFmtId="1" fontId="5" fillId="10" borderId="0" xfId="1286" applyNumberFormat="1" applyFont="1" applyFill="1" applyAlignment="1">
      <alignment vertical="top"/>
    </xf>
    <xf numFmtId="169" fontId="34" fillId="10" borderId="0" xfId="1286" applyNumberFormat="1" applyFont="1" applyFill="1" applyAlignment="1">
      <alignment vertical="top"/>
    </xf>
    <xf numFmtId="1" fontId="34" fillId="10" borderId="0" xfId="1286" applyNumberFormat="1" applyFont="1" applyFill="1" applyAlignment="1">
      <alignment vertical="top"/>
    </xf>
    <xf numFmtId="0" fontId="4" fillId="36" borderId="0" xfId="1286" quotePrefix="1" applyFont="1" applyFill="1" applyBorder="1" applyAlignment="1" applyProtection="1">
      <alignment horizontal="left" vertical="top"/>
    </xf>
    <xf numFmtId="0" fontId="5" fillId="40" borderId="1" xfId="1286" applyFont="1" applyFill="1" applyBorder="1" applyAlignment="1">
      <alignment horizontal="left" vertical="top"/>
    </xf>
    <xf numFmtId="1" fontId="34" fillId="10" borderId="1" xfId="1286" applyNumberFormat="1" applyFont="1" applyFill="1" applyBorder="1" applyAlignment="1">
      <alignment vertical="top"/>
    </xf>
    <xf numFmtId="0" fontId="5" fillId="40" borderId="0" xfId="1286" applyFont="1" applyFill="1" applyBorder="1" applyAlignment="1" applyProtection="1">
      <alignment horizontal="left" vertical="top"/>
    </xf>
    <xf numFmtId="3" fontId="34" fillId="40" borderId="0" xfId="1286" applyNumberFormat="1" applyFont="1" applyFill="1" applyBorder="1" applyAlignment="1" applyProtection="1">
      <alignment vertical="top"/>
    </xf>
    <xf numFmtId="0" fontId="40" fillId="35" borderId="1" xfId="1271" applyFont="1" applyFill="1" applyBorder="1" applyAlignment="1" applyProtection="1">
      <alignment horizontal="left" vertical="top"/>
    </xf>
    <xf numFmtId="0" fontId="32" fillId="0" borderId="1" xfId="1271" applyFont="1" applyBorder="1" applyAlignment="1">
      <alignment horizontal="center" vertical="top"/>
    </xf>
    <xf numFmtId="0" fontId="32" fillId="0" borderId="25" xfId="1271" applyFont="1" applyBorder="1" applyAlignment="1" applyProtection="1">
      <alignment horizontal="left" vertical="top"/>
    </xf>
    <xf numFmtId="0" fontId="32" fillId="35" borderId="15" xfId="1271" applyFont="1" applyFill="1" applyBorder="1" applyAlignment="1">
      <alignment horizontal="center" vertical="top"/>
    </xf>
    <xf numFmtId="1" fontId="1" fillId="5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37" borderId="1" xfId="0" applyFill="1" applyBorder="1"/>
    <xf numFmtId="1" fontId="0" fillId="37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9" fontId="0" fillId="0" borderId="1" xfId="0" applyNumberFormat="1" applyFill="1" applyBorder="1"/>
    <xf numFmtId="0" fontId="1" fillId="0" borderId="0" xfId="0" applyFont="1" applyAlignment="1">
      <alignment horizontal="center"/>
    </xf>
    <xf numFmtId="0" fontId="1" fillId="37" borderId="1" xfId="0" applyFont="1" applyFill="1" applyBorder="1"/>
    <xf numFmtId="0" fontId="0" fillId="37" borderId="1" xfId="0" applyFill="1" applyBorder="1" applyAlignment="1">
      <alignment horizontal="center"/>
    </xf>
    <xf numFmtId="0" fontId="1" fillId="3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16" xfId="0" applyBorder="1"/>
    <xf numFmtId="1" fontId="33" fillId="0" borderId="1" xfId="1086" applyNumberFormat="1" applyFont="1" applyBorder="1" applyAlignment="1" applyProtection="1">
      <alignment horizontal="center" vertical="top"/>
    </xf>
    <xf numFmtId="0" fontId="1" fillId="0" borderId="1" xfId="0" applyFont="1" applyBorder="1" applyAlignment="1">
      <alignment horizontal="left"/>
    </xf>
    <xf numFmtId="0" fontId="1" fillId="36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5" fillId="10" borderId="26" xfId="1248" applyFont="1" applyFill="1" applyBorder="1"/>
    <xf numFmtId="0" fontId="5" fillId="10" borderId="26" xfId="1248" applyFont="1" applyFill="1" applyBorder="1" applyAlignment="1">
      <alignment horizontal="center"/>
    </xf>
    <xf numFmtId="10" fontId="0" fillId="0" borderId="0" xfId="0" applyNumberFormat="1"/>
    <xf numFmtId="0" fontId="40" fillId="35" borderId="1" xfId="1260" quotePrefix="1" applyFont="1" applyFill="1" applyBorder="1" applyAlignment="1" applyProtection="1">
      <alignment horizontal="left" vertical="top"/>
    </xf>
    <xf numFmtId="0" fontId="40" fillId="41" borderId="1" xfId="1297" quotePrefix="1" applyFont="1" applyFill="1" applyBorder="1" applyAlignment="1" applyProtection="1">
      <alignment horizontal="left" vertical="top"/>
    </xf>
    <xf numFmtId="10" fontId="5" fillId="37" borderId="1" xfId="1248" applyNumberFormat="1" applyFont="1" applyFill="1" applyBorder="1" applyAlignment="1">
      <alignment horizontal="center"/>
    </xf>
    <xf numFmtId="0" fontId="41" fillId="0" borderId="0" xfId="0" applyFont="1" applyBorder="1" applyAlignment="1"/>
    <xf numFmtId="0" fontId="41" fillId="0" borderId="0" xfId="0" applyFont="1" applyBorder="1" applyAlignment="1">
      <alignment vertical="top"/>
    </xf>
    <xf numFmtId="2" fontId="41" fillId="0" borderId="0" xfId="0" applyNumberFormat="1" applyFont="1" applyBorder="1" applyAlignment="1"/>
    <xf numFmtId="0" fontId="42" fillId="0" borderId="0" xfId="0" applyFont="1" applyBorder="1" applyAlignment="1">
      <alignment vertical="center"/>
    </xf>
    <xf numFmtId="9" fontId="42" fillId="0" borderId="0" xfId="0" applyNumberFormat="1" applyFont="1" applyBorder="1" applyAlignment="1">
      <alignment vertical="center"/>
    </xf>
    <xf numFmtId="9" fontId="41" fillId="0" borderId="0" xfId="0" applyNumberFormat="1" applyFont="1" applyBorder="1" applyAlignment="1"/>
    <xf numFmtId="1" fontId="42" fillId="0" borderId="0" xfId="0" applyNumberFormat="1" applyFont="1" applyBorder="1" applyAlignment="1">
      <alignment vertical="center"/>
    </xf>
    <xf numFmtId="1" fontId="41" fillId="0" borderId="0" xfId="0" applyNumberFormat="1" applyFont="1" applyBorder="1" applyAlignment="1"/>
    <xf numFmtId="165" fontId="41" fillId="0" borderId="0" xfId="0" applyNumberFormat="1" applyFont="1" applyBorder="1" applyAlignment="1"/>
    <xf numFmtId="1" fontId="41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Border="1" applyAlignment="1">
      <alignment horizontal="center" vertical="top"/>
    </xf>
    <xf numFmtId="9" fontId="41" fillId="0" borderId="0" xfId="0" applyNumberFormat="1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1" fillId="3" borderId="1" xfId="0" applyFont="1" applyFill="1" applyBorder="1" applyAlignment="1">
      <alignment horizontal="right"/>
    </xf>
    <xf numFmtId="0" fontId="0" fillId="0" borderId="15" xfId="0" applyFill="1" applyBorder="1"/>
    <xf numFmtId="0" fontId="33" fillId="35" borderId="15" xfId="1232" applyFont="1" applyFill="1" applyBorder="1" applyAlignment="1" applyProtection="1">
      <alignment horizontal="left" vertical="top"/>
    </xf>
    <xf numFmtId="0" fontId="33" fillId="0" borderId="15" xfId="1232" applyFont="1" applyFill="1" applyBorder="1" applyAlignment="1" applyProtection="1">
      <alignment horizontal="left" vertical="top"/>
    </xf>
    <xf numFmtId="0" fontId="33" fillId="0" borderId="15" xfId="1232" applyFont="1" applyBorder="1" applyAlignment="1" applyProtection="1">
      <alignment horizontal="left" vertical="top"/>
    </xf>
    <xf numFmtId="0" fontId="33" fillId="0" borderId="15" xfId="1232" quotePrefix="1" applyFont="1" applyBorder="1" applyAlignment="1" applyProtection="1">
      <alignment horizontal="left" vertical="top"/>
    </xf>
    <xf numFmtId="0" fontId="37" fillId="0" borderId="15" xfId="1232" quotePrefix="1" applyFont="1" applyBorder="1" applyAlignment="1" applyProtection="1">
      <alignment horizontal="left" vertical="top"/>
    </xf>
    <xf numFmtId="0" fontId="37" fillId="2" borderId="15" xfId="1232" quotePrefix="1" applyFont="1" applyFill="1" applyBorder="1" applyAlignment="1" applyProtection="1">
      <alignment horizontal="left" vertical="top"/>
    </xf>
    <xf numFmtId="0" fontId="37" fillId="0" borderId="15" xfId="1232" applyFont="1" applyBorder="1" applyAlignment="1" applyProtection="1">
      <alignment horizontal="left" vertical="top"/>
    </xf>
    <xf numFmtId="0" fontId="33" fillId="35" borderId="15" xfId="1232" quotePrefix="1" applyFont="1" applyFill="1" applyBorder="1" applyAlignment="1" applyProtection="1">
      <alignment horizontal="left" vertical="top"/>
    </xf>
    <xf numFmtId="0" fontId="37" fillId="2" borderId="15" xfId="1232" applyFont="1" applyFill="1" applyBorder="1" applyAlignment="1" applyProtection="1">
      <alignment horizontal="left" vertical="top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1286" applyFont="1" applyBorder="1" applyAlignment="1" applyProtection="1">
      <alignment horizontal="right" vertical="top"/>
    </xf>
    <xf numFmtId="0" fontId="5" fillId="0" borderId="0" xfId="1286" applyFont="1" applyFill="1" applyBorder="1" applyAlignment="1" applyProtection="1">
      <alignment horizontal="right" vertical="top"/>
    </xf>
    <xf numFmtId="0" fontId="5" fillId="0" borderId="0" xfId="1286" quotePrefix="1" applyFont="1" applyBorder="1" applyAlignment="1" applyProtection="1">
      <alignment horizontal="right" vertical="top"/>
    </xf>
    <xf numFmtId="3" fontId="5" fillId="0" borderId="0" xfId="1286" applyNumberFormat="1" applyFont="1" applyBorder="1" applyAlignment="1" applyProtection="1">
      <alignment horizontal="right" vertical="top"/>
    </xf>
    <xf numFmtId="3" fontId="34" fillId="40" borderId="0" xfId="1286" applyNumberFormat="1" applyFont="1" applyFill="1" applyBorder="1" applyAlignment="1" applyProtection="1">
      <alignment horizontal="right" vertical="top"/>
    </xf>
    <xf numFmtId="0" fontId="4" fillId="0" borderId="0" xfId="1286" quotePrefix="1" applyFont="1" applyFill="1" applyBorder="1" applyAlignment="1" applyProtection="1">
      <alignment horizontal="right" vertical="top"/>
    </xf>
    <xf numFmtId="0" fontId="40" fillId="35" borderId="1" xfId="1260" quotePrefix="1" applyFont="1" applyFill="1" applyBorder="1" applyAlignment="1" applyProtection="1">
      <alignment horizontal="right" vertical="top"/>
    </xf>
    <xf numFmtId="1" fontId="32" fillId="38" borderId="1" xfId="1260" applyNumberFormat="1" applyFont="1" applyFill="1" applyBorder="1" applyAlignment="1" applyProtection="1">
      <alignment horizontal="right" vertical="top"/>
    </xf>
    <xf numFmtId="0" fontId="0" fillId="0" borderId="0" xfId="0" applyAlignment="1">
      <alignment horizontal="right"/>
    </xf>
    <xf numFmtId="0" fontId="40" fillId="41" borderId="1" xfId="1297" quotePrefix="1" applyFont="1" applyFill="1" applyBorder="1" applyAlignment="1" applyProtection="1">
      <alignment horizontal="right" vertical="top"/>
    </xf>
    <xf numFmtId="1" fontId="32" fillId="38" borderId="1" xfId="1297" applyNumberFormat="1" applyFont="1" applyFill="1" applyBorder="1" applyAlignment="1" applyProtection="1">
      <alignment horizontal="right" vertical="top"/>
    </xf>
    <xf numFmtId="1" fontId="32" fillId="0" borderId="14" xfId="1297" applyNumberFormat="1" applyFont="1" applyFill="1" applyBorder="1" applyAlignment="1" applyProtection="1">
      <alignment horizontal="right" vertical="top"/>
    </xf>
    <xf numFmtId="0" fontId="32" fillId="0" borderId="1" xfId="1271" applyFont="1" applyBorder="1" applyAlignment="1">
      <alignment horizontal="right" vertical="top"/>
    </xf>
    <xf numFmtId="0" fontId="40" fillId="35" borderId="1" xfId="1271" applyFont="1" applyFill="1" applyBorder="1" applyAlignment="1" applyProtection="1">
      <alignment horizontal="right" vertical="top"/>
    </xf>
    <xf numFmtId="0" fontId="0" fillId="0" borderId="1" xfId="0" applyBorder="1" applyAlignment="1">
      <alignment horizontal="right"/>
    </xf>
    <xf numFmtId="0" fontId="5" fillId="10" borderId="0" xfId="1286" applyFont="1" applyFill="1" applyAlignment="1">
      <alignment horizontal="right" vertical="top"/>
    </xf>
    <xf numFmtId="0" fontId="4" fillId="0" borderId="17" xfId="1286" applyFont="1" applyBorder="1" applyAlignment="1">
      <alignment horizontal="right" vertical="top"/>
    </xf>
    <xf numFmtId="0" fontId="4" fillId="0" borderId="0" xfId="1286" applyFont="1" applyBorder="1" applyAlignment="1" applyProtection="1">
      <alignment horizontal="right" vertical="top"/>
    </xf>
    <xf numFmtId="0" fontId="4" fillId="35" borderId="0" xfId="1286" applyFont="1" applyFill="1" applyBorder="1" applyAlignment="1" applyProtection="1">
      <alignment horizontal="right" vertical="top"/>
    </xf>
    <xf numFmtId="0" fontId="4" fillId="0" borderId="0" xfId="1286" applyFont="1" applyFill="1" applyBorder="1" applyAlignment="1" applyProtection="1">
      <alignment horizontal="right" vertical="top"/>
    </xf>
    <xf numFmtId="0" fontId="4" fillId="10" borderId="0" xfId="1286" applyFont="1" applyFill="1" applyBorder="1" applyAlignment="1" applyProtection="1">
      <alignment horizontal="right" vertical="top"/>
    </xf>
    <xf numFmtId="0" fontId="5" fillId="40" borderId="1" xfId="1286" applyFont="1" applyFill="1" applyBorder="1" applyAlignment="1">
      <alignment horizontal="right" vertical="top"/>
    </xf>
    <xf numFmtId="0" fontId="32" fillId="10" borderId="1" xfId="1260" applyFont="1" applyFill="1" applyBorder="1" applyAlignment="1" applyProtection="1">
      <alignment horizontal="right" vertical="top"/>
    </xf>
    <xf numFmtId="0" fontId="32" fillId="10" borderId="1" xfId="1297" applyFont="1" applyFill="1" applyBorder="1" applyAlignment="1" applyProtection="1">
      <alignment horizontal="right" vertical="top"/>
    </xf>
    <xf numFmtId="0" fontId="32" fillId="10" borderId="14" xfId="1297" applyFont="1" applyFill="1" applyBorder="1" applyAlignment="1" applyProtection="1">
      <alignment horizontal="right" vertical="top"/>
    </xf>
    <xf numFmtId="0" fontId="32" fillId="0" borderId="25" xfId="1271" applyFont="1" applyBorder="1" applyAlignment="1" applyProtection="1">
      <alignment horizontal="right" vertical="top"/>
    </xf>
    <xf numFmtId="1" fontId="5" fillId="0" borderId="0" xfId="1286" applyNumberFormat="1" applyFont="1" applyBorder="1" applyAlignment="1" applyProtection="1">
      <alignment horizontal="right" vertical="top"/>
    </xf>
    <xf numFmtId="1" fontId="5" fillId="40" borderId="0" xfId="1286" applyNumberFormat="1" applyFont="1" applyFill="1" applyBorder="1" applyAlignment="1" applyProtection="1">
      <alignment horizontal="right" vertical="top"/>
    </xf>
    <xf numFmtId="0" fontId="33" fillId="35" borderId="1" xfId="1157" quotePrefix="1" applyFont="1" applyFill="1" applyBorder="1" applyAlignment="1">
      <alignment horizontal="center"/>
    </xf>
    <xf numFmtId="0" fontId="0" fillId="37" borderId="1" xfId="1" applyNumberFormat="1" applyFont="1" applyFill="1" applyBorder="1" applyAlignment="1">
      <alignment horizontal="center"/>
    </xf>
    <xf numFmtId="0" fontId="4" fillId="0" borderId="13" xfId="1205" applyFont="1" applyBorder="1" applyAlignment="1" applyProtection="1">
      <alignment horizontal="center" vertical="top"/>
    </xf>
    <xf numFmtId="0" fontId="0" fillId="0" borderId="0" xfId="0" applyBorder="1" applyAlignment="1">
      <alignment horizontal="right"/>
    </xf>
    <xf numFmtId="0" fontId="5" fillId="0" borderId="0" xfId="1286" applyFont="1" applyFill="1" applyBorder="1" applyAlignment="1" applyProtection="1">
      <alignment horizontal="left" vertical="top"/>
    </xf>
    <xf numFmtId="3" fontId="46" fillId="37" borderId="1" xfId="0" applyNumberFormat="1" applyFont="1" applyFill="1" applyBorder="1" applyAlignment="1">
      <alignment horizontal="center"/>
    </xf>
    <xf numFmtId="1" fontId="0" fillId="37" borderId="14" xfId="0" applyNumberFormat="1" applyFill="1" applyBorder="1" applyAlignment="1">
      <alignment horizontal="center"/>
    </xf>
    <xf numFmtId="0" fontId="0" fillId="39" borderId="26" xfId="0" applyFill="1" applyBorder="1"/>
    <xf numFmtId="9" fontId="0" fillId="0" borderId="0" xfId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37" borderId="1" xfId="0" applyFill="1" applyBorder="1" applyAlignment="1">
      <alignment horizontal="right"/>
    </xf>
    <xf numFmtId="0" fontId="30" fillId="0" borderId="0" xfId="1310"/>
    <xf numFmtId="0" fontId="44" fillId="0" borderId="0" xfId="1310" applyFont="1" applyBorder="1" applyAlignment="1"/>
    <xf numFmtId="0" fontId="41" fillId="0" borderId="0" xfId="1310" applyFont="1" applyBorder="1" applyAlignment="1">
      <alignment horizontal="left"/>
    </xf>
    <xf numFmtId="0" fontId="44" fillId="0" borderId="0" xfId="1310" applyFont="1" applyBorder="1" applyAlignment="1">
      <alignment horizontal="left"/>
    </xf>
    <xf numFmtId="0" fontId="43" fillId="0" borderId="0" xfId="1310" applyFont="1" applyBorder="1" applyAlignment="1">
      <alignment horizontal="left"/>
    </xf>
    <xf numFmtId="165" fontId="41" fillId="0" borderId="0" xfId="1310" applyNumberFormat="1" applyFont="1" applyBorder="1" applyAlignment="1">
      <alignment horizontal="center"/>
    </xf>
    <xf numFmtId="165" fontId="43" fillId="0" borderId="0" xfId="1310" applyNumberFormat="1" applyFont="1" applyBorder="1" applyAlignment="1">
      <alignment horizontal="center"/>
    </xf>
    <xf numFmtId="0" fontId="43" fillId="42" borderId="1" xfId="1310" applyFont="1" applyFill="1" applyBorder="1" applyAlignment="1">
      <alignment horizontal="left"/>
    </xf>
    <xf numFmtId="10" fontId="43" fillId="42" borderId="1" xfId="1313" applyNumberFormat="1" applyFont="1" applyFill="1" applyBorder="1" applyAlignment="1">
      <alignment horizontal="left"/>
    </xf>
    <xf numFmtId="0" fontId="43" fillId="42" borderId="1" xfId="1310" applyFont="1" applyFill="1" applyBorder="1" applyAlignment="1">
      <alignment horizontal="left" wrapText="1"/>
    </xf>
    <xf numFmtId="0" fontId="41" fillId="0" borderId="1" xfId="1310" applyFont="1" applyBorder="1" applyAlignment="1">
      <alignment horizontal="left"/>
    </xf>
    <xf numFmtId="0" fontId="43" fillId="0" borderId="0" xfId="1310" applyFont="1" applyBorder="1" applyAlignment="1">
      <alignment horizontal="center" vertical="center" wrapText="1"/>
    </xf>
    <xf numFmtId="164" fontId="41" fillId="0" borderId="1" xfId="1311" applyFont="1" applyBorder="1" applyAlignment="1"/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3" fillId="0" borderId="0" xfId="131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9" fontId="0" fillId="9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7" borderId="0" xfId="0" applyNumberFormat="1" applyFill="1" applyAlignment="1">
      <alignment horizontal="center"/>
    </xf>
    <xf numFmtId="0" fontId="0" fillId="2" borderId="1" xfId="0" applyFont="1" applyFill="1" applyBorder="1"/>
    <xf numFmtId="9" fontId="0" fillId="2" borderId="1" xfId="0" applyNumberFormat="1" applyFill="1" applyBorder="1" applyAlignment="1">
      <alignment horizontal="center"/>
    </xf>
    <xf numFmtId="0" fontId="33" fillId="2" borderId="1" xfId="1122" applyFont="1" applyFill="1" applyBorder="1" applyAlignment="1">
      <alignment horizontal="left" vertical="top"/>
    </xf>
    <xf numFmtId="10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0" fillId="0" borderId="1" xfId="0" applyFont="1" applyBorder="1" applyAlignment="1">
      <alignment vertical="top"/>
    </xf>
    <xf numFmtId="0" fontId="40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vertical="top"/>
    </xf>
    <xf numFmtId="0" fontId="32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vertical="top" wrapText="1"/>
    </xf>
    <xf numFmtId="0" fontId="32" fillId="0" borderId="1" xfId="0" applyFont="1" applyBorder="1" applyAlignment="1"/>
    <xf numFmtId="0" fontId="47" fillId="0" borderId="1" xfId="0" applyFont="1" applyBorder="1" applyAlignment="1"/>
    <xf numFmtId="0" fontId="40" fillId="0" borderId="1" xfId="0" applyFont="1" applyBorder="1" applyAlignment="1"/>
    <xf numFmtId="0" fontId="40" fillId="0" borderId="1" xfId="0" applyFont="1" applyBorder="1" applyAlignment="1">
      <alignment horizontal="center"/>
    </xf>
    <xf numFmtId="1" fontId="32" fillId="0" borderId="1" xfId="0" applyNumberFormat="1" applyFont="1" applyBorder="1" applyAlignment="1"/>
    <xf numFmtId="172" fontId="32" fillId="0" borderId="1" xfId="0" applyNumberFormat="1" applyFont="1" applyBorder="1" applyAlignment="1">
      <alignment vertical="top"/>
    </xf>
    <xf numFmtId="165" fontId="47" fillId="0" borderId="1" xfId="0" applyNumberFormat="1" applyFont="1" applyBorder="1" applyAlignment="1"/>
    <xf numFmtId="164" fontId="32" fillId="0" borderId="1" xfId="1309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165" fontId="32" fillId="0" borderId="1" xfId="0" applyNumberFormat="1" applyFont="1" applyBorder="1" applyAlignment="1"/>
    <xf numFmtId="1" fontId="47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/>
    <xf numFmtId="0" fontId="32" fillId="0" borderId="1" xfId="0" applyFont="1" applyBorder="1" applyAlignment="1">
      <alignment horizontal="center"/>
    </xf>
    <xf numFmtId="166" fontId="32" fillId="0" borderId="1" xfId="0" applyNumberFormat="1" applyFont="1" applyBorder="1" applyAlignment="1"/>
    <xf numFmtId="1" fontId="47" fillId="0" borderId="1" xfId="0" applyNumberFormat="1" applyFont="1" applyBorder="1" applyAlignment="1">
      <alignment horizontal="center" vertical="top"/>
    </xf>
    <xf numFmtId="0" fontId="0" fillId="0" borderId="13" xfId="0" applyBorder="1"/>
    <xf numFmtId="3" fontId="33" fillId="0" borderId="18" xfId="1206" applyNumberFormat="1" applyFont="1" applyBorder="1" applyAlignment="1">
      <alignment vertical="top"/>
    </xf>
    <xf numFmtId="3" fontId="33" fillId="0" borderId="18" xfId="1206" applyNumberFormat="1" applyFont="1" applyBorder="1" applyAlignment="1" applyProtection="1">
      <alignment horizontal="right" vertical="top"/>
    </xf>
    <xf numFmtId="3" fontId="37" fillId="0" borderId="18" xfId="1206" applyNumberFormat="1" applyFont="1" applyBorder="1" applyAlignment="1">
      <alignment vertical="top"/>
    </xf>
    <xf numFmtId="1" fontId="33" fillId="0" borderId="18" xfId="1206" applyNumberFormat="1" applyFont="1" applyBorder="1" applyAlignment="1">
      <alignment vertical="top"/>
    </xf>
    <xf numFmtId="3" fontId="37" fillId="0" borderId="19" xfId="1206" applyNumberFormat="1" applyFont="1" applyBorder="1" applyAlignment="1">
      <alignment vertical="top"/>
    </xf>
    <xf numFmtId="0" fontId="41" fillId="0" borderId="1" xfId="1310" applyFont="1" applyFill="1" applyBorder="1" applyAlignment="1">
      <alignment horizontal="left"/>
    </xf>
    <xf numFmtId="164" fontId="0" fillId="0" borderId="0" xfId="0" applyNumberFormat="1"/>
    <xf numFmtId="43" fontId="1" fillId="0" borderId="1" xfId="0" applyNumberFormat="1" applyFont="1" applyBorder="1"/>
    <xf numFmtId="1" fontId="1" fillId="36" borderId="1" xfId="0" applyNumberFormat="1" applyFont="1" applyFill="1" applyBorder="1" applyAlignment="1">
      <alignment horizontal="center"/>
    </xf>
    <xf numFmtId="3" fontId="8" fillId="0" borderId="0" xfId="1286" applyNumberFormat="1"/>
    <xf numFmtId="43" fontId="0" fillId="0" borderId="0" xfId="1309" applyFont="1"/>
    <xf numFmtId="171" fontId="1" fillId="0" borderId="0" xfId="0" applyNumberFormat="1" applyFont="1"/>
    <xf numFmtId="43" fontId="0" fillId="37" borderId="0" xfId="1309" applyFont="1" applyFill="1"/>
    <xf numFmtId="173" fontId="0" fillId="37" borderId="0" xfId="1309" applyNumberFormat="1" applyFont="1" applyFill="1"/>
    <xf numFmtId="0" fontId="0" fillId="37" borderId="0" xfId="0" applyFill="1"/>
    <xf numFmtId="43" fontId="33" fillId="10" borderId="1" xfId="1309" applyFont="1" applyFill="1" applyBorder="1" applyAlignment="1" applyProtection="1">
      <alignment horizontal="right" vertical="top"/>
    </xf>
    <xf numFmtId="43" fontId="33" fillId="10" borderId="1" xfId="1309" applyFont="1" applyFill="1" applyBorder="1" applyAlignment="1" applyProtection="1">
      <alignment horizontal="center" vertical="top"/>
    </xf>
    <xf numFmtId="1" fontId="37" fillId="10" borderId="1" xfId="1209" applyNumberFormat="1" applyFont="1" applyFill="1" applyBorder="1" applyAlignment="1">
      <alignment horizontal="right" vertical="top"/>
    </xf>
    <xf numFmtId="0" fontId="50" fillId="43" borderId="1" xfId="0" applyFont="1" applyFill="1" applyBorder="1" applyAlignment="1">
      <alignment horizontal="center"/>
    </xf>
    <xf numFmtId="0" fontId="50" fillId="43" borderId="1" xfId="0" applyFont="1" applyFill="1" applyBorder="1"/>
    <xf numFmtId="0" fontId="50" fillId="43" borderId="0" xfId="0" applyFont="1" applyFill="1"/>
    <xf numFmtId="0" fontId="50" fillId="43" borderId="1" xfId="0" applyFont="1" applyFill="1" applyBorder="1" applyAlignment="1">
      <alignment horizontal="left"/>
    </xf>
    <xf numFmtId="1" fontId="0" fillId="2" borderId="1" xfId="0" applyNumberFormat="1" applyFill="1" applyBorder="1"/>
    <xf numFmtId="3" fontId="0" fillId="2" borderId="1" xfId="0" applyNumberFormat="1" applyFill="1" applyBorder="1"/>
    <xf numFmtId="10" fontId="37" fillId="10" borderId="1" xfId="1164" applyNumberFormat="1" applyFont="1" applyFill="1" applyBorder="1" applyAlignment="1" applyProtection="1">
      <alignment horizontal="center" vertical="top"/>
    </xf>
    <xf numFmtId="164" fontId="40" fillId="0" borderId="1" xfId="1309" applyNumberFormat="1" applyFont="1" applyBorder="1" applyAlignment="1">
      <alignment horizontal="center"/>
    </xf>
    <xf numFmtId="0" fontId="0" fillId="2" borderId="1" xfId="0" applyFill="1" applyBorder="1" applyAlignment="1">
      <alignment wrapText="1"/>
    </xf>
    <xf numFmtId="0" fontId="33" fillId="0" borderId="1" xfId="0" applyFont="1" applyFill="1" applyBorder="1"/>
    <xf numFmtId="0" fontId="33" fillId="0" borderId="1" xfId="0" applyFont="1" applyFill="1" applyBorder="1" applyAlignment="1">
      <alignment horizontal="center"/>
    </xf>
    <xf numFmtId="4" fontId="5" fillId="10" borderId="1" xfId="1248" applyNumberFormat="1" applyFont="1" applyFill="1" applyBorder="1" applyAlignment="1">
      <alignment horizontal="center"/>
    </xf>
    <xf numFmtId="4" fontId="5" fillId="37" borderId="1" xfId="1248" applyNumberFormat="1" applyFont="1" applyFill="1" applyBorder="1" applyAlignment="1">
      <alignment horizontal="center"/>
    </xf>
    <xf numFmtId="0" fontId="5" fillId="0" borderId="1" xfId="1248" applyFont="1" applyBorder="1"/>
    <xf numFmtId="43" fontId="0" fillId="2" borderId="1" xfId="1314" applyFont="1" applyFill="1" applyBorder="1"/>
    <xf numFmtId="0" fontId="0" fillId="2" borderId="0" xfId="0" applyFill="1"/>
    <xf numFmtId="0" fontId="31" fillId="10" borderId="24" xfId="1077" quotePrefix="1" applyFont="1" applyFill="1" applyBorder="1" applyAlignment="1" applyProtection="1">
      <alignment horizontal="center" vertical="center"/>
    </xf>
    <xf numFmtId="0" fontId="31" fillId="10" borderId="17" xfId="1077" quotePrefix="1" applyFont="1" applyFill="1" applyBorder="1" applyAlignment="1" applyProtection="1">
      <alignment horizontal="center" vertical="center"/>
    </xf>
    <xf numFmtId="0" fontId="38" fillId="10" borderId="0" xfId="1209" applyFont="1" applyFill="1" applyAlignment="1" applyProtection="1">
      <alignment horizontal="center" vertical="top"/>
    </xf>
    <xf numFmtId="0" fontId="4" fillId="10" borderId="0" xfId="1206" applyFont="1" applyFill="1" applyAlignment="1">
      <alignment horizontal="center" vertical="top"/>
    </xf>
    <xf numFmtId="0" fontId="31" fillId="10" borderId="0" xfId="1206" quotePrefix="1" applyFont="1" applyFill="1" applyAlignment="1" applyProtection="1">
      <alignment horizontal="center" vertical="top"/>
    </xf>
    <xf numFmtId="0" fontId="31" fillId="10" borderId="24" xfId="1170" quotePrefix="1" applyFont="1" applyFill="1" applyBorder="1" applyAlignment="1" applyProtection="1">
      <alignment horizontal="center" vertical="top"/>
    </xf>
    <xf numFmtId="0" fontId="31" fillId="10" borderId="17" xfId="1170" quotePrefix="1" applyFont="1" applyFill="1" applyBorder="1" applyAlignment="1" applyProtection="1">
      <alignment horizontal="center" vertical="top"/>
    </xf>
    <xf numFmtId="0" fontId="31" fillId="10" borderId="0" xfId="1170" quotePrefix="1" applyFont="1" applyFill="1" applyBorder="1" applyAlignment="1" applyProtection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10" borderId="0" xfId="1286" applyFont="1" applyFill="1" applyAlignment="1">
      <alignment horizontal="center" vertical="top"/>
    </xf>
    <xf numFmtId="0" fontId="31" fillId="10" borderId="0" xfId="1286" quotePrefix="1" applyFont="1" applyFill="1" applyAlignment="1" applyProtection="1">
      <alignment horizontal="center" vertical="top"/>
    </xf>
    <xf numFmtId="0" fontId="5" fillId="10" borderId="17" xfId="1286" applyFont="1" applyFill="1" applyBorder="1" applyAlignment="1">
      <alignment horizontal="center" vertical="top"/>
    </xf>
  </cellXfs>
  <cellStyles count="1315">
    <cellStyle name="20% - Accent1 10" xfId="400" xr:uid="{00000000-0005-0000-0000-000000000000}"/>
    <cellStyle name="20% - Accent1 11" xfId="448" xr:uid="{00000000-0005-0000-0000-000001000000}"/>
    <cellStyle name="20% - Accent1 12" xfId="496" xr:uid="{00000000-0005-0000-0000-000002000000}"/>
    <cellStyle name="20% - Accent1 13" xfId="544" xr:uid="{00000000-0005-0000-0000-000003000000}"/>
    <cellStyle name="20% - Accent1 14" xfId="592" xr:uid="{00000000-0005-0000-0000-000004000000}"/>
    <cellStyle name="20% - Accent1 2" xfId="3" xr:uid="{00000000-0005-0000-0000-000005000000}"/>
    <cellStyle name="20% - Accent1 3" xfId="67" xr:uid="{00000000-0005-0000-0000-000006000000}"/>
    <cellStyle name="20% - Accent1 4" xfId="121" xr:uid="{00000000-0005-0000-0000-000007000000}"/>
    <cellStyle name="20% - Accent1 5" xfId="168" xr:uid="{00000000-0005-0000-0000-000008000000}"/>
    <cellStyle name="20% - Accent1 6" xfId="210" xr:uid="{00000000-0005-0000-0000-000009000000}"/>
    <cellStyle name="20% - Accent1 7" xfId="258" xr:uid="{00000000-0005-0000-0000-00000A000000}"/>
    <cellStyle name="20% - Accent1 8" xfId="305" xr:uid="{00000000-0005-0000-0000-00000B000000}"/>
    <cellStyle name="20% - Accent1 9" xfId="352" xr:uid="{00000000-0005-0000-0000-00000C000000}"/>
    <cellStyle name="20% - Accent2 10" xfId="401" xr:uid="{00000000-0005-0000-0000-00000D000000}"/>
    <cellStyle name="20% - Accent2 11" xfId="449" xr:uid="{00000000-0005-0000-0000-00000E000000}"/>
    <cellStyle name="20% - Accent2 12" xfId="497" xr:uid="{00000000-0005-0000-0000-00000F000000}"/>
    <cellStyle name="20% - Accent2 13" xfId="545" xr:uid="{00000000-0005-0000-0000-000010000000}"/>
    <cellStyle name="20% - Accent2 14" xfId="593" xr:uid="{00000000-0005-0000-0000-000011000000}"/>
    <cellStyle name="20% - Accent2 2" xfId="4" xr:uid="{00000000-0005-0000-0000-000012000000}"/>
    <cellStyle name="20% - Accent2 3" xfId="68" xr:uid="{00000000-0005-0000-0000-000013000000}"/>
    <cellStyle name="20% - Accent2 4" xfId="110" xr:uid="{00000000-0005-0000-0000-000014000000}"/>
    <cellStyle name="20% - Accent2 5" xfId="157" xr:uid="{00000000-0005-0000-0000-000015000000}"/>
    <cellStyle name="20% - Accent2 6" xfId="211" xr:uid="{00000000-0005-0000-0000-000016000000}"/>
    <cellStyle name="20% - Accent2 7" xfId="259" xr:uid="{00000000-0005-0000-0000-000017000000}"/>
    <cellStyle name="20% - Accent2 8" xfId="306" xr:uid="{00000000-0005-0000-0000-000018000000}"/>
    <cellStyle name="20% - Accent2 9" xfId="353" xr:uid="{00000000-0005-0000-0000-000019000000}"/>
    <cellStyle name="20% - Accent3 10" xfId="402" xr:uid="{00000000-0005-0000-0000-00001A000000}"/>
    <cellStyle name="20% - Accent3 11" xfId="450" xr:uid="{00000000-0005-0000-0000-00001B000000}"/>
    <cellStyle name="20% - Accent3 12" xfId="498" xr:uid="{00000000-0005-0000-0000-00001C000000}"/>
    <cellStyle name="20% - Accent3 13" xfId="546" xr:uid="{00000000-0005-0000-0000-00001D000000}"/>
    <cellStyle name="20% - Accent3 14" xfId="594" xr:uid="{00000000-0005-0000-0000-00001E000000}"/>
    <cellStyle name="20% - Accent3 2" xfId="5" xr:uid="{00000000-0005-0000-0000-00001F000000}"/>
    <cellStyle name="20% - Accent3 3" xfId="69" xr:uid="{00000000-0005-0000-0000-000020000000}"/>
    <cellStyle name="20% - Accent3 4" xfId="126" xr:uid="{00000000-0005-0000-0000-000021000000}"/>
    <cellStyle name="20% - Accent3 5" xfId="173" xr:uid="{00000000-0005-0000-0000-000022000000}"/>
    <cellStyle name="20% - Accent3 6" xfId="212" xr:uid="{00000000-0005-0000-0000-000023000000}"/>
    <cellStyle name="20% - Accent3 7" xfId="260" xr:uid="{00000000-0005-0000-0000-000024000000}"/>
    <cellStyle name="20% - Accent3 8" xfId="307" xr:uid="{00000000-0005-0000-0000-000025000000}"/>
    <cellStyle name="20% - Accent3 9" xfId="354" xr:uid="{00000000-0005-0000-0000-000026000000}"/>
    <cellStyle name="20% - Accent4 10" xfId="403" xr:uid="{00000000-0005-0000-0000-000027000000}"/>
    <cellStyle name="20% - Accent4 11" xfId="451" xr:uid="{00000000-0005-0000-0000-000028000000}"/>
    <cellStyle name="20% - Accent4 12" xfId="499" xr:uid="{00000000-0005-0000-0000-000029000000}"/>
    <cellStyle name="20% - Accent4 13" xfId="547" xr:uid="{00000000-0005-0000-0000-00002A000000}"/>
    <cellStyle name="20% - Accent4 14" xfId="595" xr:uid="{00000000-0005-0000-0000-00002B000000}"/>
    <cellStyle name="20% - Accent4 2" xfId="6" xr:uid="{00000000-0005-0000-0000-00002C000000}"/>
    <cellStyle name="20% - Accent4 3" xfId="70" xr:uid="{00000000-0005-0000-0000-00002D000000}"/>
    <cellStyle name="20% - Accent4 4" xfId="109" xr:uid="{00000000-0005-0000-0000-00002E000000}"/>
    <cellStyle name="20% - Accent4 5" xfId="156" xr:uid="{00000000-0005-0000-0000-00002F000000}"/>
    <cellStyle name="20% - Accent4 6" xfId="213" xr:uid="{00000000-0005-0000-0000-000030000000}"/>
    <cellStyle name="20% - Accent4 7" xfId="261" xr:uid="{00000000-0005-0000-0000-000031000000}"/>
    <cellStyle name="20% - Accent4 8" xfId="308" xr:uid="{00000000-0005-0000-0000-000032000000}"/>
    <cellStyle name="20% - Accent4 9" xfId="355" xr:uid="{00000000-0005-0000-0000-000033000000}"/>
    <cellStyle name="20% - Accent5 10" xfId="404" xr:uid="{00000000-0005-0000-0000-000034000000}"/>
    <cellStyle name="20% - Accent5 11" xfId="452" xr:uid="{00000000-0005-0000-0000-000035000000}"/>
    <cellStyle name="20% - Accent5 12" xfId="500" xr:uid="{00000000-0005-0000-0000-000036000000}"/>
    <cellStyle name="20% - Accent5 13" xfId="548" xr:uid="{00000000-0005-0000-0000-000037000000}"/>
    <cellStyle name="20% - Accent5 14" xfId="596" xr:uid="{00000000-0005-0000-0000-000038000000}"/>
    <cellStyle name="20% - Accent5 2" xfId="7" xr:uid="{00000000-0005-0000-0000-000039000000}"/>
    <cellStyle name="20% - Accent5 3" xfId="71" xr:uid="{00000000-0005-0000-0000-00003A000000}"/>
    <cellStyle name="20% - Accent5 4" xfId="124" xr:uid="{00000000-0005-0000-0000-00003B000000}"/>
    <cellStyle name="20% - Accent5 5" xfId="171" xr:uid="{00000000-0005-0000-0000-00003C000000}"/>
    <cellStyle name="20% - Accent5 6" xfId="214" xr:uid="{00000000-0005-0000-0000-00003D000000}"/>
    <cellStyle name="20% - Accent5 7" xfId="262" xr:uid="{00000000-0005-0000-0000-00003E000000}"/>
    <cellStyle name="20% - Accent5 8" xfId="309" xr:uid="{00000000-0005-0000-0000-00003F000000}"/>
    <cellStyle name="20% - Accent5 9" xfId="356" xr:uid="{00000000-0005-0000-0000-000040000000}"/>
    <cellStyle name="20% - Accent6 10" xfId="405" xr:uid="{00000000-0005-0000-0000-000041000000}"/>
    <cellStyle name="20% - Accent6 11" xfId="453" xr:uid="{00000000-0005-0000-0000-000042000000}"/>
    <cellStyle name="20% - Accent6 12" xfId="501" xr:uid="{00000000-0005-0000-0000-000043000000}"/>
    <cellStyle name="20% - Accent6 13" xfId="549" xr:uid="{00000000-0005-0000-0000-000044000000}"/>
    <cellStyle name="20% - Accent6 14" xfId="597" xr:uid="{00000000-0005-0000-0000-000045000000}"/>
    <cellStyle name="20% - Accent6 2" xfId="8" xr:uid="{00000000-0005-0000-0000-000046000000}"/>
    <cellStyle name="20% - Accent6 3" xfId="72" xr:uid="{00000000-0005-0000-0000-000047000000}"/>
    <cellStyle name="20% - Accent6 4" xfId="127" xr:uid="{00000000-0005-0000-0000-000048000000}"/>
    <cellStyle name="20% - Accent6 5" xfId="174" xr:uid="{00000000-0005-0000-0000-000049000000}"/>
    <cellStyle name="20% - Accent6 6" xfId="215" xr:uid="{00000000-0005-0000-0000-00004A000000}"/>
    <cellStyle name="20% - Accent6 7" xfId="263" xr:uid="{00000000-0005-0000-0000-00004B000000}"/>
    <cellStyle name="20% - Accent6 8" xfId="310" xr:uid="{00000000-0005-0000-0000-00004C000000}"/>
    <cellStyle name="20% - Accent6 9" xfId="357" xr:uid="{00000000-0005-0000-0000-00004D000000}"/>
    <cellStyle name="40% - Accent1 10" xfId="406" xr:uid="{00000000-0005-0000-0000-00004E000000}"/>
    <cellStyle name="40% - Accent1 11" xfId="454" xr:uid="{00000000-0005-0000-0000-00004F000000}"/>
    <cellStyle name="40% - Accent1 12" xfId="502" xr:uid="{00000000-0005-0000-0000-000050000000}"/>
    <cellStyle name="40% - Accent1 13" xfId="550" xr:uid="{00000000-0005-0000-0000-000051000000}"/>
    <cellStyle name="40% - Accent1 14" xfId="598" xr:uid="{00000000-0005-0000-0000-000052000000}"/>
    <cellStyle name="40% - Accent1 2" xfId="9" xr:uid="{00000000-0005-0000-0000-000053000000}"/>
    <cellStyle name="40% - Accent1 3" xfId="73" xr:uid="{00000000-0005-0000-0000-000054000000}"/>
    <cellStyle name="40% - Accent1 4" xfId="122" xr:uid="{00000000-0005-0000-0000-000055000000}"/>
    <cellStyle name="40% - Accent1 5" xfId="166" xr:uid="{00000000-0005-0000-0000-000056000000}"/>
    <cellStyle name="40% - Accent1 6" xfId="216" xr:uid="{00000000-0005-0000-0000-000057000000}"/>
    <cellStyle name="40% - Accent1 7" xfId="264" xr:uid="{00000000-0005-0000-0000-000058000000}"/>
    <cellStyle name="40% - Accent1 8" xfId="311" xr:uid="{00000000-0005-0000-0000-000059000000}"/>
    <cellStyle name="40% - Accent1 9" xfId="358" xr:uid="{00000000-0005-0000-0000-00005A000000}"/>
    <cellStyle name="40% - Accent2 10" xfId="407" xr:uid="{00000000-0005-0000-0000-00005B000000}"/>
    <cellStyle name="40% - Accent2 11" xfId="455" xr:uid="{00000000-0005-0000-0000-00005C000000}"/>
    <cellStyle name="40% - Accent2 12" xfId="503" xr:uid="{00000000-0005-0000-0000-00005D000000}"/>
    <cellStyle name="40% - Accent2 13" xfId="551" xr:uid="{00000000-0005-0000-0000-00005E000000}"/>
    <cellStyle name="40% - Accent2 14" xfId="599" xr:uid="{00000000-0005-0000-0000-00005F000000}"/>
    <cellStyle name="40% - Accent2 2" xfId="10" xr:uid="{00000000-0005-0000-0000-000060000000}"/>
    <cellStyle name="40% - Accent2 3" xfId="74" xr:uid="{00000000-0005-0000-0000-000061000000}"/>
    <cellStyle name="40% - Accent2 4" xfId="119" xr:uid="{00000000-0005-0000-0000-000062000000}"/>
    <cellStyle name="40% - Accent2 5" xfId="165" xr:uid="{00000000-0005-0000-0000-000063000000}"/>
    <cellStyle name="40% - Accent2 6" xfId="217" xr:uid="{00000000-0005-0000-0000-000064000000}"/>
    <cellStyle name="40% - Accent2 7" xfId="265" xr:uid="{00000000-0005-0000-0000-000065000000}"/>
    <cellStyle name="40% - Accent2 8" xfId="312" xr:uid="{00000000-0005-0000-0000-000066000000}"/>
    <cellStyle name="40% - Accent2 9" xfId="359" xr:uid="{00000000-0005-0000-0000-000067000000}"/>
    <cellStyle name="40% - Accent3 10" xfId="408" xr:uid="{00000000-0005-0000-0000-000068000000}"/>
    <cellStyle name="40% - Accent3 11" xfId="456" xr:uid="{00000000-0005-0000-0000-000069000000}"/>
    <cellStyle name="40% - Accent3 12" xfId="504" xr:uid="{00000000-0005-0000-0000-00006A000000}"/>
    <cellStyle name="40% - Accent3 13" xfId="552" xr:uid="{00000000-0005-0000-0000-00006B000000}"/>
    <cellStyle name="40% - Accent3 14" xfId="600" xr:uid="{00000000-0005-0000-0000-00006C000000}"/>
    <cellStyle name="40% - Accent3 2" xfId="11" xr:uid="{00000000-0005-0000-0000-00006D000000}"/>
    <cellStyle name="40% - Accent3 3" xfId="75" xr:uid="{00000000-0005-0000-0000-00006E000000}"/>
    <cellStyle name="40% - Accent3 4" xfId="118" xr:uid="{00000000-0005-0000-0000-00006F000000}"/>
    <cellStyle name="40% - Accent3 5" xfId="151" xr:uid="{00000000-0005-0000-0000-000070000000}"/>
    <cellStyle name="40% - Accent3 6" xfId="218" xr:uid="{00000000-0005-0000-0000-000071000000}"/>
    <cellStyle name="40% - Accent3 7" xfId="266" xr:uid="{00000000-0005-0000-0000-000072000000}"/>
    <cellStyle name="40% - Accent3 8" xfId="313" xr:uid="{00000000-0005-0000-0000-000073000000}"/>
    <cellStyle name="40% - Accent3 9" xfId="360" xr:uid="{00000000-0005-0000-0000-000074000000}"/>
    <cellStyle name="40% - Accent4 10" xfId="409" xr:uid="{00000000-0005-0000-0000-000075000000}"/>
    <cellStyle name="40% - Accent4 11" xfId="457" xr:uid="{00000000-0005-0000-0000-000076000000}"/>
    <cellStyle name="40% - Accent4 12" xfId="505" xr:uid="{00000000-0005-0000-0000-000077000000}"/>
    <cellStyle name="40% - Accent4 13" xfId="553" xr:uid="{00000000-0005-0000-0000-000078000000}"/>
    <cellStyle name="40% - Accent4 14" xfId="601" xr:uid="{00000000-0005-0000-0000-000079000000}"/>
    <cellStyle name="40% - Accent4 2" xfId="12" xr:uid="{00000000-0005-0000-0000-00007A000000}"/>
    <cellStyle name="40% - Accent4 3" xfId="76" xr:uid="{00000000-0005-0000-0000-00007B000000}"/>
    <cellStyle name="40% - Accent4 4" xfId="104" xr:uid="{00000000-0005-0000-0000-00007C000000}"/>
    <cellStyle name="40% - Accent4 5" xfId="149" xr:uid="{00000000-0005-0000-0000-00007D000000}"/>
    <cellStyle name="40% - Accent4 6" xfId="219" xr:uid="{00000000-0005-0000-0000-00007E000000}"/>
    <cellStyle name="40% - Accent4 7" xfId="267" xr:uid="{00000000-0005-0000-0000-00007F000000}"/>
    <cellStyle name="40% - Accent4 8" xfId="314" xr:uid="{00000000-0005-0000-0000-000080000000}"/>
    <cellStyle name="40% - Accent4 9" xfId="361" xr:uid="{00000000-0005-0000-0000-000081000000}"/>
    <cellStyle name="40% - Accent5 10" xfId="410" xr:uid="{00000000-0005-0000-0000-000082000000}"/>
    <cellStyle name="40% - Accent5 11" xfId="458" xr:uid="{00000000-0005-0000-0000-000083000000}"/>
    <cellStyle name="40% - Accent5 12" xfId="506" xr:uid="{00000000-0005-0000-0000-000084000000}"/>
    <cellStyle name="40% - Accent5 13" xfId="554" xr:uid="{00000000-0005-0000-0000-000085000000}"/>
    <cellStyle name="40% - Accent5 14" xfId="602" xr:uid="{00000000-0005-0000-0000-000086000000}"/>
    <cellStyle name="40% - Accent5 2" xfId="13" xr:uid="{00000000-0005-0000-0000-000087000000}"/>
    <cellStyle name="40% - Accent5 3" xfId="77" xr:uid="{00000000-0005-0000-0000-000088000000}"/>
    <cellStyle name="40% - Accent5 4" xfId="102" xr:uid="{00000000-0005-0000-0000-000089000000}"/>
    <cellStyle name="40% - Accent5 5" xfId="142" xr:uid="{00000000-0005-0000-0000-00008A000000}"/>
    <cellStyle name="40% - Accent5 6" xfId="220" xr:uid="{00000000-0005-0000-0000-00008B000000}"/>
    <cellStyle name="40% - Accent5 7" xfId="268" xr:uid="{00000000-0005-0000-0000-00008C000000}"/>
    <cellStyle name="40% - Accent5 8" xfId="315" xr:uid="{00000000-0005-0000-0000-00008D000000}"/>
    <cellStyle name="40% - Accent5 9" xfId="362" xr:uid="{00000000-0005-0000-0000-00008E000000}"/>
    <cellStyle name="40% - Accent6 10" xfId="411" xr:uid="{00000000-0005-0000-0000-00008F000000}"/>
    <cellStyle name="40% - Accent6 11" xfId="459" xr:uid="{00000000-0005-0000-0000-000090000000}"/>
    <cellStyle name="40% - Accent6 12" xfId="507" xr:uid="{00000000-0005-0000-0000-000091000000}"/>
    <cellStyle name="40% - Accent6 13" xfId="555" xr:uid="{00000000-0005-0000-0000-000092000000}"/>
    <cellStyle name="40% - Accent6 14" xfId="603" xr:uid="{00000000-0005-0000-0000-000093000000}"/>
    <cellStyle name="40% - Accent6 2" xfId="14" xr:uid="{00000000-0005-0000-0000-000094000000}"/>
    <cellStyle name="40% - Accent6 3" xfId="78" xr:uid="{00000000-0005-0000-0000-000095000000}"/>
    <cellStyle name="40% - Accent6 4" xfId="95" xr:uid="{00000000-0005-0000-0000-000096000000}"/>
    <cellStyle name="40% - Accent6 5" xfId="141" xr:uid="{00000000-0005-0000-0000-000097000000}"/>
    <cellStyle name="40% - Accent6 6" xfId="221" xr:uid="{00000000-0005-0000-0000-000098000000}"/>
    <cellStyle name="40% - Accent6 7" xfId="269" xr:uid="{00000000-0005-0000-0000-000099000000}"/>
    <cellStyle name="40% - Accent6 8" xfId="316" xr:uid="{00000000-0005-0000-0000-00009A000000}"/>
    <cellStyle name="40% - Accent6 9" xfId="363" xr:uid="{00000000-0005-0000-0000-00009B000000}"/>
    <cellStyle name="60% - Accent1 10" xfId="412" xr:uid="{00000000-0005-0000-0000-00009C000000}"/>
    <cellStyle name="60% - Accent1 11" xfId="460" xr:uid="{00000000-0005-0000-0000-00009D000000}"/>
    <cellStyle name="60% - Accent1 12" xfId="508" xr:uid="{00000000-0005-0000-0000-00009E000000}"/>
    <cellStyle name="60% - Accent1 13" xfId="556" xr:uid="{00000000-0005-0000-0000-00009F000000}"/>
    <cellStyle name="60% - Accent1 14" xfId="604" xr:uid="{00000000-0005-0000-0000-0000A0000000}"/>
    <cellStyle name="60% - Accent1 2" xfId="15" xr:uid="{00000000-0005-0000-0000-0000A1000000}"/>
    <cellStyle name="60% - Accent1 3" xfId="79" xr:uid="{00000000-0005-0000-0000-0000A2000000}"/>
    <cellStyle name="60% - Accent1 4" xfId="94" xr:uid="{00000000-0005-0000-0000-0000A3000000}"/>
    <cellStyle name="60% - Accent1 5" xfId="163" xr:uid="{00000000-0005-0000-0000-0000A4000000}"/>
    <cellStyle name="60% - Accent1 6" xfId="222" xr:uid="{00000000-0005-0000-0000-0000A5000000}"/>
    <cellStyle name="60% - Accent1 7" xfId="270" xr:uid="{00000000-0005-0000-0000-0000A6000000}"/>
    <cellStyle name="60% - Accent1 8" xfId="317" xr:uid="{00000000-0005-0000-0000-0000A7000000}"/>
    <cellStyle name="60% - Accent1 9" xfId="364" xr:uid="{00000000-0005-0000-0000-0000A8000000}"/>
    <cellStyle name="60% - Accent2 10" xfId="413" xr:uid="{00000000-0005-0000-0000-0000A9000000}"/>
    <cellStyle name="60% - Accent2 11" xfId="461" xr:uid="{00000000-0005-0000-0000-0000AA000000}"/>
    <cellStyle name="60% - Accent2 12" xfId="509" xr:uid="{00000000-0005-0000-0000-0000AB000000}"/>
    <cellStyle name="60% - Accent2 13" xfId="557" xr:uid="{00000000-0005-0000-0000-0000AC000000}"/>
    <cellStyle name="60% - Accent2 14" xfId="605" xr:uid="{00000000-0005-0000-0000-0000AD000000}"/>
    <cellStyle name="60% - Accent2 2" xfId="16" xr:uid="{00000000-0005-0000-0000-0000AE000000}"/>
    <cellStyle name="60% - Accent2 3" xfId="80" xr:uid="{00000000-0005-0000-0000-0000AF000000}"/>
    <cellStyle name="60% - Accent2 4" xfId="116" xr:uid="{00000000-0005-0000-0000-0000B0000000}"/>
    <cellStyle name="60% - Accent2 5" xfId="175" xr:uid="{00000000-0005-0000-0000-0000B1000000}"/>
    <cellStyle name="60% - Accent2 6" xfId="223" xr:uid="{00000000-0005-0000-0000-0000B2000000}"/>
    <cellStyle name="60% - Accent2 7" xfId="271" xr:uid="{00000000-0005-0000-0000-0000B3000000}"/>
    <cellStyle name="60% - Accent2 8" xfId="318" xr:uid="{00000000-0005-0000-0000-0000B4000000}"/>
    <cellStyle name="60% - Accent2 9" xfId="365" xr:uid="{00000000-0005-0000-0000-0000B5000000}"/>
    <cellStyle name="60% - Accent3 10" xfId="414" xr:uid="{00000000-0005-0000-0000-0000B6000000}"/>
    <cellStyle name="60% - Accent3 11" xfId="462" xr:uid="{00000000-0005-0000-0000-0000B7000000}"/>
    <cellStyle name="60% - Accent3 12" xfId="510" xr:uid="{00000000-0005-0000-0000-0000B8000000}"/>
    <cellStyle name="60% - Accent3 13" xfId="558" xr:uid="{00000000-0005-0000-0000-0000B9000000}"/>
    <cellStyle name="60% - Accent3 14" xfId="606" xr:uid="{00000000-0005-0000-0000-0000BA000000}"/>
    <cellStyle name="60% - Accent3 2" xfId="17" xr:uid="{00000000-0005-0000-0000-0000BB000000}"/>
    <cellStyle name="60% - Accent3 3" xfId="81" xr:uid="{00000000-0005-0000-0000-0000BC000000}"/>
    <cellStyle name="60% - Accent3 4" xfId="128" xr:uid="{00000000-0005-0000-0000-0000BD000000}"/>
    <cellStyle name="60% - Accent3 5" xfId="176" xr:uid="{00000000-0005-0000-0000-0000BE000000}"/>
    <cellStyle name="60% - Accent3 6" xfId="224" xr:uid="{00000000-0005-0000-0000-0000BF000000}"/>
    <cellStyle name="60% - Accent3 7" xfId="272" xr:uid="{00000000-0005-0000-0000-0000C0000000}"/>
    <cellStyle name="60% - Accent3 8" xfId="319" xr:uid="{00000000-0005-0000-0000-0000C1000000}"/>
    <cellStyle name="60% - Accent3 9" xfId="366" xr:uid="{00000000-0005-0000-0000-0000C2000000}"/>
    <cellStyle name="60% - Accent4 10" xfId="415" xr:uid="{00000000-0005-0000-0000-0000C3000000}"/>
    <cellStyle name="60% - Accent4 11" xfId="463" xr:uid="{00000000-0005-0000-0000-0000C4000000}"/>
    <cellStyle name="60% - Accent4 12" xfId="511" xr:uid="{00000000-0005-0000-0000-0000C5000000}"/>
    <cellStyle name="60% - Accent4 13" xfId="559" xr:uid="{00000000-0005-0000-0000-0000C6000000}"/>
    <cellStyle name="60% - Accent4 14" xfId="607" xr:uid="{00000000-0005-0000-0000-0000C7000000}"/>
    <cellStyle name="60% - Accent4 2" xfId="18" xr:uid="{00000000-0005-0000-0000-0000C8000000}"/>
    <cellStyle name="60% - Accent4 3" xfId="82" xr:uid="{00000000-0005-0000-0000-0000C9000000}"/>
    <cellStyle name="60% - Accent4 4" xfId="129" xr:uid="{00000000-0005-0000-0000-0000CA000000}"/>
    <cellStyle name="60% - Accent4 5" xfId="177" xr:uid="{00000000-0005-0000-0000-0000CB000000}"/>
    <cellStyle name="60% - Accent4 6" xfId="225" xr:uid="{00000000-0005-0000-0000-0000CC000000}"/>
    <cellStyle name="60% - Accent4 7" xfId="273" xr:uid="{00000000-0005-0000-0000-0000CD000000}"/>
    <cellStyle name="60% - Accent4 8" xfId="320" xr:uid="{00000000-0005-0000-0000-0000CE000000}"/>
    <cellStyle name="60% - Accent4 9" xfId="367" xr:uid="{00000000-0005-0000-0000-0000CF000000}"/>
    <cellStyle name="60% - Accent5 10" xfId="416" xr:uid="{00000000-0005-0000-0000-0000D0000000}"/>
    <cellStyle name="60% - Accent5 11" xfId="464" xr:uid="{00000000-0005-0000-0000-0000D1000000}"/>
    <cellStyle name="60% - Accent5 12" xfId="512" xr:uid="{00000000-0005-0000-0000-0000D2000000}"/>
    <cellStyle name="60% - Accent5 13" xfId="560" xr:uid="{00000000-0005-0000-0000-0000D3000000}"/>
    <cellStyle name="60% - Accent5 14" xfId="608" xr:uid="{00000000-0005-0000-0000-0000D4000000}"/>
    <cellStyle name="60% - Accent5 2" xfId="19" xr:uid="{00000000-0005-0000-0000-0000D5000000}"/>
    <cellStyle name="60% - Accent5 3" xfId="83" xr:uid="{00000000-0005-0000-0000-0000D6000000}"/>
    <cellStyle name="60% - Accent5 4" xfId="130" xr:uid="{00000000-0005-0000-0000-0000D7000000}"/>
    <cellStyle name="60% - Accent5 5" xfId="178" xr:uid="{00000000-0005-0000-0000-0000D8000000}"/>
    <cellStyle name="60% - Accent5 6" xfId="226" xr:uid="{00000000-0005-0000-0000-0000D9000000}"/>
    <cellStyle name="60% - Accent5 7" xfId="274" xr:uid="{00000000-0005-0000-0000-0000DA000000}"/>
    <cellStyle name="60% - Accent5 8" xfId="321" xr:uid="{00000000-0005-0000-0000-0000DB000000}"/>
    <cellStyle name="60% - Accent5 9" xfId="368" xr:uid="{00000000-0005-0000-0000-0000DC000000}"/>
    <cellStyle name="60% - Accent6 10" xfId="417" xr:uid="{00000000-0005-0000-0000-0000DD000000}"/>
    <cellStyle name="60% - Accent6 11" xfId="465" xr:uid="{00000000-0005-0000-0000-0000DE000000}"/>
    <cellStyle name="60% - Accent6 12" xfId="513" xr:uid="{00000000-0005-0000-0000-0000DF000000}"/>
    <cellStyle name="60% - Accent6 13" xfId="561" xr:uid="{00000000-0005-0000-0000-0000E0000000}"/>
    <cellStyle name="60% - Accent6 14" xfId="609" xr:uid="{00000000-0005-0000-0000-0000E1000000}"/>
    <cellStyle name="60% - Accent6 2" xfId="20" xr:uid="{00000000-0005-0000-0000-0000E2000000}"/>
    <cellStyle name="60% - Accent6 3" xfId="84" xr:uid="{00000000-0005-0000-0000-0000E3000000}"/>
    <cellStyle name="60% - Accent6 4" xfId="131" xr:uid="{00000000-0005-0000-0000-0000E4000000}"/>
    <cellStyle name="60% - Accent6 5" xfId="179" xr:uid="{00000000-0005-0000-0000-0000E5000000}"/>
    <cellStyle name="60% - Accent6 6" xfId="227" xr:uid="{00000000-0005-0000-0000-0000E6000000}"/>
    <cellStyle name="60% - Accent6 7" xfId="275" xr:uid="{00000000-0005-0000-0000-0000E7000000}"/>
    <cellStyle name="60% - Accent6 8" xfId="322" xr:uid="{00000000-0005-0000-0000-0000E8000000}"/>
    <cellStyle name="60% - Accent6 9" xfId="369" xr:uid="{00000000-0005-0000-0000-0000E9000000}"/>
    <cellStyle name="Accent1 10" xfId="418" xr:uid="{00000000-0005-0000-0000-0000EA000000}"/>
    <cellStyle name="Accent1 11" xfId="466" xr:uid="{00000000-0005-0000-0000-0000EB000000}"/>
    <cellStyle name="Accent1 12" xfId="514" xr:uid="{00000000-0005-0000-0000-0000EC000000}"/>
    <cellStyle name="Accent1 13" xfId="562" xr:uid="{00000000-0005-0000-0000-0000ED000000}"/>
    <cellStyle name="Accent1 14" xfId="610" xr:uid="{00000000-0005-0000-0000-0000EE000000}"/>
    <cellStyle name="Accent1 2" xfId="21" xr:uid="{00000000-0005-0000-0000-0000EF000000}"/>
    <cellStyle name="Accent1 3" xfId="85" xr:uid="{00000000-0005-0000-0000-0000F0000000}"/>
    <cellStyle name="Accent1 4" xfId="132" xr:uid="{00000000-0005-0000-0000-0000F1000000}"/>
    <cellStyle name="Accent1 5" xfId="180" xr:uid="{00000000-0005-0000-0000-0000F2000000}"/>
    <cellStyle name="Accent1 6" xfId="228" xr:uid="{00000000-0005-0000-0000-0000F3000000}"/>
    <cellStyle name="Accent1 7" xfId="276" xr:uid="{00000000-0005-0000-0000-0000F4000000}"/>
    <cellStyle name="Accent1 8" xfId="323" xr:uid="{00000000-0005-0000-0000-0000F5000000}"/>
    <cellStyle name="Accent1 9" xfId="370" xr:uid="{00000000-0005-0000-0000-0000F6000000}"/>
    <cellStyle name="Accent2 10" xfId="419" xr:uid="{00000000-0005-0000-0000-0000F7000000}"/>
    <cellStyle name="Accent2 11" xfId="467" xr:uid="{00000000-0005-0000-0000-0000F8000000}"/>
    <cellStyle name="Accent2 12" xfId="515" xr:uid="{00000000-0005-0000-0000-0000F9000000}"/>
    <cellStyle name="Accent2 13" xfId="563" xr:uid="{00000000-0005-0000-0000-0000FA000000}"/>
    <cellStyle name="Accent2 14" xfId="611" xr:uid="{00000000-0005-0000-0000-0000FB000000}"/>
    <cellStyle name="Accent2 2" xfId="22" xr:uid="{00000000-0005-0000-0000-0000FC000000}"/>
    <cellStyle name="Accent2 3" xfId="86" xr:uid="{00000000-0005-0000-0000-0000FD000000}"/>
    <cellStyle name="Accent2 4" xfId="133" xr:uid="{00000000-0005-0000-0000-0000FE000000}"/>
    <cellStyle name="Accent2 5" xfId="181" xr:uid="{00000000-0005-0000-0000-0000FF000000}"/>
    <cellStyle name="Accent2 6" xfId="229" xr:uid="{00000000-0005-0000-0000-000000010000}"/>
    <cellStyle name="Accent2 7" xfId="277" xr:uid="{00000000-0005-0000-0000-000001010000}"/>
    <cellStyle name="Accent2 8" xfId="324" xr:uid="{00000000-0005-0000-0000-000002010000}"/>
    <cellStyle name="Accent2 9" xfId="371" xr:uid="{00000000-0005-0000-0000-000003010000}"/>
    <cellStyle name="Accent3 10" xfId="420" xr:uid="{00000000-0005-0000-0000-000004010000}"/>
    <cellStyle name="Accent3 11" xfId="468" xr:uid="{00000000-0005-0000-0000-000005010000}"/>
    <cellStyle name="Accent3 12" xfId="516" xr:uid="{00000000-0005-0000-0000-000006010000}"/>
    <cellStyle name="Accent3 13" xfId="564" xr:uid="{00000000-0005-0000-0000-000007010000}"/>
    <cellStyle name="Accent3 14" xfId="612" xr:uid="{00000000-0005-0000-0000-000008010000}"/>
    <cellStyle name="Accent3 2" xfId="23" xr:uid="{00000000-0005-0000-0000-000009010000}"/>
    <cellStyle name="Accent3 3" xfId="87" xr:uid="{00000000-0005-0000-0000-00000A010000}"/>
    <cellStyle name="Accent3 4" xfId="134" xr:uid="{00000000-0005-0000-0000-00000B010000}"/>
    <cellStyle name="Accent3 5" xfId="182" xr:uid="{00000000-0005-0000-0000-00000C010000}"/>
    <cellStyle name="Accent3 6" xfId="230" xr:uid="{00000000-0005-0000-0000-00000D010000}"/>
    <cellStyle name="Accent3 7" xfId="278" xr:uid="{00000000-0005-0000-0000-00000E010000}"/>
    <cellStyle name="Accent3 8" xfId="325" xr:uid="{00000000-0005-0000-0000-00000F010000}"/>
    <cellStyle name="Accent3 9" xfId="372" xr:uid="{00000000-0005-0000-0000-000010010000}"/>
    <cellStyle name="Accent4 10" xfId="421" xr:uid="{00000000-0005-0000-0000-000011010000}"/>
    <cellStyle name="Accent4 11" xfId="469" xr:uid="{00000000-0005-0000-0000-000012010000}"/>
    <cellStyle name="Accent4 12" xfId="517" xr:uid="{00000000-0005-0000-0000-000013010000}"/>
    <cellStyle name="Accent4 13" xfId="565" xr:uid="{00000000-0005-0000-0000-000014010000}"/>
    <cellStyle name="Accent4 14" xfId="613" xr:uid="{00000000-0005-0000-0000-000015010000}"/>
    <cellStyle name="Accent4 2" xfId="24" xr:uid="{00000000-0005-0000-0000-000016010000}"/>
    <cellStyle name="Accent4 3" xfId="88" xr:uid="{00000000-0005-0000-0000-000017010000}"/>
    <cellStyle name="Accent4 4" xfId="135" xr:uid="{00000000-0005-0000-0000-000018010000}"/>
    <cellStyle name="Accent4 5" xfId="183" xr:uid="{00000000-0005-0000-0000-000019010000}"/>
    <cellStyle name="Accent4 6" xfId="231" xr:uid="{00000000-0005-0000-0000-00001A010000}"/>
    <cellStyle name="Accent4 7" xfId="279" xr:uid="{00000000-0005-0000-0000-00001B010000}"/>
    <cellStyle name="Accent4 8" xfId="326" xr:uid="{00000000-0005-0000-0000-00001C010000}"/>
    <cellStyle name="Accent4 9" xfId="373" xr:uid="{00000000-0005-0000-0000-00001D010000}"/>
    <cellStyle name="Accent5 10" xfId="422" xr:uid="{00000000-0005-0000-0000-00001E010000}"/>
    <cellStyle name="Accent5 11" xfId="470" xr:uid="{00000000-0005-0000-0000-00001F010000}"/>
    <cellStyle name="Accent5 12" xfId="518" xr:uid="{00000000-0005-0000-0000-000020010000}"/>
    <cellStyle name="Accent5 13" xfId="566" xr:uid="{00000000-0005-0000-0000-000021010000}"/>
    <cellStyle name="Accent5 14" xfId="614" xr:uid="{00000000-0005-0000-0000-000022010000}"/>
    <cellStyle name="Accent5 2" xfId="25" xr:uid="{00000000-0005-0000-0000-000023010000}"/>
    <cellStyle name="Accent5 3" xfId="89" xr:uid="{00000000-0005-0000-0000-000024010000}"/>
    <cellStyle name="Accent5 4" xfId="136" xr:uid="{00000000-0005-0000-0000-000025010000}"/>
    <cellStyle name="Accent5 5" xfId="184" xr:uid="{00000000-0005-0000-0000-000026010000}"/>
    <cellStyle name="Accent5 6" xfId="232" xr:uid="{00000000-0005-0000-0000-000027010000}"/>
    <cellStyle name="Accent5 7" xfId="280" xr:uid="{00000000-0005-0000-0000-000028010000}"/>
    <cellStyle name="Accent5 8" xfId="327" xr:uid="{00000000-0005-0000-0000-000029010000}"/>
    <cellStyle name="Accent5 9" xfId="374" xr:uid="{00000000-0005-0000-0000-00002A010000}"/>
    <cellStyle name="Accent6 10" xfId="423" xr:uid="{00000000-0005-0000-0000-00002B010000}"/>
    <cellStyle name="Accent6 11" xfId="471" xr:uid="{00000000-0005-0000-0000-00002C010000}"/>
    <cellStyle name="Accent6 12" xfId="519" xr:uid="{00000000-0005-0000-0000-00002D010000}"/>
    <cellStyle name="Accent6 13" xfId="567" xr:uid="{00000000-0005-0000-0000-00002E010000}"/>
    <cellStyle name="Accent6 14" xfId="615" xr:uid="{00000000-0005-0000-0000-00002F010000}"/>
    <cellStyle name="Accent6 2" xfId="26" xr:uid="{00000000-0005-0000-0000-000030010000}"/>
    <cellStyle name="Accent6 3" xfId="90" xr:uid="{00000000-0005-0000-0000-000031010000}"/>
    <cellStyle name="Accent6 4" xfId="137" xr:uid="{00000000-0005-0000-0000-000032010000}"/>
    <cellStyle name="Accent6 5" xfId="185" xr:uid="{00000000-0005-0000-0000-000033010000}"/>
    <cellStyle name="Accent6 6" xfId="233" xr:uid="{00000000-0005-0000-0000-000034010000}"/>
    <cellStyle name="Accent6 7" xfId="281" xr:uid="{00000000-0005-0000-0000-000035010000}"/>
    <cellStyle name="Accent6 8" xfId="328" xr:uid="{00000000-0005-0000-0000-000036010000}"/>
    <cellStyle name="Accent6 9" xfId="375" xr:uid="{00000000-0005-0000-0000-000037010000}"/>
    <cellStyle name="Bad 10" xfId="424" xr:uid="{00000000-0005-0000-0000-000038010000}"/>
    <cellStyle name="Bad 11" xfId="472" xr:uid="{00000000-0005-0000-0000-000039010000}"/>
    <cellStyle name="Bad 12" xfId="520" xr:uid="{00000000-0005-0000-0000-00003A010000}"/>
    <cellStyle name="Bad 13" xfId="568" xr:uid="{00000000-0005-0000-0000-00003B010000}"/>
    <cellStyle name="Bad 14" xfId="616" xr:uid="{00000000-0005-0000-0000-00003C010000}"/>
    <cellStyle name="Bad 2" xfId="27" xr:uid="{00000000-0005-0000-0000-00003D010000}"/>
    <cellStyle name="Bad 3" xfId="91" xr:uid="{00000000-0005-0000-0000-00003E010000}"/>
    <cellStyle name="Bad 4" xfId="138" xr:uid="{00000000-0005-0000-0000-00003F010000}"/>
    <cellStyle name="Bad 5" xfId="186" xr:uid="{00000000-0005-0000-0000-000040010000}"/>
    <cellStyle name="Bad 6" xfId="234" xr:uid="{00000000-0005-0000-0000-000041010000}"/>
    <cellStyle name="Bad 7" xfId="282" xr:uid="{00000000-0005-0000-0000-000042010000}"/>
    <cellStyle name="Bad 8" xfId="329" xr:uid="{00000000-0005-0000-0000-000043010000}"/>
    <cellStyle name="Bad 9" xfId="376" xr:uid="{00000000-0005-0000-0000-000044010000}"/>
    <cellStyle name="Calculation 10" xfId="425" xr:uid="{00000000-0005-0000-0000-000045010000}"/>
    <cellStyle name="Calculation 11" xfId="473" xr:uid="{00000000-0005-0000-0000-000046010000}"/>
    <cellStyle name="Calculation 12" xfId="521" xr:uid="{00000000-0005-0000-0000-000047010000}"/>
    <cellStyle name="Calculation 13" xfId="569" xr:uid="{00000000-0005-0000-0000-000048010000}"/>
    <cellStyle name="Calculation 14" xfId="617" xr:uid="{00000000-0005-0000-0000-000049010000}"/>
    <cellStyle name="Calculation 2" xfId="28" xr:uid="{00000000-0005-0000-0000-00004A010000}"/>
    <cellStyle name="Calculation 3" xfId="92" xr:uid="{00000000-0005-0000-0000-00004B010000}"/>
    <cellStyle name="Calculation 4" xfId="139" xr:uid="{00000000-0005-0000-0000-00004C010000}"/>
    <cellStyle name="Calculation 5" xfId="187" xr:uid="{00000000-0005-0000-0000-00004D010000}"/>
    <cellStyle name="Calculation 6" xfId="235" xr:uid="{00000000-0005-0000-0000-00004E010000}"/>
    <cellStyle name="Calculation 7" xfId="283" xr:uid="{00000000-0005-0000-0000-00004F010000}"/>
    <cellStyle name="Calculation 8" xfId="330" xr:uid="{00000000-0005-0000-0000-000050010000}"/>
    <cellStyle name="Calculation 9" xfId="377" xr:uid="{00000000-0005-0000-0000-000051010000}"/>
    <cellStyle name="Check Cell 10" xfId="426" xr:uid="{00000000-0005-0000-0000-000052010000}"/>
    <cellStyle name="Check Cell 11" xfId="474" xr:uid="{00000000-0005-0000-0000-000053010000}"/>
    <cellStyle name="Check Cell 12" xfId="522" xr:uid="{00000000-0005-0000-0000-000054010000}"/>
    <cellStyle name="Check Cell 13" xfId="570" xr:uid="{00000000-0005-0000-0000-000055010000}"/>
    <cellStyle name="Check Cell 14" xfId="618" xr:uid="{00000000-0005-0000-0000-000056010000}"/>
    <cellStyle name="Check Cell 2" xfId="29" xr:uid="{00000000-0005-0000-0000-000057010000}"/>
    <cellStyle name="Check Cell 3" xfId="93" xr:uid="{00000000-0005-0000-0000-000058010000}"/>
    <cellStyle name="Check Cell 4" xfId="140" xr:uid="{00000000-0005-0000-0000-000059010000}"/>
    <cellStyle name="Check Cell 5" xfId="188" xr:uid="{00000000-0005-0000-0000-00005A010000}"/>
    <cellStyle name="Check Cell 6" xfId="236" xr:uid="{00000000-0005-0000-0000-00005B010000}"/>
    <cellStyle name="Check Cell 7" xfId="284" xr:uid="{00000000-0005-0000-0000-00005C010000}"/>
    <cellStyle name="Check Cell 8" xfId="331" xr:uid="{00000000-0005-0000-0000-00005D010000}"/>
    <cellStyle name="Check Cell 9" xfId="378" xr:uid="{00000000-0005-0000-0000-00005E010000}"/>
    <cellStyle name="Comma" xfId="1309" builtinId="3"/>
    <cellStyle name="Comma 2" xfId="54" xr:uid="{00000000-0005-0000-0000-000060010000}"/>
    <cellStyle name="Comma 2 3" xfId="1314" xr:uid="{4E6A1BFB-CD42-4E9C-A235-CB4A69AB4551}"/>
    <cellStyle name="Comma 3" xfId="1311" xr:uid="{00000000-0005-0000-0000-000061010000}"/>
    <cellStyle name="Comma 3 10" xfId="1078" xr:uid="{00000000-0005-0000-0000-000062010000}"/>
    <cellStyle name="Comma 3 11" xfId="1132" xr:uid="{00000000-0005-0000-0000-000063010000}"/>
    <cellStyle name="Comma 3 12" xfId="1139" xr:uid="{00000000-0005-0000-0000-000064010000}"/>
    <cellStyle name="Comma 3 13" xfId="1138" xr:uid="{00000000-0005-0000-0000-000065010000}"/>
    <cellStyle name="Comma 3 14" xfId="1158" xr:uid="{00000000-0005-0000-0000-000066010000}"/>
    <cellStyle name="Comma 3 15" xfId="1188" xr:uid="{00000000-0005-0000-0000-000067010000}"/>
    <cellStyle name="Comma 3 16" xfId="1162" xr:uid="{00000000-0005-0000-0000-000068010000}"/>
    <cellStyle name="Comma 3 17" xfId="1179" xr:uid="{00000000-0005-0000-0000-000069010000}"/>
    <cellStyle name="Comma 3 18" xfId="1135" xr:uid="{00000000-0005-0000-0000-00006A010000}"/>
    <cellStyle name="Comma 3 19" xfId="1153" xr:uid="{00000000-0005-0000-0000-00006B010000}"/>
    <cellStyle name="Comma 3 2" xfId="657" xr:uid="{00000000-0005-0000-0000-00006C010000}"/>
    <cellStyle name="Comma 3 2 2" xfId="723" xr:uid="{00000000-0005-0000-0000-00006D010000}"/>
    <cellStyle name="Comma 3 2 2 2" xfId="825" xr:uid="{00000000-0005-0000-0000-00006E010000}"/>
    <cellStyle name="Comma 3 2 2 2 2" xfId="1029" xr:uid="{00000000-0005-0000-0000-00006F010000}"/>
    <cellStyle name="Comma 3 2 2 3" xfId="927" xr:uid="{00000000-0005-0000-0000-000070010000}"/>
    <cellStyle name="Comma 3 2 3" xfId="774" xr:uid="{00000000-0005-0000-0000-000071010000}"/>
    <cellStyle name="Comma 3 2 3 2" xfId="978" xr:uid="{00000000-0005-0000-0000-000072010000}"/>
    <cellStyle name="Comma 3 2 4" xfId="876" xr:uid="{00000000-0005-0000-0000-000073010000}"/>
    <cellStyle name="Comma 3 20" xfId="1171" xr:uid="{00000000-0005-0000-0000-000074010000}"/>
    <cellStyle name="Comma 3 21" xfId="1161" xr:uid="{00000000-0005-0000-0000-000075010000}"/>
    <cellStyle name="Comma 3 22" xfId="1180" xr:uid="{00000000-0005-0000-0000-000076010000}"/>
    <cellStyle name="Comma 3 23" xfId="1165" xr:uid="{00000000-0005-0000-0000-000077010000}"/>
    <cellStyle name="Comma 3 24" xfId="1196" xr:uid="{00000000-0005-0000-0000-000078010000}"/>
    <cellStyle name="Comma 3 25" xfId="1268" xr:uid="{00000000-0005-0000-0000-000079010000}"/>
    <cellStyle name="Comma 3 26" xfId="1289" xr:uid="{00000000-0005-0000-0000-00007A010000}"/>
    <cellStyle name="Comma 3 27" xfId="1274" xr:uid="{00000000-0005-0000-0000-00007B010000}"/>
    <cellStyle name="Comma 3 28" xfId="1269" xr:uid="{00000000-0005-0000-0000-00007C010000}"/>
    <cellStyle name="Comma 3 29" xfId="1291" xr:uid="{00000000-0005-0000-0000-00007D010000}"/>
    <cellStyle name="Comma 3 3" xfId="689" xr:uid="{00000000-0005-0000-0000-00007E010000}"/>
    <cellStyle name="Comma 3 3 2" xfId="740" xr:uid="{00000000-0005-0000-0000-00007F010000}"/>
    <cellStyle name="Comma 3 3 2 2" xfId="842" xr:uid="{00000000-0005-0000-0000-000080010000}"/>
    <cellStyle name="Comma 3 3 2 2 2" xfId="1046" xr:uid="{00000000-0005-0000-0000-000081010000}"/>
    <cellStyle name="Comma 3 3 2 3" xfId="944" xr:uid="{00000000-0005-0000-0000-000082010000}"/>
    <cellStyle name="Comma 3 3 3" xfId="791" xr:uid="{00000000-0005-0000-0000-000083010000}"/>
    <cellStyle name="Comma 3 3 3 2" xfId="995" xr:uid="{00000000-0005-0000-0000-000084010000}"/>
    <cellStyle name="Comma 3 3 4" xfId="893" xr:uid="{00000000-0005-0000-0000-000085010000}"/>
    <cellStyle name="Comma 3 4" xfId="706" xr:uid="{00000000-0005-0000-0000-000086010000}"/>
    <cellStyle name="Comma 3 4 2" xfId="808" xr:uid="{00000000-0005-0000-0000-000087010000}"/>
    <cellStyle name="Comma 3 4 2 2" xfId="1012" xr:uid="{00000000-0005-0000-0000-000088010000}"/>
    <cellStyle name="Comma 3 4 3" xfId="910" xr:uid="{00000000-0005-0000-0000-000089010000}"/>
    <cellStyle name="Comma 3 5" xfId="757" xr:uid="{00000000-0005-0000-0000-00008A010000}"/>
    <cellStyle name="Comma 3 5 2" xfId="961" xr:uid="{00000000-0005-0000-0000-00008B010000}"/>
    <cellStyle name="Comma 3 6" xfId="859" xr:uid="{00000000-0005-0000-0000-00008C010000}"/>
    <cellStyle name="Comma 3 7" xfId="1071" xr:uid="{00000000-0005-0000-0000-00008D010000}"/>
    <cellStyle name="Comma 3 8" xfId="1082" xr:uid="{00000000-0005-0000-0000-00008E010000}"/>
    <cellStyle name="Comma 3 9" xfId="1091" xr:uid="{00000000-0005-0000-0000-00008F010000}"/>
    <cellStyle name="Comma 4" xfId="1051" xr:uid="{00000000-0005-0000-0000-000090010000}"/>
    <cellStyle name="Custom - Style1" xfId="30" xr:uid="{00000000-0005-0000-0000-000091010000}"/>
    <cellStyle name="Data   - Style2" xfId="31" xr:uid="{00000000-0005-0000-0000-000092010000}"/>
    <cellStyle name="Explanatory Text 10" xfId="427" xr:uid="{00000000-0005-0000-0000-000093010000}"/>
    <cellStyle name="Explanatory Text 11" xfId="475" xr:uid="{00000000-0005-0000-0000-000094010000}"/>
    <cellStyle name="Explanatory Text 12" xfId="523" xr:uid="{00000000-0005-0000-0000-000095010000}"/>
    <cellStyle name="Explanatory Text 13" xfId="571" xr:uid="{00000000-0005-0000-0000-000096010000}"/>
    <cellStyle name="Explanatory Text 14" xfId="619" xr:uid="{00000000-0005-0000-0000-000097010000}"/>
    <cellStyle name="Explanatory Text 2" xfId="32" xr:uid="{00000000-0005-0000-0000-000098010000}"/>
    <cellStyle name="Explanatory Text 3" xfId="96" xr:uid="{00000000-0005-0000-0000-000099010000}"/>
    <cellStyle name="Explanatory Text 4" xfId="143" xr:uid="{00000000-0005-0000-0000-00009A010000}"/>
    <cellStyle name="Explanatory Text 5" xfId="189" xr:uid="{00000000-0005-0000-0000-00009B010000}"/>
    <cellStyle name="Explanatory Text 6" xfId="237" xr:uid="{00000000-0005-0000-0000-00009C010000}"/>
    <cellStyle name="Explanatory Text 7" xfId="285" xr:uid="{00000000-0005-0000-0000-00009D010000}"/>
    <cellStyle name="Explanatory Text 8" xfId="332" xr:uid="{00000000-0005-0000-0000-00009E010000}"/>
    <cellStyle name="Explanatory Text 9" xfId="379" xr:uid="{00000000-0005-0000-0000-00009F010000}"/>
    <cellStyle name="Good 10" xfId="428" xr:uid="{00000000-0005-0000-0000-0000A0010000}"/>
    <cellStyle name="Good 11" xfId="476" xr:uid="{00000000-0005-0000-0000-0000A1010000}"/>
    <cellStyle name="Good 12" xfId="524" xr:uid="{00000000-0005-0000-0000-0000A2010000}"/>
    <cellStyle name="Good 13" xfId="572" xr:uid="{00000000-0005-0000-0000-0000A3010000}"/>
    <cellStyle name="Good 14" xfId="620" xr:uid="{00000000-0005-0000-0000-0000A4010000}"/>
    <cellStyle name="Good 2" xfId="33" xr:uid="{00000000-0005-0000-0000-0000A5010000}"/>
    <cellStyle name="Good 2 10" xfId="445" xr:uid="{00000000-0005-0000-0000-0000A6010000}"/>
    <cellStyle name="Good 2 11" xfId="493" xr:uid="{00000000-0005-0000-0000-0000A7010000}"/>
    <cellStyle name="Good 2 12" xfId="541" xr:uid="{00000000-0005-0000-0000-0000A8010000}"/>
    <cellStyle name="Good 2 13" xfId="590" xr:uid="{00000000-0005-0000-0000-0000A9010000}"/>
    <cellStyle name="Good 2 14" xfId="637" xr:uid="{00000000-0005-0000-0000-0000AA010000}"/>
    <cellStyle name="Good 2 2" xfId="61" xr:uid="{00000000-0005-0000-0000-0000AB010000}"/>
    <cellStyle name="Good 2 3" xfId="123" xr:uid="{00000000-0005-0000-0000-0000AC010000}"/>
    <cellStyle name="Good 2 4" xfId="170" xr:uid="{00000000-0005-0000-0000-0000AD010000}"/>
    <cellStyle name="Good 2 5" xfId="207" xr:uid="{00000000-0005-0000-0000-0000AE010000}"/>
    <cellStyle name="Good 2 6" xfId="255" xr:uid="{00000000-0005-0000-0000-0000AF010000}"/>
    <cellStyle name="Good 2 7" xfId="303" xr:uid="{00000000-0005-0000-0000-0000B0010000}"/>
    <cellStyle name="Good 2 8" xfId="350" xr:uid="{00000000-0005-0000-0000-0000B1010000}"/>
    <cellStyle name="Good 2 9" xfId="397" xr:uid="{00000000-0005-0000-0000-0000B2010000}"/>
    <cellStyle name="Good 3" xfId="97" xr:uid="{00000000-0005-0000-0000-0000B3010000}"/>
    <cellStyle name="Good 4" xfId="144" xr:uid="{00000000-0005-0000-0000-0000B4010000}"/>
    <cellStyle name="Good 5" xfId="190" xr:uid="{00000000-0005-0000-0000-0000B5010000}"/>
    <cellStyle name="Good 6" xfId="238" xr:uid="{00000000-0005-0000-0000-0000B6010000}"/>
    <cellStyle name="Good 7" xfId="286" xr:uid="{00000000-0005-0000-0000-0000B7010000}"/>
    <cellStyle name="Good 8" xfId="333" xr:uid="{00000000-0005-0000-0000-0000B8010000}"/>
    <cellStyle name="Good 9" xfId="380" xr:uid="{00000000-0005-0000-0000-0000B9010000}"/>
    <cellStyle name="Heading 1 10" xfId="429" xr:uid="{00000000-0005-0000-0000-0000BA010000}"/>
    <cellStyle name="Heading 1 11" xfId="477" xr:uid="{00000000-0005-0000-0000-0000BB010000}"/>
    <cellStyle name="Heading 1 12" xfId="525" xr:uid="{00000000-0005-0000-0000-0000BC010000}"/>
    <cellStyle name="Heading 1 13" xfId="573" xr:uid="{00000000-0005-0000-0000-0000BD010000}"/>
    <cellStyle name="Heading 1 14" xfId="621" xr:uid="{00000000-0005-0000-0000-0000BE010000}"/>
    <cellStyle name="Heading 1 2" xfId="34" xr:uid="{00000000-0005-0000-0000-0000BF010000}"/>
    <cellStyle name="Heading 1 3" xfId="98" xr:uid="{00000000-0005-0000-0000-0000C0010000}"/>
    <cellStyle name="Heading 1 4" xfId="145" xr:uid="{00000000-0005-0000-0000-0000C1010000}"/>
    <cellStyle name="Heading 1 5" xfId="191" xr:uid="{00000000-0005-0000-0000-0000C2010000}"/>
    <cellStyle name="Heading 1 6" xfId="239" xr:uid="{00000000-0005-0000-0000-0000C3010000}"/>
    <cellStyle name="Heading 1 7" xfId="287" xr:uid="{00000000-0005-0000-0000-0000C4010000}"/>
    <cellStyle name="Heading 1 8" xfId="334" xr:uid="{00000000-0005-0000-0000-0000C5010000}"/>
    <cellStyle name="Heading 1 9" xfId="381" xr:uid="{00000000-0005-0000-0000-0000C6010000}"/>
    <cellStyle name="Heading 2 10" xfId="430" xr:uid="{00000000-0005-0000-0000-0000C7010000}"/>
    <cellStyle name="Heading 2 11" xfId="478" xr:uid="{00000000-0005-0000-0000-0000C8010000}"/>
    <cellStyle name="Heading 2 12" xfId="526" xr:uid="{00000000-0005-0000-0000-0000C9010000}"/>
    <cellStyle name="Heading 2 13" xfId="574" xr:uid="{00000000-0005-0000-0000-0000CA010000}"/>
    <cellStyle name="Heading 2 14" xfId="622" xr:uid="{00000000-0005-0000-0000-0000CB010000}"/>
    <cellStyle name="Heading 2 2" xfId="35" xr:uid="{00000000-0005-0000-0000-0000CC010000}"/>
    <cellStyle name="Heading 2 3" xfId="99" xr:uid="{00000000-0005-0000-0000-0000CD010000}"/>
    <cellStyle name="Heading 2 4" xfId="146" xr:uid="{00000000-0005-0000-0000-0000CE010000}"/>
    <cellStyle name="Heading 2 5" xfId="192" xr:uid="{00000000-0005-0000-0000-0000CF010000}"/>
    <cellStyle name="Heading 2 6" xfId="240" xr:uid="{00000000-0005-0000-0000-0000D0010000}"/>
    <cellStyle name="Heading 2 7" xfId="288" xr:uid="{00000000-0005-0000-0000-0000D1010000}"/>
    <cellStyle name="Heading 2 8" xfId="335" xr:uid="{00000000-0005-0000-0000-0000D2010000}"/>
    <cellStyle name="Heading 2 9" xfId="382" xr:uid="{00000000-0005-0000-0000-0000D3010000}"/>
    <cellStyle name="Heading 3 10" xfId="431" xr:uid="{00000000-0005-0000-0000-0000D4010000}"/>
    <cellStyle name="Heading 3 11" xfId="479" xr:uid="{00000000-0005-0000-0000-0000D5010000}"/>
    <cellStyle name="Heading 3 12" xfId="527" xr:uid="{00000000-0005-0000-0000-0000D6010000}"/>
    <cellStyle name="Heading 3 13" xfId="575" xr:uid="{00000000-0005-0000-0000-0000D7010000}"/>
    <cellStyle name="Heading 3 14" xfId="623" xr:uid="{00000000-0005-0000-0000-0000D8010000}"/>
    <cellStyle name="Heading 3 2" xfId="36" xr:uid="{00000000-0005-0000-0000-0000D9010000}"/>
    <cellStyle name="Heading 3 3" xfId="100" xr:uid="{00000000-0005-0000-0000-0000DA010000}"/>
    <cellStyle name="Heading 3 4" xfId="147" xr:uid="{00000000-0005-0000-0000-0000DB010000}"/>
    <cellStyle name="Heading 3 5" xfId="193" xr:uid="{00000000-0005-0000-0000-0000DC010000}"/>
    <cellStyle name="Heading 3 6" xfId="241" xr:uid="{00000000-0005-0000-0000-0000DD010000}"/>
    <cellStyle name="Heading 3 7" xfId="289" xr:uid="{00000000-0005-0000-0000-0000DE010000}"/>
    <cellStyle name="Heading 3 8" xfId="336" xr:uid="{00000000-0005-0000-0000-0000DF010000}"/>
    <cellStyle name="Heading 3 9" xfId="383" xr:uid="{00000000-0005-0000-0000-0000E0010000}"/>
    <cellStyle name="Heading 4 10" xfId="432" xr:uid="{00000000-0005-0000-0000-0000E1010000}"/>
    <cellStyle name="Heading 4 11" xfId="480" xr:uid="{00000000-0005-0000-0000-0000E2010000}"/>
    <cellStyle name="Heading 4 12" xfId="528" xr:uid="{00000000-0005-0000-0000-0000E3010000}"/>
    <cellStyle name="Heading 4 13" xfId="576" xr:uid="{00000000-0005-0000-0000-0000E4010000}"/>
    <cellStyle name="Heading 4 14" xfId="624" xr:uid="{00000000-0005-0000-0000-0000E5010000}"/>
    <cellStyle name="Heading 4 2" xfId="37" xr:uid="{00000000-0005-0000-0000-0000E6010000}"/>
    <cellStyle name="Heading 4 3" xfId="101" xr:uid="{00000000-0005-0000-0000-0000E7010000}"/>
    <cellStyle name="Heading 4 4" xfId="148" xr:uid="{00000000-0005-0000-0000-0000E8010000}"/>
    <cellStyle name="Heading 4 5" xfId="194" xr:uid="{00000000-0005-0000-0000-0000E9010000}"/>
    <cellStyle name="Heading 4 6" xfId="242" xr:uid="{00000000-0005-0000-0000-0000EA010000}"/>
    <cellStyle name="Heading 4 7" xfId="290" xr:uid="{00000000-0005-0000-0000-0000EB010000}"/>
    <cellStyle name="Heading 4 8" xfId="337" xr:uid="{00000000-0005-0000-0000-0000EC010000}"/>
    <cellStyle name="Heading 4 9" xfId="384" xr:uid="{00000000-0005-0000-0000-0000ED010000}"/>
    <cellStyle name="Input 10" xfId="433" xr:uid="{00000000-0005-0000-0000-0000EE010000}"/>
    <cellStyle name="Input 11" xfId="481" xr:uid="{00000000-0005-0000-0000-0000EF010000}"/>
    <cellStyle name="Input 12" xfId="529" xr:uid="{00000000-0005-0000-0000-0000F0010000}"/>
    <cellStyle name="Input 13" xfId="577" xr:uid="{00000000-0005-0000-0000-0000F1010000}"/>
    <cellStyle name="Input 14" xfId="625" xr:uid="{00000000-0005-0000-0000-0000F2010000}"/>
    <cellStyle name="Input 2" xfId="38" xr:uid="{00000000-0005-0000-0000-0000F3010000}"/>
    <cellStyle name="Input 3" xfId="103" xr:uid="{00000000-0005-0000-0000-0000F4010000}"/>
    <cellStyle name="Input 4" xfId="150" xr:uid="{00000000-0005-0000-0000-0000F5010000}"/>
    <cellStyle name="Input 5" xfId="195" xr:uid="{00000000-0005-0000-0000-0000F6010000}"/>
    <cellStyle name="Input 6" xfId="243" xr:uid="{00000000-0005-0000-0000-0000F7010000}"/>
    <cellStyle name="Input 7" xfId="291" xr:uid="{00000000-0005-0000-0000-0000F8010000}"/>
    <cellStyle name="Input 8" xfId="338" xr:uid="{00000000-0005-0000-0000-0000F9010000}"/>
    <cellStyle name="Input 9" xfId="385" xr:uid="{00000000-0005-0000-0000-0000FA010000}"/>
    <cellStyle name="Labels - Style3" xfId="39" xr:uid="{00000000-0005-0000-0000-0000FB010000}"/>
    <cellStyle name="Linked Cell 10" xfId="434" xr:uid="{00000000-0005-0000-0000-0000FC010000}"/>
    <cellStyle name="Linked Cell 11" xfId="482" xr:uid="{00000000-0005-0000-0000-0000FD010000}"/>
    <cellStyle name="Linked Cell 12" xfId="530" xr:uid="{00000000-0005-0000-0000-0000FE010000}"/>
    <cellStyle name="Linked Cell 13" xfId="578" xr:uid="{00000000-0005-0000-0000-0000FF010000}"/>
    <cellStyle name="Linked Cell 14" xfId="626" xr:uid="{00000000-0005-0000-0000-000000020000}"/>
    <cellStyle name="Linked Cell 2" xfId="40" xr:uid="{00000000-0005-0000-0000-000001020000}"/>
    <cellStyle name="Linked Cell 3" xfId="105" xr:uid="{00000000-0005-0000-0000-000002020000}"/>
    <cellStyle name="Linked Cell 4" xfId="152" xr:uid="{00000000-0005-0000-0000-000003020000}"/>
    <cellStyle name="Linked Cell 5" xfId="196" xr:uid="{00000000-0005-0000-0000-000004020000}"/>
    <cellStyle name="Linked Cell 6" xfId="244" xr:uid="{00000000-0005-0000-0000-000005020000}"/>
    <cellStyle name="Linked Cell 7" xfId="292" xr:uid="{00000000-0005-0000-0000-000006020000}"/>
    <cellStyle name="Linked Cell 8" xfId="339" xr:uid="{00000000-0005-0000-0000-000007020000}"/>
    <cellStyle name="Linked Cell 9" xfId="386" xr:uid="{00000000-0005-0000-0000-000008020000}"/>
    <cellStyle name="Milliers 2" xfId="1049" xr:uid="{00000000-0005-0000-0000-000009020000}"/>
    <cellStyle name="Neutral 10" xfId="435" xr:uid="{00000000-0005-0000-0000-00000A020000}"/>
    <cellStyle name="Neutral 11" xfId="483" xr:uid="{00000000-0005-0000-0000-00000B020000}"/>
    <cellStyle name="Neutral 12" xfId="531" xr:uid="{00000000-0005-0000-0000-00000C020000}"/>
    <cellStyle name="Neutral 13" xfId="579" xr:uid="{00000000-0005-0000-0000-00000D020000}"/>
    <cellStyle name="Neutral 14" xfId="627" xr:uid="{00000000-0005-0000-0000-00000E020000}"/>
    <cellStyle name="Neutral 2" xfId="41" xr:uid="{00000000-0005-0000-0000-00000F020000}"/>
    <cellStyle name="Neutral 3" xfId="106" xr:uid="{00000000-0005-0000-0000-000010020000}"/>
    <cellStyle name="Neutral 4" xfId="153" xr:uid="{00000000-0005-0000-0000-000011020000}"/>
    <cellStyle name="Neutral 5" xfId="197" xr:uid="{00000000-0005-0000-0000-000012020000}"/>
    <cellStyle name="Neutral 6" xfId="245" xr:uid="{00000000-0005-0000-0000-000013020000}"/>
    <cellStyle name="Neutral 7" xfId="293" xr:uid="{00000000-0005-0000-0000-000014020000}"/>
    <cellStyle name="Neutral 8" xfId="340" xr:uid="{00000000-0005-0000-0000-000015020000}"/>
    <cellStyle name="Neutral 9" xfId="387" xr:uid="{00000000-0005-0000-0000-000016020000}"/>
    <cellStyle name="Normal" xfId="0" builtinId="0"/>
    <cellStyle name="Normal 10" xfId="209" xr:uid="{00000000-0005-0000-0000-000018020000}"/>
    <cellStyle name="Normal 11" xfId="257" xr:uid="{00000000-0005-0000-0000-000019020000}"/>
    <cellStyle name="Normal 12" xfId="639" xr:uid="{00000000-0005-0000-0000-00001A020000}"/>
    <cellStyle name="Normal 13" xfId="1077" xr:uid="{00000000-0005-0000-0000-00001B020000}"/>
    <cellStyle name="Normal 14" xfId="399" xr:uid="{00000000-0005-0000-0000-00001C020000}"/>
    <cellStyle name="Normal 15" xfId="447" xr:uid="{00000000-0005-0000-0000-00001D020000}"/>
    <cellStyle name="Normal 16" xfId="495" xr:uid="{00000000-0005-0000-0000-00001E020000}"/>
    <cellStyle name="Normal 17" xfId="543" xr:uid="{00000000-0005-0000-0000-00001F020000}"/>
    <cellStyle name="Normal 18" xfId="586" xr:uid="{00000000-0005-0000-0000-000020020000}"/>
    <cellStyle name="Normal 19" xfId="1086" xr:uid="{00000000-0005-0000-0000-000021020000}"/>
    <cellStyle name="Normal 2" xfId="2" xr:uid="{00000000-0005-0000-0000-000022020000}"/>
    <cellStyle name="Normal 2 10" xfId="441" xr:uid="{00000000-0005-0000-0000-000023020000}"/>
    <cellStyle name="Normal 2 11" xfId="489" xr:uid="{00000000-0005-0000-0000-000024020000}"/>
    <cellStyle name="Normal 2 12" xfId="537" xr:uid="{00000000-0005-0000-0000-000025020000}"/>
    <cellStyle name="Normal 2 13" xfId="585" xr:uid="{00000000-0005-0000-0000-000026020000}"/>
    <cellStyle name="Normal 2 14" xfId="633" xr:uid="{00000000-0005-0000-0000-000027020000}"/>
    <cellStyle name="Normal 2 15" xfId="640" xr:uid="{00000000-0005-0000-0000-000028020000}"/>
    <cellStyle name="Normal 2 16" xfId="651" xr:uid="{00000000-0005-0000-0000-000029020000}"/>
    <cellStyle name="Normal 2 17" xfId="1103" xr:uid="{00000000-0005-0000-0000-00002A020000}"/>
    <cellStyle name="Normal 2 18" xfId="1065" xr:uid="{00000000-0005-0000-0000-00002B020000}"/>
    <cellStyle name="Normal 2 19" xfId="1064" xr:uid="{00000000-0005-0000-0000-00002C020000}"/>
    <cellStyle name="Normal 2 2" xfId="53" xr:uid="{00000000-0005-0000-0000-00002D020000}"/>
    <cellStyle name="Normal 2 2 10" xfId="442" xr:uid="{00000000-0005-0000-0000-00002E020000}"/>
    <cellStyle name="Normal 2 2 11" xfId="490" xr:uid="{00000000-0005-0000-0000-00002F020000}"/>
    <cellStyle name="Normal 2 2 12" xfId="538" xr:uid="{00000000-0005-0000-0000-000030020000}"/>
    <cellStyle name="Normal 2 2 13" xfId="587" xr:uid="{00000000-0005-0000-0000-000031020000}"/>
    <cellStyle name="Normal 2 2 14" xfId="634" xr:uid="{00000000-0005-0000-0000-000032020000}"/>
    <cellStyle name="Normal 2 2 15" xfId="643" xr:uid="{00000000-0005-0000-0000-000033020000}"/>
    <cellStyle name="Normal 2 2 16" xfId="1095" xr:uid="{00000000-0005-0000-0000-000034020000}"/>
    <cellStyle name="Normal 2 2 17" xfId="1067" xr:uid="{00000000-0005-0000-0000-000035020000}"/>
    <cellStyle name="Normal 2 2 18" xfId="1072" xr:uid="{00000000-0005-0000-0000-000036020000}"/>
    <cellStyle name="Normal 2 2 19" xfId="1116" xr:uid="{00000000-0005-0000-0000-000037020000}"/>
    <cellStyle name="Normal 2 2 2" xfId="55" xr:uid="{00000000-0005-0000-0000-000038020000}"/>
    <cellStyle name="Normal 2 2 20" xfId="1126" xr:uid="{00000000-0005-0000-0000-000039020000}"/>
    <cellStyle name="Normal 2 2 21" xfId="1142" xr:uid="{00000000-0005-0000-0000-00003A020000}"/>
    <cellStyle name="Normal 2 2 22" xfId="1212" xr:uid="{00000000-0005-0000-0000-00003B020000}"/>
    <cellStyle name="Normal 2 2 23" xfId="1186" xr:uid="{00000000-0005-0000-0000-00003C020000}"/>
    <cellStyle name="Normal 2 2 24" xfId="1202" xr:uid="{00000000-0005-0000-0000-00003D020000}"/>
    <cellStyle name="Normal 2 2 25" xfId="1173" xr:uid="{00000000-0005-0000-0000-00003E020000}"/>
    <cellStyle name="Normal 2 2 26" xfId="1215" xr:uid="{00000000-0005-0000-0000-00003F020000}"/>
    <cellStyle name="Normal 2 2 27" xfId="1185" xr:uid="{00000000-0005-0000-0000-000040020000}"/>
    <cellStyle name="Normal 2 2 28" xfId="1168" xr:uid="{00000000-0005-0000-0000-000041020000}"/>
    <cellStyle name="Normal 2 2 29" xfId="1178" xr:uid="{00000000-0005-0000-0000-000042020000}"/>
    <cellStyle name="Normal 2 2 3" xfId="117" xr:uid="{00000000-0005-0000-0000-000043020000}"/>
    <cellStyle name="Normal 2 2 30" xfId="1238" xr:uid="{00000000-0005-0000-0000-000044020000}"/>
    <cellStyle name="Normal 2 2 31" xfId="1169" xr:uid="{00000000-0005-0000-0000-000045020000}"/>
    <cellStyle name="Normal 2 2 32" xfId="1145" xr:uid="{00000000-0005-0000-0000-000046020000}"/>
    <cellStyle name="Normal 2 2 33" xfId="1250" xr:uid="{00000000-0005-0000-0000-000047020000}"/>
    <cellStyle name="Normal 2 2 34" xfId="1264" xr:uid="{00000000-0005-0000-0000-000048020000}"/>
    <cellStyle name="Normal 2 2 35" xfId="1285" xr:uid="{00000000-0005-0000-0000-000049020000}"/>
    <cellStyle name="Normal 2 2 36" xfId="1272" xr:uid="{00000000-0005-0000-0000-00004A020000}"/>
    <cellStyle name="Normal 2 2 37" xfId="1276" xr:uid="{00000000-0005-0000-0000-00004B020000}"/>
    <cellStyle name="Normal 2 2 38" xfId="1284" xr:uid="{00000000-0005-0000-0000-00004C020000}"/>
    <cellStyle name="Normal 2 2 4" xfId="164" xr:uid="{00000000-0005-0000-0000-00004D020000}"/>
    <cellStyle name="Normal 2 2 5" xfId="204" xr:uid="{00000000-0005-0000-0000-00004E020000}"/>
    <cellStyle name="Normal 2 2 6" xfId="252" xr:uid="{00000000-0005-0000-0000-00004F020000}"/>
    <cellStyle name="Normal 2 2 7" xfId="300" xr:uid="{00000000-0005-0000-0000-000050020000}"/>
    <cellStyle name="Normal 2 2 8" xfId="347" xr:uid="{00000000-0005-0000-0000-000051020000}"/>
    <cellStyle name="Normal 2 2 9" xfId="394" xr:uid="{00000000-0005-0000-0000-000052020000}"/>
    <cellStyle name="Normal 2 20" xfId="1061" xr:uid="{00000000-0005-0000-0000-000053020000}"/>
    <cellStyle name="Normal 2 21" xfId="1075" xr:uid="{00000000-0005-0000-0000-000054020000}"/>
    <cellStyle name="Normal 2 22" xfId="1106" xr:uid="{00000000-0005-0000-0000-000055020000}"/>
    <cellStyle name="Normal 2 23" xfId="1070" xr:uid="{00000000-0005-0000-0000-000056020000}"/>
    <cellStyle name="Normal 2 24" xfId="1058" xr:uid="{00000000-0005-0000-0000-000057020000}"/>
    <cellStyle name="Normal 2 25" xfId="1073" xr:uid="{00000000-0005-0000-0000-000058020000}"/>
    <cellStyle name="Normal 2 26" xfId="1092" xr:uid="{00000000-0005-0000-0000-000059020000}"/>
    <cellStyle name="Normal 2 27" xfId="1114" xr:uid="{00000000-0005-0000-0000-00005A020000}"/>
    <cellStyle name="Normal 2 28" xfId="1079" xr:uid="{00000000-0005-0000-0000-00005B020000}"/>
    <cellStyle name="Normal 2 29" xfId="1113" xr:uid="{00000000-0005-0000-0000-00005C020000}"/>
    <cellStyle name="Normal 2 3" xfId="115" xr:uid="{00000000-0005-0000-0000-00005D020000}"/>
    <cellStyle name="Normal 2 30" xfId="1120" xr:uid="{00000000-0005-0000-0000-00005E020000}"/>
    <cellStyle name="Normal 2 31" xfId="1123" xr:uid="{00000000-0005-0000-0000-00005F020000}"/>
    <cellStyle name="Normal 2 32" xfId="1150" xr:uid="{00000000-0005-0000-0000-000060020000}"/>
    <cellStyle name="Normal 2 33" xfId="1143" xr:uid="{00000000-0005-0000-0000-000061020000}"/>
    <cellStyle name="Normal 2 34" xfId="1163" xr:uid="{00000000-0005-0000-0000-000062020000}"/>
    <cellStyle name="Normal 2 35" xfId="1140" xr:uid="{00000000-0005-0000-0000-000063020000}"/>
    <cellStyle name="Normal 2 36" xfId="1174" xr:uid="{00000000-0005-0000-0000-000064020000}"/>
    <cellStyle name="Normal 2 37" xfId="1207" xr:uid="{00000000-0005-0000-0000-000065020000}"/>
    <cellStyle name="Normal 2 38" xfId="1160" xr:uid="{00000000-0005-0000-0000-000066020000}"/>
    <cellStyle name="Normal 2 39" xfId="1225" xr:uid="{00000000-0005-0000-0000-000067020000}"/>
    <cellStyle name="Normal 2 4" xfId="162" xr:uid="{00000000-0005-0000-0000-000068020000}"/>
    <cellStyle name="Normal 2 40" xfId="1141" xr:uid="{00000000-0005-0000-0000-000069020000}"/>
    <cellStyle name="Normal 2 41" xfId="1175" xr:uid="{00000000-0005-0000-0000-00006A020000}"/>
    <cellStyle name="Normal 2 42" xfId="1236" xr:uid="{00000000-0005-0000-0000-00006B020000}"/>
    <cellStyle name="Normal 2 43" xfId="1192" xr:uid="{00000000-0005-0000-0000-00006C020000}"/>
    <cellStyle name="Normal 2 44" xfId="1249" xr:uid="{00000000-0005-0000-0000-00006D020000}"/>
    <cellStyle name="Normal 2 45" xfId="1261" xr:uid="{00000000-0005-0000-0000-00006E020000}"/>
    <cellStyle name="Normal 2 46" xfId="1288" xr:uid="{00000000-0005-0000-0000-00006F020000}"/>
    <cellStyle name="Normal 2 47" xfId="1294" xr:uid="{00000000-0005-0000-0000-000070020000}"/>
    <cellStyle name="Normal 2 48" xfId="1280" xr:uid="{00000000-0005-0000-0000-000071020000}"/>
    <cellStyle name="Normal 2 49" xfId="1281" xr:uid="{00000000-0005-0000-0000-000072020000}"/>
    <cellStyle name="Normal 2 5" xfId="203" xr:uid="{00000000-0005-0000-0000-000073020000}"/>
    <cellStyle name="Normal 2 50" xfId="1312" xr:uid="{00000000-0005-0000-0000-000074020000}"/>
    <cellStyle name="Normal 2 6" xfId="251" xr:uid="{00000000-0005-0000-0000-000075020000}"/>
    <cellStyle name="Normal 2 7" xfId="299" xr:uid="{00000000-0005-0000-0000-000076020000}"/>
    <cellStyle name="Normal 2 8" xfId="346" xr:uid="{00000000-0005-0000-0000-000077020000}"/>
    <cellStyle name="Normal 2 9" xfId="393" xr:uid="{00000000-0005-0000-0000-000078020000}"/>
    <cellStyle name="Normal 20" xfId="1122" xr:uid="{00000000-0005-0000-0000-000079020000}"/>
    <cellStyle name="Normal 21" xfId="1146" xr:uid="{00000000-0005-0000-0000-00007A020000}"/>
    <cellStyle name="Normal 22" xfId="1260" xr:uid="{00000000-0005-0000-0000-00007B020000}"/>
    <cellStyle name="Normal 23" xfId="1170" xr:uid="{00000000-0005-0000-0000-00007C020000}"/>
    <cellStyle name="Normal 24" xfId="1297" xr:uid="{00000000-0005-0000-0000-00007D020000}"/>
    <cellStyle name="Normal 25" xfId="1227" xr:uid="{00000000-0005-0000-0000-00007E020000}"/>
    <cellStyle name="Normal 26" xfId="1205" xr:uid="{00000000-0005-0000-0000-00007F020000}"/>
    <cellStyle name="Normal 27" xfId="1232" xr:uid="{00000000-0005-0000-0000-000080020000}"/>
    <cellStyle name="Normal 28" xfId="1157" xr:uid="{00000000-0005-0000-0000-000081020000}"/>
    <cellStyle name="Normal 29" xfId="1206" xr:uid="{00000000-0005-0000-0000-000082020000}"/>
    <cellStyle name="Normal 3" xfId="56" xr:uid="{00000000-0005-0000-0000-000083020000}"/>
    <cellStyle name="Normal 3 10" xfId="843" xr:uid="{00000000-0005-0000-0000-000084020000}"/>
    <cellStyle name="Normal 3 11" xfId="1100" xr:uid="{00000000-0005-0000-0000-000085020000}"/>
    <cellStyle name="Normal 3 12" xfId="1094" xr:uid="{00000000-0005-0000-0000-000086020000}"/>
    <cellStyle name="Normal 3 13" xfId="1117" xr:uid="{00000000-0005-0000-0000-000087020000}"/>
    <cellStyle name="Normal 3 14" xfId="1098" xr:uid="{00000000-0005-0000-0000-000088020000}"/>
    <cellStyle name="Normal 3 15" xfId="1124" xr:uid="{00000000-0005-0000-0000-000089020000}"/>
    <cellStyle name="Normal 3 16" xfId="1197" xr:uid="{00000000-0005-0000-0000-00008A020000}"/>
    <cellStyle name="Normal 3 17" xfId="1137" xr:uid="{00000000-0005-0000-0000-00008B020000}"/>
    <cellStyle name="Normal 3 18" xfId="1176" xr:uid="{00000000-0005-0000-0000-00008C020000}"/>
    <cellStyle name="Normal 3 19" xfId="1149" xr:uid="{00000000-0005-0000-0000-00008D020000}"/>
    <cellStyle name="Normal 3 2" xfId="641" xr:uid="{00000000-0005-0000-0000-00008E020000}"/>
    <cellStyle name="Normal 3 2 2" xfId="653" xr:uid="{00000000-0005-0000-0000-00008F020000}"/>
    <cellStyle name="Normal 3 2 2 2" xfId="670" xr:uid="{00000000-0005-0000-0000-000090020000}"/>
    <cellStyle name="Normal 3 2 2 2 2" xfId="719" xr:uid="{00000000-0005-0000-0000-000091020000}"/>
    <cellStyle name="Normal 3 2 2 2 2 2" xfId="821" xr:uid="{00000000-0005-0000-0000-000092020000}"/>
    <cellStyle name="Normal 3 2 2 2 2 2 2" xfId="1025" xr:uid="{00000000-0005-0000-0000-000093020000}"/>
    <cellStyle name="Normal 3 2 2 2 2 3" xfId="923" xr:uid="{00000000-0005-0000-0000-000094020000}"/>
    <cellStyle name="Normal 3 2 2 2 3" xfId="770" xr:uid="{00000000-0005-0000-0000-000095020000}"/>
    <cellStyle name="Normal 3 2 2 2 3 2" xfId="974" xr:uid="{00000000-0005-0000-0000-000096020000}"/>
    <cellStyle name="Normal 3 2 2 2 4" xfId="872" xr:uid="{00000000-0005-0000-0000-000097020000}"/>
    <cellStyle name="Normal 3 2 2 3" xfId="685" xr:uid="{00000000-0005-0000-0000-000098020000}"/>
    <cellStyle name="Normal 3 2 2 3 2" xfId="736" xr:uid="{00000000-0005-0000-0000-000099020000}"/>
    <cellStyle name="Normal 3 2 2 3 2 2" xfId="838" xr:uid="{00000000-0005-0000-0000-00009A020000}"/>
    <cellStyle name="Normal 3 2 2 3 2 2 2" xfId="1042" xr:uid="{00000000-0005-0000-0000-00009B020000}"/>
    <cellStyle name="Normal 3 2 2 3 2 3" xfId="940" xr:uid="{00000000-0005-0000-0000-00009C020000}"/>
    <cellStyle name="Normal 3 2 2 3 3" xfId="787" xr:uid="{00000000-0005-0000-0000-00009D020000}"/>
    <cellStyle name="Normal 3 2 2 3 3 2" xfId="991" xr:uid="{00000000-0005-0000-0000-00009E020000}"/>
    <cellStyle name="Normal 3 2 2 3 4" xfId="889" xr:uid="{00000000-0005-0000-0000-00009F020000}"/>
    <cellStyle name="Normal 3 2 2 4" xfId="702" xr:uid="{00000000-0005-0000-0000-0000A0020000}"/>
    <cellStyle name="Normal 3 2 2 4 2" xfId="804" xr:uid="{00000000-0005-0000-0000-0000A1020000}"/>
    <cellStyle name="Normal 3 2 2 4 2 2" xfId="1008" xr:uid="{00000000-0005-0000-0000-0000A2020000}"/>
    <cellStyle name="Normal 3 2 2 4 3" xfId="906" xr:uid="{00000000-0005-0000-0000-0000A3020000}"/>
    <cellStyle name="Normal 3 2 2 5" xfId="753" xr:uid="{00000000-0005-0000-0000-0000A4020000}"/>
    <cellStyle name="Normal 3 2 2 5 2" xfId="957" xr:uid="{00000000-0005-0000-0000-0000A5020000}"/>
    <cellStyle name="Normal 3 2 2 6" xfId="855" xr:uid="{00000000-0005-0000-0000-0000A6020000}"/>
    <cellStyle name="Normal 3 2 3" xfId="648" xr:uid="{00000000-0005-0000-0000-0000A7020000}"/>
    <cellStyle name="Normal 3 2 3 2" xfId="665" xr:uid="{00000000-0005-0000-0000-0000A8020000}"/>
    <cellStyle name="Normal 3 2 3 2 2" xfId="714" xr:uid="{00000000-0005-0000-0000-0000A9020000}"/>
    <cellStyle name="Normal 3 2 3 2 2 2" xfId="816" xr:uid="{00000000-0005-0000-0000-0000AA020000}"/>
    <cellStyle name="Normal 3 2 3 2 2 2 2" xfId="1020" xr:uid="{00000000-0005-0000-0000-0000AB020000}"/>
    <cellStyle name="Normal 3 2 3 2 2 3" xfId="918" xr:uid="{00000000-0005-0000-0000-0000AC020000}"/>
    <cellStyle name="Normal 3 2 3 2 3" xfId="765" xr:uid="{00000000-0005-0000-0000-0000AD020000}"/>
    <cellStyle name="Normal 3 2 3 2 3 2" xfId="969" xr:uid="{00000000-0005-0000-0000-0000AE020000}"/>
    <cellStyle name="Normal 3 2 3 2 4" xfId="867" xr:uid="{00000000-0005-0000-0000-0000AF020000}"/>
    <cellStyle name="Normal 3 2 3 3" xfId="680" xr:uid="{00000000-0005-0000-0000-0000B0020000}"/>
    <cellStyle name="Normal 3 2 3 3 2" xfId="731" xr:uid="{00000000-0005-0000-0000-0000B1020000}"/>
    <cellStyle name="Normal 3 2 3 3 2 2" xfId="833" xr:uid="{00000000-0005-0000-0000-0000B2020000}"/>
    <cellStyle name="Normal 3 2 3 3 2 2 2" xfId="1037" xr:uid="{00000000-0005-0000-0000-0000B3020000}"/>
    <cellStyle name="Normal 3 2 3 3 2 3" xfId="935" xr:uid="{00000000-0005-0000-0000-0000B4020000}"/>
    <cellStyle name="Normal 3 2 3 3 3" xfId="782" xr:uid="{00000000-0005-0000-0000-0000B5020000}"/>
    <cellStyle name="Normal 3 2 3 3 3 2" xfId="986" xr:uid="{00000000-0005-0000-0000-0000B6020000}"/>
    <cellStyle name="Normal 3 2 3 3 4" xfId="884" xr:uid="{00000000-0005-0000-0000-0000B7020000}"/>
    <cellStyle name="Normal 3 2 3 4" xfId="697" xr:uid="{00000000-0005-0000-0000-0000B8020000}"/>
    <cellStyle name="Normal 3 2 3 4 2" xfId="799" xr:uid="{00000000-0005-0000-0000-0000B9020000}"/>
    <cellStyle name="Normal 3 2 3 4 2 2" xfId="1003" xr:uid="{00000000-0005-0000-0000-0000BA020000}"/>
    <cellStyle name="Normal 3 2 3 4 3" xfId="901" xr:uid="{00000000-0005-0000-0000-0000BB020000}"/>
    <cellStyle name="Normal 3 2 3 5" xfId="748" xr:uid="{00000000-0005-0000-0000-0000BC020000}"/>
    <cellStyle name="Normal 3 2 3 5 2" xfId="952" xr:uid="{00000000-0005-0000-0000-0000BD020000}"/>
    <cellStyle name="Normal 3 2 3 6" xfId="850" xr:uid="{00000000-0005-0000-0000-0000BE020000}"/>
    <cellStyle name="Normal 3 2 4" xfId="660" xr:uid="{00000000-0005-0000-0000-0000BF020000}"/>
    <cellStyle name="Normal 3 2 4 2" xfId="709" xr:uid="{00000000-0005-0000-0000-0000C0020000}"/>
    <cellStyle name="Normal 3 2 4 2 2" xfId="811" xr:uid="{00000000-0005-0000-0000-0000C1020000}"/>
    <cellStyle name="Normal 3 2 4 2 2 2" xfId="1015" xr:uid="{00000000-0005-0000-0000-0000C2020000}"/>
    <cellStyle name="Normal 3 2 4 2 3" xfId="913" xr:uid="{00000000-0005-0000-0000-0000C3020000}"/>
    <cellStyle name="Normal 3 2 4 3" xfId="760" xr:uid="{00000000-0005-0000-0000-0000C4020000}"/>
    <cellStyle name="Normal 3 2 4 3 2" xfId="964" xr:uid="{00000000-0005-0000-0000-0000C5020000}"/>
    <cellStyle name="Normal 3 2 4 4" xfId="862" xr:uid="{00000000-0005-0000-0000-0000C6020000}"/>
    <cellStyle name="Normal 3 2 5" xfId="675" xr:uid="{00000000-0005-0000-0000-0000C7020000}"/>
    <cellStyle name="Normal 3 2 5 2" xfId="726" xr:uid="{00000000-0005-0000-0000-0000C8020000}"/>
    <cellStyle name="Normal 3 2 5 2 2" xfId="828" xr:uid="{00000000-0005-0000-0000-0000C9020000}"/>
    <cellStyle name="Normal 3 2 5 2 2 2" xfId="1032" xr:uid="{00000000-0005-0000-0000-0000CA020000}"/>
    <cellStyle name="Normal 3 2 5 2 3" xfId="930" xr:uid="{00000000-0005-0000-0000-0000CB020000}"/>
    <cellStyle name="Normal 3 2 5 3" xfId="777" xr:uid="{00000000-0005-0000-0000-0000CC020000}"/>
    <cellStyle name="Normal 3 2 5 3 2" xfId="981" xr:uid="{00000000-0005-0000-0000-0000CD020000}"/>
    <cellStyle name="Normal 3 2 5 4" xfId="879" xr:uid="{00000000-0005-0000-0000-0000CE020000}"/>
    <cellStyle name="Normal 3 2 6" xfId="692" xr:uid="{00000000-0005-0000-0000-0000CF020000}"/>
    <cellStyle name="Normal 3 2 6 2" xfId="794" xr:uid="{00000000-0005-0000-0000-0000D0020000}"/>
    <cellStyle name="Normal 3 2 6 2 2" xfId="998" xr:uid="{00000000-0005-0000-0000-0000D1020000}"/>
    <cellStyle name="Normal 3 2 6 3" xfId="896" xr:uid="{00000000-0005-0000-0000-0000D2020000}"/>
    <cellStyle name="Normal 3 2 7" xfId="743" xr:uid="{00000000-0005-0000-0000-0000D3020000}"/>
    <cellStyle name="Normal 3 2 7 2" xfId="947" xr:uid="{00000000-0005-0000-0000-0000D4020000}"/>
    <cellStyle name="Normal 3 2 8" xfId="845" xr:uid="{00000000-0005-0000-0000-0000D5020000}"/>
    <cellStyle name="Normal 3 20" xfId="1223" xr:uid="{00000000-0005-0000-0000-0000D6020000}"/>
    <cellStyle name="Normal 3 21" xfId="1184" xr:uid="{00000000-0005-0000-0000-0000D7020000}"/>
    <cellStyle name="Normal 3 22" xfId="1213" xr:uid="{00000000-0005-0000-0000-0000D8020000}"/>
    <cellStyle name="Normal 3 23" xfId="1130" xr:uid="{00000000-0005-0000-0000-0000D9020000}"/>
    <cellStyle name="Normal 3 24" xfId="1219" xr:uid="{00000000-0005-0000-0000-0000DA020000}"/>
    <cellStyle name="Normal 3 25" xfId="1148" xr:uid="{00000000-0005-0000-0000-0000DB020000}"/>
    <cellStyle name="Normal 3 26" xfId="1237" xr:uid="{00000000-0005-0000-0000-0000DC020000}"/>
    <cellStyle name="Normal 3 27" xfId="1252" xr:uid="{00000000-0005-0000-0000-0000DD020000}"/>
    <cellStyle name="Normal 3 28" xfId="1167" xr:uid="{00000000-0005-0000-0000-0000DE020000}"/>
    <cellStyle name="Normal 3 29" xfId="1262" xr:uid="{00000000-0005-0000-0000-0000DF020000}"/>
    <cellStyle name="Normal 3 3" xfId="645" xr:uid="{00000000-0005-0000-0000-0000E0020000}"/>
    <cellStyle name="Normal 3 3 2" xfId="655" xr:uid="{00000000-0005-0000-0000-0000E1020000}"/>
    <cellStyle name="Normal 3 3 2 2" xfId="672" xr:uid="{00000000-0005-0000-0000-0000E2020000}"/>
    <cellStyle name="Normal 3 3 2 2 2" xfId="721" xr:uid="{00000000-0005-0000-0000-0000E3020000}"/>
    <cellStyle name="Normal 3 3 2 2 2 2" xfId="823" xr:uid="{00000000-0005-0000-0000-0000E4020000}"/>
    <cellStyle name="Normal 3 3 2 2 2 2 2" xfId="1027" xr:uid="{00000000-0005-0000-0000-0000E5020000}"/>
    <cellStyle name="Normal 3 3 2 2 2 3" xfId="925" xr:uid="{00000000-0005-0000-0000-0000E6020000}"/>
    <cellStyle name="Normal 3 3 2 2 3" xfId="772" xr:uid="{00000000-0005-0000-0000-0000E7020000}"/>
    <cellStyle name="Normal 3 3 2 2 3 2" xfId="976" xr:uid="{00000000-0005-0000-0000-0000E8020000}"/>
    <cellStyle name="Normal 3 3 2 2 4" xfId="874" xr:uid="{00000000-0005-0000-0000-0000E9020000}"/>
    <cellStyle name="Normal 3 3 2 3" xfId="687" xr:uid="{00000000-0005-0000-0000-0000EA020000}"/>
    <cellStyle name="Normal 3 3 2 3 2" xfId="738" xr:uid="{00000000-0005-0000-0000-0000EB020000}"/>
    <cellStyle name="Normal 3 3 2 3 2 2" xfId="840" xr:uid="{00000000-0005-0000-0000-0000EC020000}"/>
    <cellStyle name="Normal 3 3 2 3 2 2 2" xfId="1044" xr:uid="{00000000-0005-0000-0000-0000ED020000}"/>
    <cellStyle name="Normal 3 3 2 3 2 3" xfId="942" xr:uid="{00000000-0005-0000-0000-0000EE020000}"/>
    <cellStyle name="Normal 3 3 2 3 3" xfId="789" xr:uid="{00000000-0005-0000-0000-0000EF020000}"/>
    <cellStyle name="Normal 3 3 2 3 3 2" xfId="993" xr:uid="{00000000-0005-0000-0000-0000F0020000}"/>
    <cellStyle name="Normal 3 3 2 3 4" xfId="891" xr:uid="{00000000-0005-0000-0000-0000F1020000}"/>
    <cellStyle name="Normal 3 3 2 4" xfId="704" xr:uid="{00000000-0005-0000-0000-0000F2020000}"/>
    <cellStyle name="Normal 3 3 2 4 2" xfId="806" xr:uid="{00000000-0005-0000-0000-0000F3020000}"/>
    <cellStyle name="Normal 3 3 2 4 2 2" xfId="1010" xr:uid="{00000000-0005-0000-0000-0000F4020000}"/>
    <cellStyle name="Normal 3 3 2 4 3" xfId="908" xr:uid="{00000000-0005-0000-0000-0000F5020000}"/>
    <cellStyle name="Normal 3 3 2 5" xfId="755" xr:uid="{00000000-0005-0000-0000-0000F6020000}"/>
    <cellStyle name="Normal 3 3 2 5 2" xfId="959" xr:uid="{00000000-0005-0000-0000-0000F7020000}"/>
    <cellStyle name="Normal 3 3 2 6" xfId="857" xr:uid="{00000000-0005-0000-0000-0000F8020000}"/>
    <cellStyle name="Normal 3 3 3" xfId="650" xr:uid="{00000000-0005-0000-0000-0000F9020000}"/>
    <cellStyle name="Normal 3 3 3 2" xfId="667" xr:uid="{00000000-0005-0000-0000-0000FA020000}"/>
    <cellStyle name="Normal 3 3 3 2 2" xfId="716" xr:uid="{00000000-0005-0000-0000-0000FB020000}"/>
    <cellStyle name="Normal 3 3 3 2 2 2" xfId="818" xr:uid="{00000000-0005-0000-0000-0000FC020000}"/>
    <cellStyle name="Normal 3 3 3 2 2 2 2" xfId="1022" xr:uid="{00000000-0005-0000-0000-0000FD020000}"/>
    <cellStyle name="Normal 3 3 3 2 2 3" xfId="920" xr:uid="{00000000-0005-0000-0000-0000FE020000}"/>
    <cellStyle name="Normal 3 3 3 2 3" xfId="767" xr:uid="{00000000-0005-0000-0000-0000FF020000}"/>
    <cellStyle name="Normal 3 3 3 2 3 2" xfId="971" xr:uid="{00000000-0005-0000-0000-000000030000}"/>
    <cellStyle name="Normal 3 3 3 2 4" xfId="869" xr:uid="{00000000-0005-0000-0000-000001030000}"/>
    <cellStyle name="Normal 3 3 3 3" xfId="682" xr:uid="{00000000-0005-0000-0000-000002030000}"/>
    <cellStyle name="Normal 3 3 3 3 2" xfId="733" xr:uid="{00000000-0005-0000-0000-000003030000}"/>
    <cellStyle name="Normal 3 3 3 3 2 2" xfId="835" xr:uid="{00000000-0005-0000-0000-000004030000}"/>
    <cellStyle name="Normal 3 3 3 3 2 2 2" xfId="1039" xr:uid="{00000000-0005-0000-0000-000005030000}"/>
    <cellStyle name="Normal 3 3 3 3 2 3" xfId="937" xr:uid="{00000000-0005-0000-0000-000006030000}"/>
    <cellStyle name="Normal 3 3 3 3 3" xfId="784" xr:uid="{00000000-0005-0000-0000-000007030000}"/>
    <cellStyle name="Normal 3 3 3 3 3 2" xfId="988" xr:uid="{00000000-0005-0000-0000-000008030000}"/>
    <cellStyle name="Normal 3 3 3 3 4" xfId="886" xr:uid="{00000000-0005-0000-0000-000009030000}"/>
    <cellStyle name="Normal 3 3 3 4" xfId="699" xr:uid="{00000000-0005-0000-0000-00000A030000}"/>
    <cellStyle name="Normal 3 3 3 4 2" xfId="801" xr:uid="{00000000-0005-0000-0000-00000B030000}"/>
    <cellStyle name="Normal 3 3 3 4 2 2" xfId="1005" xr:uid="{00000000-0005-0000-0000-00000C030000}"/>
    <cellStyle name="Normal 3 3 3 4 3" xfId="903" xr:uid="{00000000-0005-0000-0000-00000D030000}"/>
    <cellStyle name="Normal 3 3 3 5" xfId="750" xr:uid="{00000000-0005-0000-0000-00000E030000}"/>
    <cellStyle name="Normal 3 3 3 5 2" xfId="954" xr:uid="{00000000-0005-0000-0000-00000F030000}"/>
    <cellStyle name="Normal 3 3 3 6" xfId="852" xr:uid="{00000000-0005-0000-0000-000010030000}"/>
    <cellStyle name="Normal 3 3 4" xfId="662" xr:uid="{00000000-0005-0000-0000-000011030000}"/>
    <cellStyle name="Normal 3 3 4 2" xfId="711" xr:uid="{00000000-0005-0000-0000-000012030000}"/>
    <cellStyle name="Normal 3 3 4 2 2" xfId="813" xr:uid="{00000000-0005-0000-0000-000013030000}"/>
    <cellStyle name="Normal 3 3 4 2 2 2" xfId="1017" xr:uid="{00000000-0005-0000-0000-000014030000}"/>
    <cellStyle name="Normal 3 3 4 2 3" xfId="915" xr:uid="{00000000-0005-0000-0000-000015030000}"/>
    <cellStyle name="Normal 3 3 4 3" xfId="762" xr:uid="{00000000-0005-0000-0000-000016030000}"/>
    <cellStyle name="Normal 3 3 4 3 2" xfId="966" xr:uid="{00000000-0005-0000-0000-000017030000}"/>
    <cellStyle name="Normal 3 3 4 4" xfId="864" xr:uid="{00000000-0005-0000-0000-000018030000}"/>
    <cellStyle name="Normal 3 3 5" xfId="677" xr:uid="{00000000-0005-0000-0000-000019030000}"/>
    <cellStyle name="Normal 3 3 5 2" xfId="728" xr:uid="{00000000-0005-0000-0000-00001A030000}"/>
    <cellStyle name="Normal 3 3 5 2 2" xfId="830" xr:uid="{00000000-0005-0000-0000-00001B030000}"/>
    <cellStyle name="Normal 3 3 5 2 2 2" xfId="1034" xr:uid="{00000000-0005-0000-0000-00001C030000}"/>
    <cellStyle name="Normal 3 3 5 2 3" xfId="932" xr:uid="{00000000-0005-0000-0000-00001D030000}"/>
    <cellStyle name="Normal 3 3 5 3" xfId="779" xr:uid="{00000000-0005-0000-0000-00001E030000}"/>
    <cellStyle name="Normal 3 3 5 3 2" xfId="983" xr:uid="{00000000-0005-0000-0000-00001F030000}"/>
    <cellStyle name="Normal 3 3 5 4" xfId="881" xr:uid="{00000000-0005-0000-0000-000020030000}"/>
    <cellStyle name="Normal 3 3 6" xfId="694" xr:uid="{00000000-0005-0000-0000-000021030000}"/>
    <cellStyle name="Normal 3 3 6 2" xfId="796" xr:uid="{00000000-0005-0000-0000-000022030000}"/>
    <cellStyle name="Normal 3 3 6 2 2" xfId="1000" xr:uid="{00000000-0005-0000-0000-000023030000}"/>
    <cellStyle name="Normal 3 3 6 3" xfId="898" xr:uid="{00000000-0005-0000-0000-000024030000}"/>
    <cellStyle name="Normal 3 3 7" xfId="745" xr:uid="{00000000-0005-0000-0000-000025030000}"/>
    <cellStyle name="Normal 3 3 7 2" xfId="949" xr:uid="{00000000-0005-0000-0000-000026030000}"/>
    <cellStyle name="Normal 3 3 8" xfId="847" xr:uid="{00000000-0005-0000-0000-000027030000}"/>
    <cellStyle name="Normal 3 30" xfId="1277" xr:uid="{00000000-0005-0000-0000-000028030000}"/>
    <cellStyle name="Normal 3 31" xfId="1295" xr:uid="{00000000-0005-0000-0000-000029030000}"/>
    <cellStyle name="Normal 3 32" xfId="1266" xr:uid="{00000000-0005-0000-0000-00002A030000}"/>
    <cellStyle name="Normal 3 33" xfId="1282" xr:uid="{00000000-0005-0000-0000-00002B030000}"/>
    <cellStyle name="Normal 3 4" xfId="652" xr:uid="{00000000-0005-0000-0000-00002C030000}"/>
    <cellStyle name="Normal 3 4 2" xfId="668" xr:uid="{00000000-0005-0000-0000-00002D030000}"/>
    <cellStyle name="Normal 3 4 2 2" xfId="717" xr:uid="{00000000-0005-0000-0000-00002E030000}"/>
    <cellStyle name="Normal 3 4 2 2 2" xfId="819" xr:uid="{00000000-0005-0000-0000-00002F030000}"/>
    <cellStyle name="Normal 3 4 2 2 2 2" xfId="1023" xr:uid="{00000000-0005-0000-0000-000030030000}"/>
    <cellStyle name="Normal 3 4 2 2 3" xfId="921" xr:uid="{00000000-0005-0000-0000-000031030000}"/>
    <cellStyle name="Normal 3 4 2 3" xfId="768" xr:uid="{00000000-0005-0000-0000-000032030000}"/>
    <cellStyle name="Normal 3 4 2 3 2" xfId="972" xr:uid="{00000000-0005-0000-0000-000033030000}"/>
    <cellStyle name="Normal 3 4 2 4" xfId="870" xr:uid="{00000000-0005-0000-0000-000034030000}"/>
    <cellStyle name="Normal 3 4 3" xfId="683" xr:uid="{00000000-0005-0000-0000-000035030000}"/>
    <cellStyle name="Normal 3 4 3 2" xfId="734" xr:uid="{00000000-0005-0000-0000-000036030000}"/>
    <cellStyle name="Normal 3 4 3 2 2" xfId="836" xr:uid="{00000000-0005-0000-0000-000037030000}"/>
    <cellStyle name="Normal 3 4 3 2 2 2" xfId="1040" xr:uid="{00000000-0005-0000-0000-000038030000}"/>
    <cellStyle name="Normal 3 4 3 2 3" xfId="938" xr:uid="{00000000-0005-0000-0000-000039030000}"/>
    <cellStyle name="Normal 3 4 3 3" xfId="785" xr:uid="{00000000-0005-0000-0000-00003A030000}"/>
    <cellStyle name="Normal 3 4 3 3 2" xfId="989" xr:uid="{00000000-0005-0000-0000-00003B030000}"/>
    <cellStyle name="Normal 3 4 3 4" xfId="887" xr:uid="{00000000-0005-0000-0000-00003C030000}"/>
    <cellStyle name="Normal 3 4 4" xfId="700" xr:uid="{00000000-0005-0000-0000-00003D030000}"/>
    <cellStyle name="Normal 3 4 4 2" xfId="802" xr:uid="{00000000-0005-0000-0000-00003E030000}"/>
    <cellStyle name="Normal 3 4 4 2 2" xfId="1006" xr:uid="{00000000-0005-0000-0000-00003F030000}"/>
    <cellStyle name="Normal 3 4 4 3" xfId="904" xr:uid="{00000000-0005-0000-0000-000040030000}"/>
    <cellStyle name="Normal 3 4 5" xfId="751" xr:uid="{00000000-0005-0000-0000-000041030000}"/>
    <cellStyle name="Normal 3 4 5 2" xfId="955" xr:uid="{00000000-0005-0000-0000-000042030000}"/>
    <cellStyle name="Normal 3 4 6" xfId="853" xr:uid="{00000000-0005-0000-0000-000043030000}"/>
    <cellStyle name="Normal 3 5" xfId="646" xr:uid="{00000000-0005-0000-0000-000044030000}"/>
    <cellStyle name="Normal 3 5 2" xfId="663" xr:uid="{00000000-0005-0000-0000-000045030000}"/>
    <cellStyle name="Normal 3 5 2 2" xfId="712" xr:uid="{00000000-0005-0000-0000-000046030000}"/>
    <cellStyle name="Normal 3 5 2 2 2" xfId="814" xr:uid="{00000000-0005-0000-0000-000047030000}"/>
    <cellStyle name="Normal 3 5 2 2 2 2" xfId="1018" xr:uid="{00000000-0005-0000-0000-000048030000}"/>
    <cellStyle name="Normal 3 5 2 2 3" xfId="916" xr:uid="{00000000-0005-0000-0000-000049030000}"/>
    <cellStyle name="Normal 3 5 2 3" xfId="763" xr:uid="{00000000-0005-0000-0000-00004A030000}"/>
    <cellStyle name="Normal 3 5 2 3 2" xfId="967" xr:uid="{00000000-0005-0000-0000-00004B030000}"/>
    <cellStyle name="Normal 3 5 2 4" xfId="865" xr:uid="{00000000-0005-0000-0000-00004C030000}"/>
    <cellStyle name="Normal 3 5 3" xfId="678" xr:uid="{00000000-0005-0000-0000-00004D030000}"/>
    <cellStyle name="Normal 3 5 3 2" xfId="729" xr:uid="{00000000-0005-0000-0000-00004E030000}"/>
    <cellStyle name="Normal 3 5 3 2 2" xfId="831" xr:uid="{00000000-0005-0000-0000-00004F030000}"/>
    <cellStyle name="Normal 3 5 3 2 2 2" xfId="1035" xr:uid="{00000000-0005-0000-0000-000050030000}"/>
    <cellStyle name="Normal 3 5 3 2 3" xfId="933" xr:uid="{00000000-0005-0000-0000-000051030000}"/>
    <cellStyle name="Normal 3 5 3 3" xfId="780" xr:uid="{00000000-0005-0000-0000-000052030000}"/>
    <cellStyle name="Normal 3 5 3 3 2" xfId="984" xr:uid="{00000000-0005-0000-0000-000053030000}"/>
    <cellStyle name="Normal 3 5 3 4" xfId="882" xr:uid="{00000000-0005-0000-0000-000054030000}"/>
    <cellStyle name="Normal 3 5 4" xfId="695" xr:uid="{00000000-0005-0000-0000-000055030000}"/>
    <cellStyle name="Normal 3 5 4 2" xfId="797" xr:uid="{00000000-0005-0000-0000-000056030000}"/>
    <cellStyle name="Normal 3 5 4 2 2" xfId="1001" xr:uid="{00000000-0005-0000-0000-000057030000}"/>
    <cellStyle name="Normal 3 5 4 3" xfId="899" xr:uid="{00000000-0005-0000-0000-000058030000}"/>
    <cellStyle name="Normal 3 5 5" xfId="746" xr:uid="{00000000-0005-0000-0000-000059030000}"/>
    <cellStyle name="Normal 3 5 5 2" xfId="950" xr:uid="{00000000-0005-0000-0000-00005A030000}"/>
    <cellStyle name="Normal 3 5 6" xfId="848" xr:uid="{00000000-0005-0000-0000-00005B030000}"/>
    <cellStyle name="Normal 3 6" xfId="658" xr:uid="{00000000-0005-0000-0000-00005C030000}"/>
    <cellStyle name="Normal 3 6 2" xfId="707" xr:uid="{00000000-0005-0000-0000-00005D030000}"/>
    <cellStyle name="Normal 3 6 2 2" xfId="809" xr:uid="{00000000-0005-0000-0000-00005E030000}"/>
    <cellStyle name="Normal 3 6 2 2 2" xfId="1013" xr:uid="{00000000-0005-0000-0000-00005F030000}"/>
    <cellStyle name="Normal 3 6 2 3" xfId="911" xr:uid="{00000000-0005-0000-0000-000060030000}"/>
    <cellStyle name="Normal 3 6 3" xfId="758" xr:uid="{00000000-0005-0000-0000-000061030000}"/>
    <cellStyle name="Normal 3 6 3 2" xfId="962" xr:uid="{00000000-0005-0000-0000-000062030000}"/>
    <cellStyle name="Normal 3 6 4" xfId="860" xr:uid="{00000000-0005-0000-0000-000063030000}"/>
    <cellStyle name="Normal 3 7" xfId="673" xr:uid="{00000000-0005-0000-0000-000064030000}"/>
    <cellStyle name="Normal 3 7 2" xfId="724" xr:uid="{00000000-0005-0000-0000-000065030000}"/>
    <cellStyle name="Normal 3 7 2 2" xfId="826" xr:uid="{00000000-0005-0000-0000-000066030000}"/>
    <cellStyle name="Normal 3 7 2 2 2" xfId="1030" xr:uid="{00000000-0005-0000-0000-000067030000}"/>
    <cellStyle name="Normal 3 7 2 3" xfId="928" xr:uid="{00000000-0005-0000-0000-000068030000}"/>
    <cellStyle name="Normal 3 7 3" xfId="775" xr:uid="{00000000-0005-0000-0000-000069030000}"/>
    <cellStyle name="Normal 3 7 3 2" xfId="979" xr:uid="{00000000-0005-0000-0000-00006A030000}"/>
    <cellStyle name="Normal 3 7 4" xfId="877" xr:uid="{00000000-0005-0000-0000-00006B030000}"/>
    <cellStyle name="Normal 3 8" xfId="690" xr:uid="{00000000-0005-0000-0000-00006C030000}"/>
    <cellStyle name="Normal 3 8 2" xfId="792" xr:uid="{00000000-0005-0000-0000-00006D030000}"/>
    <cellStyle name="Normal 3 8 2 2" xfId="996" xr:uid="{00000000-0005-0000-0000-00006E030000}"/>
    <cellStyle name="Normal 3 8 3" xfId="894" xr:uid="{00000000-0005-0000-0000-00006F030000}"/>
    <cellStyle name="Normal 3 9" xfId="741" xr:uid="{00000000-0005-0000-0000-000070030000}"/>
    <cellStyle name="Normal 3 9 2" xfId="945" xr:uid="{00000000-0005-0000-0000-000071030000}"/>
    <cellStyle name="Normal 30" xfId="1209" xr:uid="{00000000-0005-0000-0000-000072030000}"/>
    <cellStyle name="Normal 31" xfId="1129" xr:uid="{00000000-0005-0000-0000-000073030000}"/>
    <cellStyle name="Normal 32" xfId="1310" xr:uid="{00000000-0005-0000-0000-000074030000}"/>
    <cellStyle name="Normal 33" xfId="1248" xr:uid="{00000000-0005-0000-0000-000075030000}"/>
    <cellStyle name="Normal 34" xfId="1286" xr:uid="{00000000-0005-0000-0000-000076030000}"/>
    <cellStyle name="Normal 35" xfId="1271" xr:uid="{00000000-0005-0000-0000-000077030000}"/>
    <cellStyle name="Normal 4" xfId="57" xr:uid="{00000000-0005-0000-0000-000078030000}"/>
    <cellStyle name="Normal 4 10" xfId="1102" xr:uid="{00000000-0005-0000-0000-000079030000}"/>
    <cellStyle name="Normal 4 11" xfId="1104" xr:uid="{00000000-0005-0000-0000-00007A030000}"/>
    <cellStyle name="Normal 4 12" xfId="1063" xr:uid="{00000000-0005-0000-0000-00007B030000}"/>
    <cellStyle name="Normal 4 13" xfId="1125" xr:uid="{00000000-0005-0000-0000-00007C030000}"/>
    <cellStyle name="Normal 4 14" xfId="1159" xr:uid="{00000000-0005-0000-0000-00007D030000}"/>
    <cellStyle name="Normal 4 15" xfId="1166" xr:uid="{00000000-0005-0000-0000-00007E030000}"/>
    <cellStyle name="Normal 4 16" xfId="1144" xr:uid="{00000000-0005-0000-0000-00007F030000}"/>
    <cellStyle name="Normal 4 17" xfId="1151" xr:uid="{00000000-0005-0000-0000-000080030000}"/>
    <cellStyle name="Normal 4 18" xfId="1208" xr:uid="{00000000-0005-0000-0000-000081030000}"/>
    <cellStyle name="Normal 4 19" xfId="1200" xr:uid="{00000000-0005-0000-0000-000082030000}"/>
    <cellStyle name="Normal 4 2" xfId="642" xr:uid="{00000000-0005-0000-0000-000083030000}"/>
    <cellStyle name="Normal 4 2 2" xfId="669" xr:uid="{00000000-0005-0000-0000-000084030000}"/>
    <cellStyle name="Normal 4 2 2 2" xfId="718" xr:uid="{00000000-0005-0000-0000-000085030000}"/>
    <cellStyle name="Normal 4 2 2 2 2" xfId="820" xr:uid="{00000000-0005-0000-0000-000086030000}"/>
    <cellStyle name="Normal 4 2 2 2 2 2" xfId="1024" xr:uid="{00000000-0005-0000-0000-000087030000}"/>
    <cellStyle name="Normal 4 2 2 2 3" xfId="922" xr:uid="{00000000-0005-0000-0000-000088030000}"/>
    <cellStyle name="Normal 4 2 2 3" xfId="769" xr:uid="{00000000-0005-0000-0000-000089030000}"/>
    <cellStyle name="Normal 4 2 2 3 2" xfId="973" xr:uid="{00000000-0005-0000-0000-00008A030000}"/>
    <cellStyle name="Normal 4 2 2 4" xfId="871" xr:uid="{00000000-0005-0000-0000-00008B030000}"/>
    <cellStyle name="Normal 4 2 3" xfId="684" xr:uid="{00000000-0005-0000-0000-00008C030000}"/>
    <cellStyle name="Normal 4 2 3 2" xfId="735" xr:uid="{00000000-0005-0000-0000-00008D030000}"/>
    <cellStyle name="Normal 4 2 3 2 2" xfId="837" xr:uid="{00000000-0005-0000-0000-00008E030000}"/>
    <cellStyle name="Normal 4 2 3 2 2 2" xfId="1041" xr:uid="{00000000-0005-0000-0000-00008F030000}"/>
    <cellStyle name="Normal 4 2 3 2 3" xfId="939" xr:uid="{00000000-0005-0000-0000-000090030000}"/>
    <cellStyle name="Normal 4 2 3 3" xfId="786" xr:uid="{00000000-0005-0000-0000-000091030000}"/>
    <cellStyle name="Normal 4 2 3 3 2" xfId="990" xr:uid="{00000000-0005-0000-0000-000092030000}"/>
    <cellStyle name="Normal 4 2 3 4" xfId="888" xr:uid="{00000000-0005-0000-0000-000093030000}"/>
    <cellStyle name="Normal 4 2 4" xfId="701" xr:uid="{00000000-0005-0000-0000-000094030000}"/>
    <cellStyle name="Normal 4 2 4 2" xfId="803" xr:uid="{00000000-0005-0000-0000-000095030000}"/>
    <cellStyle name="Normal 4 2 4 2 2" xfId="1007" xr:uid="{00000000-0005-0000-0000-000096030000}"/>
    <cellStyle name="Normal 4 2 4 3" xfId="905" xr:uid="{00000000-0005-0000-0000-000097030000}"/>
    <cellStyle name="Normal 4 2 5" xfId="752" xr:uid="{00000000-0005-0000-0000-000098030000}"/>
    <cellStyle name="Normal 4 2 5 2" xfId="956" xr:uid="{00000000-0005-0000-0000-000099030000}"/>
    <cellStyle name="Normal 4 2 6" xfId="854" xr:uid="{00000000-0005-0000-0000-00009A030000}"/>
    <cellStyle name="Normal 4 20" xfId="1172" xr:uid="{00000000-0005-0000-0000-00009B030000}"/>
    <cellStyle name="Normal 4 21" xfId="1177" xr:uid="{00000000-0005-0000-0000-00009C030000}"/>
    <cellStyle name="Normal 4 22" xfId="1190" xr:uid="{00000000-0005-0000-0000-00009D030000}"/>
    <cellStyle name="Normal 4 23" xfId="1198" xr:uid="{00000000-0005-0000-0000-00009E030000}"/>
    <cellStyle name="Normal 4 24" xfId="1245" xr:uid="{00000000-0005-0000-0000-00009F030000}"/>
    <cellStyle name="Normal 4 25" xfId="1240" xr:uid="{00000000-0005-0000-0000-0000A0030000}"/>
    <cellStyle name="Normal 4 26" xfId="1155" xr:uid="{00000000-0005-0000-0000-0000A1030000}"/>
    <cellStyle name="Normal 4 27" xfId="1263" xr:uid="{00000000-0005-0000-0000-0000A2030000}"/>
    <cellStyle name="Normal 4 28" xfId="1270" xr:uid="{00000000-0005-0000-0000-0000A3030000}"/>
    <cellStyle name="Normal 4 29" xfId="1293" xr:uid="{00000000-0005-0000-0000-0000A4030000}"/>
    <cellStyle name="Normal 4 3" xfId="647" xr:uid="{00000000-0005-0000-0000-0000A5030000}"/>
    <cellStyle name="Normal 4 3 2" xfId="664" xr:uid="{00000000-0005-0000-0000-0000A6030000}"/>
    <cellStyle name="Normal 4 3 2 2" xfId="713" xr:uid="{00000000-0005-0000-0000-0000A7030000}"/>
    <cellStyle name="Normal 4 3 2 2 2" xfId="815" xr:uid="{00000000-0005-0000-0000-0000A8030000}"/>
    <cellStyle name="Normal 4 3 2 2 2 2" xfId="1019" xr:uid="{00000000-0005-0000-0000-0000A9030000}"/>
    <cellStyle name="Normal 4 3 2 2 3" xfId="917" xr:uid="{00000000-0005-0000-0000-0000AA030000}"/>
    <cellStyle name="Normal 4 3 2 3" xfId="764" xr:uid="{00000000-0005-0000-0000-0000AB030000}"/>
    <cellStyle name="Normal 4 3 2 3 2" xfId="968" xr:uid="{00000000-0005-0000-0000-0000AC030000}"/>
    <cellStyle name="Normal 4 3 2 4" xfId="866" xr:uid="{00000000-0005-0000-0000-0000AD030000}"/>
    <cellStyle name="Normal 4 3 3" xfId="679" xr:uid="{00000000-0005-0000-0000-0000AE030000}"/>
    <cellStyle name="Normal 4 3 3 2" xfId="730" xr:uid="{00000000-0005-0000-0000-0000AF030000}"/>
    <cellStyle name="Normal 4 3 3 2 2" xfId="832" xr:uid="{00000000-0005-0000-0000-0000B0030000}"/>
    <cellStyle name="Normal 4 3 3 2 2 2" xfId="1036" xr:uid="{00000000-0005-0000-0000-0000B1030000}"/>
    <cellStyle name="Normal 4 3 3 2 3" xfId="934" xr:uid="{00000000-0005-0000-0000-0000B2030000}"/>
    <cellStyle name="Normal 4 3 3 3" xfId="781" xr:uid="{00000000-0005-0000-0000-0000B3030000}"/>
    <cellStyle name="Normal 4 3 3 3 2" xfId="985" xr:uid="{00000000-0005-0000-0000-0000B4030000}"/>
    <cellStyle name="Normal 4 3 3 4" xfId="883" xr:uid="{00000000-0005-0000-0000-0000B5030000}"/>
    <cellStyle name="Normal 4 3 4" xfId="696" xr:uid="{00000000-0005-0000-0000-0000B6030000}"/>
    <cellStyle name="Normal 4 3 4 2" xfId="798" xr:uid="{00000000-0005-0000-0000-0000B7030000}"/>
    <cellStyle name="Normal 4 3 4 2 2" xfId="1002" xr:uid="{00000000-0005-0000-0000-0000B8030000}"/>
    <cellStyle name="Normal 4 3 4 3" xfId="900" xr:uid="{00000000-0005-0000-0000-0000B9030000}"/>
    <cellStyle name="Normal 4 3 5" xfId="747" xr:uid="{00000000-0005-0000-0000-0000BA030000}"/>
    <cellStyle name="Normal 4 3 5 2" xfId="951" xr:uid="{00000000-0005-0000-0000-0000BB030000}"/>
    <cellStyle name="Normal 4 3 6" xfId="849" xr:uid="{00000000-0005-0000-0000-0000BC030000}"/>
    <cellStyle name="Normal 4 30" xfId="1290" xr:uid="{00000000-0005-0000-0000-0000BD030000}"/>
    <cellStyle name="Normal 4 31" xfId="1283" xr:uid="{00000000-0005-0000-0000-0000BE030000}"/>
    <cellStyle name="Normal 4 4" xfId="659" xr:uid="{00000000-0005-0000-0000-0000BF030000}"/>
    <cellStyle name="Normal 4 4 2" xfId="708" xr:uid="{00000000-0005-0000-0000-0000C0030000}"/>
    <cellStyle name="Normal 4 4 2 2" xfId="810" xr:uid="{00000000-0005-0000-0000-0000C1030000}"/>
    <cellStyle name="Normal 4 4 2 2 2" xfId="1014" xr:uid="{00000000-0005-0000-0000-0000C2030000}"/>
    <cellStyle name="Normal 4 4 2 3" xfId="912" xr:uid="{00000000-0005-0000-0000-0000C3030000}"/>
    <cellStyle name="Normal 4 4 3" xfId="759" xr:uid="{00000000-0005-0000-0000-0000C4030000}"/>
    <cellStyle name="Normal 4 4 3 2" xfId="963" xr:uid="{00000000-0005-0000-0000-0000C5030000}"/>
    <cellStyle name="Normal 4 4 4" xfId="861" xr:uid="{00000000-0005-0000-0000-0000C6030000}"/>
    <cellStyle name="Normal 4 5" xfId="674" xr:uid="{00000000-0005-0000-0000-0000C7030000}"/>
    <cellStyle name="Normal 4 5 2" xfId="725" xr:uid="{00000000-0005-0000-0000-0000C8030000}"/>
    <cellStyle name="Normal 4 5 2 2" xfId="827" xr:uid="{00000000-0005-0000-0000-0000C9030000}"/>
    <cellStyle name="Normal 4 5 2 2 2" xfId="1031" xr:uid="{00000000-0005-0000-0000-0000CA030000}"/>
    <cellStyle name="Normal 4 5 2 3" xfId="929" xr:uid="{00000000-0005-0000-0000-0000CB030000}"/>
    <cellStyle name="Normal 4 5 3" xfId="776" xr:uid="{00000000-0005-0000-0000-0000CC030000}"/>
    <cellStyle name="Normal 4 5 3 2" xfId="980" xr:uid="{00000000-0005-0000-0000-0000CD030000}"/>
    <cellStyle name="Normal 4 5 4" xfId="878" xr:uid="{00000000-0005-0000-0000-0000CE030000}"/>
    <cellStyle name="Normal 4 6" xfId="691" xr:uid="{00000000-0005-0000-0000-0000CF030000}"/>
    <cellStyle name="Normal 4 6 2" xfId="793" xr:uid="{00000000-0005-0000-0000-0000D0030000}"/>
    <cellStyle name="Normal 4 6 2 2" xfId="997" xr:uid="{00000000-0005-0000-0000-0000D1030000}"/>
    <cellStyle name="Normal 4 6 3" xfId="895" xr:uid="{00000000-0005-0000-0000-0000D2030000}"/>
    <cellStyle name="Normal 4 7" xfId="742" xr:uid="{00000000-0005-0000-0000-0000D3030000}"/>
    <cellStyle name="Normal 4 7 2" xfId="946" xr:uid="{00000000-0005-0000-0000-0000D4030000}"/>
    <cellStyle name="Normal 4 8" xfId="844" xr:uid="{00000000-0005-0000-0000-0000D5030000}"/>
    <cellStyle name="Normal 4 9" xfId="1052" xr:uid="{00000000-0005-0000-0000-0000D6030000}"/>
    <cellStyle name="Normal 5" xfId="60" xr:uid="{00000000-0005-0000-0000-0000D7030000}"/>
    <cellStyle name="Normal 5 10" xfId="492" xr:uid="{00000000-0005-0000-0000-0000D8030000}"/>
    <cellStyle name="Normal 5 11" xfId="540" xr:uid="{00000000-0005-0000-0000-0000D9030000}"/>
    <cellStyle name="Normal 5 12" xfId="589" xr:uid="{00000000-0005-0000-0000-0000DA030000}"/>
    <cellStyle name="Normal 5 13" xfId="636" xr:uid="{00000000-0005-0000-0000-0000DB030000}"/>
    <cellStyle name="Normal 5 14" xfId="644" xr:uid="{00000000-0005-0000-0000-0000DC030000}"/>
    <cellStyle name="Normal 5 15" xfId="1054" xr:uid="{00000000-0005-0000-0000-0000DD030000}"/>
    <cellStyle name="Normal 5 16" xfId="1062" xr:uid="{00000000-0005-0000-0000-0000DE030000}"/>
    <cellStyle name="Normal 5 17" xfId="1084" xr:uid="{00000000-0005-0000-0000-0000DF030000}"/>
    <cellStyle name="Normal 5 18" xfId="1055" xr:uid="{00000000-0005-0000-0000-0000E0030000}"/>
    <cellStyle name="Normal 5 19" xfId="1057" xr:uid="{00000000-0005-0000-0000-0000E1030000}"/>
    <cellStyle name="Normal 5 2" xfId="65" xr:uid="{00000000-0005-0000-0000-0000E2030000}"/>
    <cellStyle name="Normal 5 20" xfId="1080" xr:uid="{00000000-0005-0000-0000-0000E3030000}"/>
    <cellStyle name="Normal 5 21" xfId="1099" xr:uid="{00000000-0005-0000-0000-0000E4030000}"/>
    <cellStyle name="Normal 5 22" xfId="1081" xr:uid="{00000000-0005-0000-0000-0000E5030000}"/>
    <cellStyle name="Normal 5 23" xfId="1085" xr:uid="{00000000-0005-0000-0000-0000E6030000}"/>
    <cellStyle name="Normal 5 24" xfId="1066" xr:uid="{00000000-0005-0000-0000-0000E7030000}"/>
    <cellStyle name="Normal 5 25" xfId="1074" xr:uid="{00000000-0005-0000-0000-0000E8030000}"/>
    <cellStyle name="Normal 5 26" xfId="1053" xr:uid="{00000000-0005-0000-0000-0000E9030000}"/>
    <cellStyle name="Normal 5 27" xfId="1087" xr:uid="{00000000-0005-0000-0000-0000EA030000}"/>
    <cellStyle name="Normal 5 28" xfId="1110" xr:uid="{00000000-0005-0000-0000-0000EB030000}"/>
    <cellStyle name="Normal 5 29" xfId="1121" xr:uid="{00000000-0005-0000-0000-0000EC030000}"/>
    <cellStyle name="Normal 5 3" xfId="169" xr:uid="{00000000-0005-0000-0000-0000ED030000}"/>
    <cellStyle name="Normal 5 30" xfId="1127" xr:uid="{00000000-0005-0000-0000-0000EE030000}"/>
    <cellStyle name="Normal 5 31" xfId="1128" xr:uid="{00000000-0005-0000-0000-0000EF030000}"/>
    <cellStyle name="Normal 5 32" xfId="1154" xr:uid="{00000000-0005-0000-0000-0000F0030000}"/>
    <cellStyle name="Normal 5 33" xfId="1183" xr:uid="{00000000-0005-0000-0000-0000F1030000}"/>
    <cellStyle name="Normal 5 34" xfId="1134" xr:uid="{00000000-0005-0000-0000-0000F2030000}"/>
    <cellStyle name="Normal 5 35" xfId="1210" xr:uid="{00000000-0005-0000-0000-0000F3030000}"/>
    <cellStyle name="Normal 5 36" xfId="1199" xr:uid="{00000000-0005-0000-0000-0000F4030000}"/>
    <cellStyle name="Normal 5 37" xfId="1193" xr:uid="{00000000-0005-0000-0000-0000F5030000}"/>
    <cellStyle name="Normal 5 38" xfId="1156" xr:uid="{00000000-0005-0000-0000-0000F6030000}"/>
    <cellStyle name="Normal 5 39" xfId="1194" xr:uid="{00000000-0005-0000-0000-0000F7030000}"/>
    <cellStyle name="Normal 5 4" xfId="206" xr:uid="{00000000-0005-0000-0000-0000F8030000}"/>
    <cellStyle name="Normal 5 40" xfId="1136" xr:uid="{00000000-0005-0000-0000-0000F9030000}"/>
    <cellStyle name="Normal 5 41" xfId="1182" xr:uid="{00000000-0005-0000-0000-0000FA030000}"/>
    <cellStyle name="Normal 5 42" xfId="1214" xr:uid="{00000000-0005-0000-0000-0000FB030000}"/>
    <cellStyle name="Normal 5 43" xfId="1251" xr:uid="{00000000-0005-0000-0000-0000FC030000}"/>
    <cellStyle name="Normal 5 44" xfId="1265" xr:uid="{00000000-0005-0000-0000-0000FD030000}"/>
    <cellStyle name="Normal 5 45" xfId="1275" xr:uid="{00000000-0005-0000-0000-0000FE030000}"/>
    <cellStyle name="Normal 5 46" xfId="1273" xr:uid="{00000000-0005-0000-0000-0000FF030000}"/>
    <cellStyle name="Normal 5 47" xfId="1278" xr:uid="{00000000-0005-0000-0000-000000040000}"/>
    <cellStyle name="Normal 5 48" xfId="1304" xr:uid="{00000000-0005-0000-0000-000001040000}"/>
    <cellStyle name="Normal 5 5" xfId="254" xr:uid="{00000000-0005-0000-0000-000002040000}"/>
    <cellStyle name="Normal 5 6" xfId="302" xr:uid="{00000000-0005-0000-0000-000003040000}"/>
    <cellStyle name="Normal 5 7" xfId="349" xr:uid="{00000000-0005-0000-0000-000004040000}"/>
    <cellStyle name="Normal 5 8" xfId="396" xr:uid="{00000000-0005-0000-0000-000005040000}"/>
    <cellStyle name="Normal 5 9" xfId="444" xr:uid="{00000000-0005-0000-0000-000006040000}"/>
    <cellStyle name="Normal 6" xfId="62" xr:uid="{00000000-0005-0000-0000-000007040000}"/>
    <cellStyle name="Normal 6 2" xfId="654" xr:uid="{00000000-0005-0000-0000-000008040000}"/>
    <cellStyle name="Normal 6 2 2" xfId="671" xr:uid="{00000000-0005-0000-0000-000009040000}"/>
    <cellStyle name="Normal 6 2 2 2" xfId="720" xr:uid="{00000000-0005-0000-0000-00000A040000}"/>
    <cellStyle name="Normal 6 2 2 2 2" xfId="822" xr:uid="{00000000-0005-0000-0000-00000B040000}"/>
    <cellStyle name="Normal 6 2 2 2 2 2" xfId="1026" xr:uid="{00000000-0005-0000-0000-00000C040000}"/>
    <cellStyle name="Normal 6 2 2 2 3" xfId="924" xr:uid="{00000000-0005-0000-0000-00000D040000}"/>
    <cellStyle name="Normal 6 2 2 3" xfId="771" xr:uid="{00000000-0005-0000-0000-00000E040000}"/>
    <cellStyle name="Normal 6 2 2 3 2" xfId="975" xr:uid="{00000000-0005-0000-0000-00000F040000}"/>
    <cellStyle name="Normal 6 2 2 4" xfId="873" xr:uid="{00000000-0005-0000-0000-000010040000}"/>
    <cellStyle name="Normal 6 2 3" xfId="686" xr:uid="{00000000-0005-0000-0000-000011040000}"/>
    <cellStyle name="Normal 6 2 3 2" xfId="737" xr:uid="{00000000-0005-0000-0000-000012040000}"/>
    <cellStyle name="Normal 6 2 3 2 2" xfId="839" xr:uid="{00000000-0005-0000-0000-000013040000}"/>
    <cellStyle name="Normal 6 2 3 2 2 2" xfId="1043" xr:uid="{00000000-0005-0000-0000-000014040000}"/>
    <cellStyle name="Normal 6 2 3 2 3" xfId="941" xr:uid="{00000000-0005-0000-0000-000015040000}"/>
    <cellStyle name="Normal 6 2 3 3" xfId="788" xr:uid="{00000000-0005-0000-0000-000016040000}"/>
    <cellStyle name="Normal 6 2 3 3 2" xfId="992" xr:uid="{00000000-0005-0000-0000-000017040000}"/>
    <cellStyle name="Normal 6 2 3 4" xfId="890" xr:uid="{00000000-0005-0000-0000-000018040000}"/>
    <cellStyle name="Normal 6 2 4" xfId="703" xr:uid="{00000000-0005-0000-0000-000019040000}"/>
    <cellStyle name="Normal 6 2 4 2" xfId="805" xr:uid="{00000000-0005-0000-0000-00001A040000}"/>
    <cellStyle name="Normal 6 2 4 2 2" xfId="1009" xr:uid="{00000000-0005-0000-0000-00001B040000}"/>
    <cellStyle name="Normal 6 2 4 3" xfId="907" xr:uid="{00000000-0005-0000-0000-00001C040000}"/>
    <cellStyle name="Normal 6 2 5" xfId="754" xr:uid="{00000000-0005-0000-0000-00001D040000}"/>
    <cellStyle name="Normal 6 2 5 2" xfId="958" xr:uid="{00000000-0005-0000-0000-00001E040000}"/>
    <cellStyle name="Normal 6 2 6" xfId="856" xr:uid="{00000000-0005-0000-0000-00001F040000}"/>
    <cellStyle name="Normal 6 3" xfId="649" xr:uid="{00000000-0005-0000-0000-000020040000}"/>
    <cellStyle name="Normal 6 3 2" xfId="666" xr:uid="{00000000-0005-0000-0000-000021040000}"/>
    <cellStyle name="Normal 6 3 2 2" xfId="715" xr:uid="{00000000-0005-0000-0000-000022040000}"/>
    <cellStyle name="Normal 6 3 2 2 2" xfId="817" xr:uid="{00000000-0005-0000-0000-000023040000}"/>
    <cellStyle name="Normal 6 3 2 2 2 2" xfId="1021" xr:uid="{00000000-0005-0000-0000-000024040000}"/>
    <cellStyle name="Normal 6 3 2 2 3" xfId="919" xr:uid="{00000000-0005-0000-0000-000025040000}"/>
    <cellStyle name="Normal 6 3 2 3" xfId="766" xr:uid="{00000000-0005-0000-0000-000026040000}"/>
    <cellStyle name="Normal 6 3 2 3 2" xfId="970" xr:uid="{00000000-0005-0000-0000-000027040000}"/>
    <cellStyle name="Normal 6 3 2 4" xfId="868" xr:uid="{00000000-0005-0000-0000-000028040000}"/>
    <cellStyle name="Normal 6 3 3" xfId="681" xr:uid="{00000000-0005-0000-0000-000029040000}"/>
    <cellStyle name="Normal 6 3 3 2" xfId="732" xr:uid="{00000000-0005-0000-0000-00002A040000}"/>
    <cellStyle name="Normal 6 3 3 2 2" xfId="834" xr:uid="{00000000-0005-0000-0000-00002B040000}"/>
    <cellStyle name="Normal 6 3 3 2 2 2" xfId="1038" xr:uid="{00000000-0005-0000-0000-00002C040000}"/>
    <cellStyle name="Normal 6 3 3 2 3" xfId="936" xr:uid="{00000000-0005-0000-0000-00002D040000}"/>
    <cellStyle name="Normal 6 3 3 3" xfId="783" xr:uid="{00000000-0005-0000-0000-00002E040000}"/>
    <cellStyle name="Normal 6 3 3 3 2" xfId="987" xr:uid="{00000000-0005-0000-0000-00002F040000}"/>
    <cellStyle name="Normal 6 3 3 4" xfId="885" xr:uid="{00000000-0005-0000-0000-000030040000}"/>
    <cellStyle name="Normal 6 3 4" xfId="698" xr:uid="{00000000-0005-0000-0000-000031040000}"/>
    <cellStyle name="Normal 6 3 4 2" xfId="800" xr:uid="{00000000-0005-0000-0000-000032040000}"/>
    <cellStyle name="Normal 6 3 4 2 2" xfId="1004" xr:uid="{00000000-0005-0000-0000-000033040000}"/>
    <cellStyle name="Normal 6 3 4 3" xfId="902" xr:uid="{00000000-0005-0000-0000-000034040000}"/>
    <cellStyle name="Normal 6 3 5" xfId="749" xr:uid="{00000000-0005-0000-0000-000035040000}"/>
    <cellStyle name="Normal 6 3 5 2" xfId="953" xr:uid="{00000000-0005-0000-0000-000036040000}"/>
    <cellStyle name="Normal 6 3 6" xfId="851" xr:uid="{00000000-0005-0000-0000-000037040000}"/>
    <cellStyle name="Normal 6 4" xfId="661" xr:uid="{00000000-0005-0000-0000-000038040000}"/>
    <cellStyle name="Normal 6 4 2" xfId="710" xr:uid="{00000000-0005-0000-0000-000039040000}"/>
    <cellStyle name="Normal 6 4 2 2" xfId="812" xr:uid="{00000000-0005-0000-0000-00003A040000}"/>
    <cellStyle name="Normal 6 4 2 2 2" xfId="1016" xr:uid="{00000000-0005-0000-0000-00003B040000}"/>
    <cellStyle name="Normal 6 4 2 3" xfId="914" xr:uid="{00000000-0005-0000-0000-00003C040000}"/>
    <cellStyle name="Normal 6 4 3" xfId="761" xr:uid="{00000000-0005-0000-0000-00003D040000}"/>
    <cellStyle name="Normal 6 4 3 2" xfId="965" xr:uid="{00000000-0005-0000-0000-00003E040000}"/>
    <cellStyle name="Normal 6 4 4" xfId="863" xr:uid="{00000000-0005-0000-0000-00003F040000}"/>
    <cellStyle name="Normal 6 5" xfId="676" xr:uid="{00000000-0005-0000-0000-000040040000}"/>
    <cellStyle name="Normal 6 5 2" xfId="727" xr:uid="{00000000-0005-0000-0000-000041040000}"/>
    <cellStyle name="Normal 6 5 2 2" xfId="829" xr:uid="{00000000-0005-0000-0000-000042040000}"/>
    <cellStyle name="Normal 6 5 2 2 2" xfId="1033" xr:uid="{00000000-0005-0000-0000-000043040000}"/>
    <cellStyle name="Normal 6 5 2 3" xfId="931" xr:uid="{00000000-0005-0000-0000-000044040000}"/>
    <cellStyle name="Normal 6 5 3" xfId="778" xr:uid="{00000000-0005-0000-0000-000045040000}"/>
    <cellStyle name="Normal 6 5 3 2" xfId="982" xr:uid="{00000000-0005-0000-0000-000046040000}"/>
    <cellStyle name="Normal 6 5 4" xfId="880" xr:uid="{00000000-0005-0000-0000-000047040000}"/>
    <cellStyle name="Normal 6 6" xfId="693" xr:uid="{00000000-0005-0000-0000-000048040000}"/>
    <cellStyle name="Normal 6 6 2" xfId="795" xr:uid="{00000000-0005-0000-0000-000049040000}"/>
    <cellStyle name="Normal 6 6 2 2" xfId="999" xr:uid="{00000000-0005-0000-0000-00004A040000}"/>
    <cellStyle name="Normal 6 6 3" xfId="897" xr:uid="{00000000-0005-0000-0000-00004B040000}"/>
    <cellStyle name="Normal 6 7" xfId="744" xr:uid="{00000000-0005-0000-0000-00004C040000}"/>
    <cellStyle name="Normal 6 7 2" xfId="948" xr:uid="{00000000-0005-0000-0000-00004D040000}"/>
    <cellStyle name="Normal 6 8" xfId="846" xr:uid="{00000000-0005-0000-0000-00004E040000}"/>
    <cellStyle name="Normal 7" xfId="66" xr:uid="{00000000-0005-0000-0000-00004F040000}"/>
    <cellStyle name="Normal 7 10" xfId="1101" xr:uid="{00000000-0005-0000-0000-000050040000}"/>
    <cellStyle name="Normal 7 11" xfId="1105" xr:uid="{00000000-0005-0000-0000-000051040000}"/>
    <cellStyle name="Normal 7 12" xfId="1096" xr:uid="{00000000-0005-0000-0000-000052040000}"/>
    <cellStyle name="Normal 7 13" xfId="1090" xr:uid="{00000000-0005-0000-0000-000053040000}"/>
    <cellStyle name="Normal 7 14" xfId="1060" xr:uid="{00000000-0005-0000-0000-000054040000}"/>
    <cellStyle name="Normal 7 15" xfId="1083" xr:uid="{00000000-0005-0000-0000-000055040000}"/>
    <cellStyle name="Normal 7 16" xfId="1059" xr:uid="{00000000-0005-0000-0000-000056040000}"/>
    <cellStyle name="Normal 7 17" xfId="1097" xr:uid="{00000000-0005-0000-0000-000057040000}"/>
    <cellStyle name="Normal 7 18" xfId="1068" xr:uid="{00000000-0005-0000-0000-000058040000}"/>
    <cellStyle name="Normal 7 19" xfId="1107" xr:uid="{00000000-0005-0000-0000-000059040000}"/>
    <cellStyle name="Normal 7 2" xfId="656" xr:uid="{00000000-0005-0000-0000-00005A040000}"/>
    <cellStyle name="Normal 7 2 2" xfId="722" xr:uid="{00000000-0005-0000-0000-00005B040000}"/>
    <cellStyle name="Normal 7 2 2 2" xfId="824" xr:uid="{00000000-0005-0000-0000-00005C040000}"/>
    <cellStyle name="Normal 7 2 2 2 2" xfId="1028" xr:uid="{00000000-0005-0000-0000-00005D040000}"/>
    <cellStyle name="Normal 7 2 2 3" xfId="926" xr:uid="{00000000-0005-0000-0000-00005E040000}"/>
    <cellStyle name="Normal 7 2 3" xfId="773" xr:uid="{00000000-0005-0000-0000-00005F040000}"/>
    <cellStyle name="Normal 7 2 3 2" xfId="977" xr:uid="{00000000-0005-0000-0000-000060040000}"/>
    <cellStyle name="Normal 7 2 4" xfId="875" xr:uid="{00000000-0005-0000-0000-000061040000}"/>
    <cellStyle name="Normal 7 20" xfId="1069" xr:uid="{00000000-0005-0000-0000-000062040000}"/>
    <cellStyle name="Normal 7 21" xfId="1111" xr:uid="{00000000-0005-0000-0000-000063040000}"/>
    <cellStyle name="Normal 7 22" xfId="1131" xr:uid="{00000000-0005-0000-0000-000064040000}"/>
    <cellStyle name="Normal 7 23" xfId="1147" xr:uid="{00000000-0005-0000-0000-000065040000}"/>
    <cellStyle name="Normal 7 24" xfId="1133" xr:uid="{00000000-0005-0000-0000-000066040000}"/>
    <cellStyle name="Normal 7 25" xfId="1189" xr:uid="{00000000-0005-0000-0000-000067040000}"/>
    <cellStyle name="Normal 7 26" xfId="1201" xr:uid="{00000000-0005-0000-0000-000068040000}"/>
    <cellStyle name="Normal 7 27" xfId="1152" xr:uid="{00000000-0005-0000-0000-000069040000}"/>
    <cellStyle name="Normal 7 28" xfId="1195" xr:uid="{00000000-0005-0000-0000-00006A040000}"/>
    <cellStyle name="Normal 7 29" xfId="1181" xr:uid="{00000000-0005-0000-0000-00006B040000}"/>
    <cellStyle name="Normal 7 3" xfId="688" xr:uid="{00000000-0005-0000-0000-00006C040000}"/>
    <cellStyle name="Normal 7 3 2" xfId="739" xr:uid="{00000000-0005-0000-0000-00006D040000}"/>
    <cellStyle name="Normal 7 3 2 2" xfId="841" xr:uid="{00000000-0005-0000-0000-00006E040000}"/>
    <cellStyle name="Normal 7 3 2 2 2" xfId="1045" xr:uid="{00000000-0005-0000-0000-00006F040000}"/>
    <cellStyle name="Normal 7 3 2 3" xfId="943" xr:uid="{00000000-0005-0000-0000-000070040000}"/>
    <cellStyle name="Normal 7 3 3" xfId="790" xr:uid="{00000000-0005-0000-0000-000071040000}"/>
    <cellStyle name="Normal 7 3 3 2" xfId="994" xr:uid="{00000000-0005-0000-0000-000072040000}"/>
    <cellStyle name="Normal 7 3 4" xfId="892" xr:uid="{00000000-0005-0000-0000-000073040000}"/>
    <cellStyle name="Normal 7 30" xfId="1187" xr:uid="{00000000-0005-0000-0000-000074040000}"/>
    <cellStyle name="Normal 7 31" xfId="1239" xr:uid="{00000000-0005-0000-0000-000075040000}"/>
    <cellStyle name="Normal 7 32" xfId="1218" xr:uid="{00000000-0005-0000-0000-000076040000}"/>
    <cellStyle name="Normal 7 33" xfId="1191" xr:uid="{00000000-0005-0000-0000-000077040000}"/>
    <cellStyle name="Normal 7 34" xfId="1211" xr:uid="{00000000-0005-0000-0000-000078040000}"/>
    <cellStyle name="Normal 7 35" xfId="1253" xr:uid="{00000000-0005-0000-0000-000079040000}"/>
    <cellStyle name="Normal 7 36" xfId="1267" xr:uid="{00000000-0005-0000-0000-00007A040000}"/>
    <cellStyle name="Normal 7 37" xfId="1279" xr:uid="{00000000-0005-0000-0000-00007B040000}"/>
    <cellStyle name="Normal 7 38" xfId="1287" xr:uid="{00000000-0005-0000-0000-00007C040000}"/>
    <cellStyle name="Normal 7 39" xfId="1292" xr:uid="{00000000-0005-0000-0000-00007D040000}"/>
    <cellStyle name="Normal 7 4" xfId="705" xr:uid="{00000000-0005-0000-0000-00007E040000}"/>
    <cellStyle name="Normal 7 4 2" xfId="807" xr:uid="{00000000-0005-0000-0000-00007F040000}"/>
    <cellStyle name="Normal 7 4 2 2" xfId="1011" xr:uid="{00000000-0005-0000-0000-000080040000}"/>
    <cellStyle name="Normal 7 4 3" xfId="909" xr:uid="{00000000-0005-0000-0000-000081040000}"/>
    <cellStyle name="Normal 7 40" xfId="1301" xr:uid="{00000000-0005-0000-0000-000082040000}"/>
    <cellStyle name="Normal 7 5" xfId="756" xr:uid="{00000000-0005-0000-0000-000083040000}"/>
    <cellStyle name="Normal 7 5 2" xfId="960" xr:uid="{00000000-0005-0000-0000-000084040000}"/>
    <cellStyle name="Normal 7 6" xfId="858" xr:uid="{00000000-0005-0000-0000-000085040000}"/>
    <cellStyle name="Normal 7 7" xfId="1056" xr:uid="{00000000-0005-0000-0000-000086040000}"/>
    <cellStyle name="Normal 7 8" xfId="1088" xr:uid="{00000000-0005-0000-0000-000087040000}"/>
    <cellStyle name="Normal 7 9" xfId="1076" xr:uid="{00000000-0005-0000-0000-000088040000}"/>
    <cellStyle name="Normal 8" xfId="111" xr:uid="{00000000-0005-0000-0000-000089040000}"/>
    <cellStyle name="Normal 8 10" xfId="1222" xr:uid="{00000000-0005-0000-0000-00008A040000}"/>
    <cellStyle name="Normal 8 11" xfId="1226" xr:uid="{00000000-0005-0000-0000-00008B040000}"/>
    <cellStyle name="Normal 8 12" xfId="1229" xr:uid="{00000000-0005-0000-0000-00008C040000}"/>
    <cellStyle name="Normal 8 13" xfId="1231" xr:uid="{00000000-0005-0000-0000-00008D040000}"/>
    <cellStyle name="Normal 8 14" xfId="1234" xr:uid="{00000000-0005-0000-0000-00008E040000}"/>
    <cellStyle name="Normal 8 15" xfId="1241" xr:uid="{00000000-0005-0000-0000-00008F040000}"/>
    <cellStyle name="Normal 8 16" xfId="1243" xr:uid="{00000000-0005-0000-0000-000090040000}"/>
    <cellStyle name="Normal 8 17" xfId="1246" xr:uid="{00000000-0005-0000-0000-000091040000}"/>
    <cellStyle name="Normal 8 18" xfId="1254" xr:uid="{00000000-0005-0000-0000-000092040000}"/>
    <cellStyle name="Normal 8 19" xfId="1256" xr:uid="{00000000-0005-0000-0000-000093040000}"/>
    <cellStyle name="Normal 8 2" xfId="1047" xr:uid="{00000000-0005-0000-0000-000094040000}"/>
    <cellStyle name="Normal 8 20" xfId="1258" xr:uid="{00000000-0005-0000-0000-000095040000}"/>
    <cellStyle name="Normal 8 21" xfId="1296" xr:uid="{00000000-0005-0000-0000-000096040000}"/>
    <cellStyle name="Normal 8 22" xfId="1299" xr:uid="{00000000-0005-0000-0000-000097040000}"/>
    <cellStyle name="Normal 8 23" xfId="1302" xr:uid="{00000000-0005-0000-0000-000098040000}"/>
    <cellStyle name="Normal 8 24" xfId="1305" xr:uid="{00000000-0005-0000-0000-000099040000}"/>
    <cellStyle name="Normal 8 25" xfId="1307" xr:uid="{00000000-0005-0000-0000-00009A040000}"/>
    <cellStyle name="Normal 8 3" xfId="1089" xr:uid="{00000000-0005-0000-0000-00009B040000}"/>
    <cellStyle name="Normal 8 4" xfId="1108" xr:uid="{00000000-0005-0000-0000-00009C040000}"/>
    <cellStyle name="Normal 8 5" xfId="1112" xr:uid="{00000000-0005-0000-0000-00009D040000}"/>
    <cellStyle name="Normal 8 6" xfId="1118" xr:uid="{00000000-0005-0000-0000-00009E040000}"/>
    <cellStyle name="Normal 8 7" xfId="1203" xr:uid="{00000000-0005-0000-0000-00009F040000}"/>
    <cellStyle name="Normal 8 8" xfId="1216" xr:uid="{00000000-0005-0000-0000-0000A0040000}"/>
    <cellStyle name="Normal 8 9" xfId="1220" xr:uid="{00000000-0005-0000-0000-0000A1040000}"/>
    <cellStyle name="Normal 9" xfId="158" xr:uid="{00000000-0005-0000-0000-0000A2040000}"/>
    <cellStyle name="Normal 9 10" xfId="1224" xr:uid="{00000000-0005-0000-0000-0000A3040000}"/>
    <cellStyle name="Normal 9 11" xfId="1228" xr:uid="{00000000-0005-0000-0000-0000A4040000}"/>
    <cellStyle name="Normal 9 12" xfId="1230" xr:uid="{00000000-0005-0000-0000-0000A5040000}"/>
    <cellStyle name="Normal 9 13" xfId="1233" xr:uid="{00000000-0005-0000-0000-0000A6040000}"/>
    <cellStyle name="Normal 9 14" xfId="1235" xr:uid="{00000000-0005-0000-0000-0000A7040000}"/>
    <cellStyle name="Normal 9 15" xfId="1242" xr:uid="{00000000-0005-0000-0000-0000A8040000}"/>
    <cellStyle name="Normal 9 16" xfId="1244" xr:uid="{00000000-0005-0000-0000-0000A9040000}"/>
    <cellStyle name="Normal 9 17" xfId="1247" xr:uid="{00000000-0005-0000-0000-0000AA040000}"/>
    <cellStyle name="Normal 9 18" xfId="1255" xr:uid="{00000000-0005-0000-0000-0000AB040000}"/>
    <cellStyle name="Normal 9 19" xfId="1257" xr:uid="{00000000-0005-0000-0000-0000AC040000}"/>
    <cellStyle name="Normal 9 2" xfId="1050" xr:uid="{00000000-0005-0000-0000-0000AD040000}"/>
    <cellStyle name="Normal 9 20" xfId="1259" xr:uid="{00000000-0005-0000-0000-0000AE040000}"/>
    <cellStyle name="Normal 9 21" xfId="1298" xr:uid="{00000000-0005-0000-0000-0000AF040000}"/>
    <cellStyle name="Normal 9 22" xfId="1300" xr:uid="{00000000-0005-0000-0000-0000B0040000}"/>
    <cellStyle name="Normal 9 23" xfId="1303" xr:uid="{00000000-0005-0000-0000-0000B1040000}"/>
    <cellStyle name="Normal 9 24" xfId="1306" xr:uid="{00000000-0005-0000-0000-0000B2040000}"/>
    <cellStyle name="Normal 9 25" xfId="1308" xr:uid="{00000000-0005-0000-0000-0000B3040000}"/>
    <cellStyle name="Normal 9 3" xfId="1093" xr:uid="{00000000-0005-0000-0000-0000B4040000}"/>
    <cellStyle name="Normal 9 4" xfId="1109" xr:uid="{00000000-0005-0000-0000-0000B5040000}"/>
    <cellStyle name="Normal 9 5" xfId="1115" xr:uid="{00000000-0005-0000-0000-0000B6040000}"/>
    <cellStyle name="Normal 9 6" xfId="1119" xr:uid="{00000000-0005-0000-0000-0000B7040000}"/>
    <cellStyle name="Normal 9 7" xfId="1204" xr:uid="{00000000-0005-0000-0000-0000B8040000}"/>
    <cellStyle name="Normal 9 8" xfId="1217" xr:uid="{00000000-0005-0000-0000-0000B9040000}"/>
    <cellStyle name="Normal 9 9" xfId="1221" xr:uid="{00000000-0005-0000-0000-0000BA040000}"/>
    <cellStyle name="Note 10" xfId="436" xr:uid="{00000000-0005-0000-0000-0000BB040000}"/>
    <cellStyle name="Note 11" xfId="484" xr:uid="{00000000-0005-0000-0000-0000BC040000}"/>
    <cellStyle name="Note 12" xfId="532" xr:uid="{00000000-0005-0000-0000-0000BD040000}"/>
    <cellStyle name="Note 13" xfId="580" xr:uid="{00000000-0005-0000-0000-0000BE040000}"/>
    <cellStyle name="Note 14" xfId="628" xr:uid="{00000000-0005-0000-0000-0000BF040000}"/>
    <cellStyle name="Note 2" xfId="42" xr:uid="{00000000-0005-0000-0000-0000C0040000}"/>
    <cellStyle name="Note 2 10" xfId="443" xr:uid="{00000000-0005-0000-0000-0000C1040000}"/>
    <cellStyle name="Note 2 11" xfId="491" xr:uid="{00000000-0005-0000-0000-0000C2040000}"/>
    <cellStyle name="Note 2 12" xfId="539" xr:uid="{00000000-0005-0000-0000-0000C3040000}"/>
    <cellStyle name="Note 2 13" xfId="588" xr:uid="{00000000-0005-0000-0000-0000C4040000}"/>
    <cellStyle name="Note 2 14" xfId="635" xr:uid="{00000000-0005-0000-0000-0000C5040000}"/>
    <cellStyle name="Note 2 2" xfId="58" xr:uid="{00000000-0005-0000-0000-0000C6040000}"/>
    <cellStyle name="Note 2 3" xfId="120" xr:uid="{00000000-0005-0000-0000-0000C7040000}"/>
    <cellStyle name="Note 2 4" xfId="167" xr:uid="{00000000-0005-0000-0000-0000C8040000}"/>
    <cellStyle name="Note 2 5" xfId="205" xr:uid="{00000000-0005-0000-0000-0000C9040000}"/>
    <cellStyle name="Note 2 6" xfId="253" xr:uid="{00000000-0005-0000-0000-0000CA040000}"/>
    <cellStyle name="Note 2 7" xfId="301" xr:uid="{00000000-0005-0000-0000-0000CB040000}"/>
    <cellStyle name="Note 2 8" xfId="348" xr:uid="{00000000-0005-0000-0000-0000CC040000}"/>
    <cellStyle name="Note 2 9" xfId="395" xr:uid="{00000000-0005-0000-0000-0000CD040000}"/>
    <cellStyle name="Note 3" xfId="107" xr:uid="{00000000-0005-0000-0000-0000CE040000}"/>
    <cellStyle name="Note 4" xfId="154" xr:uid="{00000000-0005-0000-0000-0000CF040000}"/>
    <cellStyle name="Note 5" xfId="198" xr:uid="{00000000-0005-0000-0000-0000D0040000}"/>
    <cellStyle name="Note 6" xfId="246" xr:uid="{00000000-0005-0000-0000-0000D1040000}"/>
    <cellStyle name="Note 7" xfId="294" xr:uid="{00000000-0005-0000-0000-0000D2040000}"/>
    <cellStyle name="Note 8" xfId="341" xr:uid="{00000000-0005-0000-0000-0000D3040000}"/>
    <cellStyle name="Note 9" xfId="388" xr:uid="{00000000-0005-0000-0000-0000D4040000}"/>
    <cellStyle name="Output 10" xfId="437" xr:uid="{00000000-0005-0000-0000-0000D5040000}"/>
    <cellStyle name="Output 11" xfId="485" xr:uid="{00000000-0005-0000-0000-0000D6040000}"/>
    <cellStyle name="Output 12" xfId="533" xr:uid="{00000000-0005-0000-0000-0000D7040000}"/>
    <cellStyle name="Output 13" xfId="581" xr:uid="{00000000-0005-0000-0000-0000D8040000}"/>
    <cellStyle name="Output 14" xfId="629" xr:uid="{00000000-0005-0000-0000-0000D9040000}"/>
    <cellStyle name="Output 2" xfId="43" xr:uid="{00000000-0005-0000-0000-0000DA040000}"/>
    <cellStyle name="Output 3" xfId="108" xr:uid="{00000000-0005-0000-0000-0000DB040000}"/>
    <cellStyle name="Output 4" xfId="155" xr:uid="{00000000-0005-0000-0000-0000DC040000}"/>
    <cellStyle name="Output 5" xfId="199" xr:uid="{00000000-0005-0000-0000-0000DD040000}"/>
    <cellStyle name="Output 6" xfId="247" xr:uid="{00000000-0005-0000-0000-0000DE040000}"/>
    <cellStyle name="Output 7" xfId="295" xr:uid="{00000000-0005-0000-0000-0000DF040000}"/>
    <cellStyle name="Output 8" xfId="342" xr:uid="{00000000-0005-0000-0000-0000E0040000}"/>
    <cellStyle name="Output 9" xfId="389" xr:uid="{00000000-0005-0000-0000-0000E1040000}"/>
    <cellStyle name="Percent" xfId="1" builtinId="5"/>
    <cellStyle name="Percent 13" xfId="1164" xr:uid="{00000000-0005-0000-0000-0000E3040000}"/>
    <cellStyle name="Percent 2" xfId="1313" xr:uid="{00000000-0005-0000-0000-0000E4040000}"/>
    <cellStyle name="Percent 2 10" xfId="446" xr:uid="{00000000-0005-0000-0000-0000E5040000}"/>
    <cellStyle name="Percent 2 11" xfId="494" xr:uid="{00000000-0005-0000-0000-0000E6040000}"/>
    <cellStyle name="Percent 2 12" xfId="542" xr:uid="{00000000-0005-0000-0000-0000E7040000}"/>
    <cellStyle name="Percent 2 13" xfId="591" xr:uid="{00000000-0005-0000-0000-0000E8040000}"/>
    <cellStyle name="Percent 2 14" xfId="638" xr:uid="{00000000-0005-0000-0000-0000E9040000}"/>
    <cellStyle name="Percent 2 2" xfId="63" xr:uid="{00000000-0005-0000-0000-0000EA040000}"/>
    <cellStyle name="Percent 2 3" xfId="125" xr:uid="{00000000-0005-0000-0000-0000EB040000}"/>
    <cellStyle name="Percent 2 4" xfId="172" xr:uid="{00000000-0005-0000-0000-0000EC040000}"/>
    <cellStyle name="Percent 2 5" xfId="208" xr:uid="{00000000-0005-0000-0000-0000ED040000}"/>
    <cellStyle name="Percent 2 6" xfId="256" xr:uid="{00000000-0005-0000-0000-0000EE040000}"/>
    <cellStyle name="Percent 2 7" xfId="304" xr:uid="{00000000-0005-0000-0000-0000EF040000}"/>
    <cellStyle name="Percent 2 8" xfId="351" xr:uid="{00000000-0005-0000-0000-0000F0040000}"/>
    <cellStyle name="Percent 2 9" xfId="398" xr:uid="{00000000-0005-0000-0000-0000F1040000}"/>
    <cellStyle name="Pourcentage 2" xfId="1048" xr:uid="{00000000-0005-0000-0000-0000F2040000}"/>
    <cellStyle name="Reset  - Style4" xfId="44" xr:uid="{00000000-0005-0000-0000-0000F3040000}"/>
    <cellStyle name="Row head" xfId="64" xr:uid="{00000000-0005-0000-0000-0000F4040000}"/>
    <cellStyle name="Standard_ElectricalConsumer_01" xfId="45" xr:uid="{00000000-0005-0000-0000-0000F5040000}"/>
    <cellStyle name="Style 1" xfId="59" xr:uid="{00000000-0005-0000-0000-0000F6040000}"/>
    <cellStyle name="Table  - Style5" xfId="46" xr:uid="{00000000-0005-0000-0000-0000F7040000}"/>
    <cellStyle name="Title  - Style6" xfId="48" xr:uid="{00000000-0005-0000-0000-0000F8040000}"/>
    <cellStyle name="Title 10" xfId="438" xr:uid="{00000000-0005-0000-0000-0000F9040000}"/>
    <cellStyle name="Title 11" xfId="486" xr:uid="{00000000-0005-0000-0000-0000FA040000}"/>
    <cellStyle name="Title 12" xfId="534" xr:uid="{00000000-0005-0000-0000-0000FB040000}"/>
    <cellStyle name="Title 13" xfId="582" xr:uid="{00000000-0005-0000-0000-0000FC040000}"/>
    <cellStyle name="Title 14" xfId="630" xr:uid="{00000000-0005-0000-0000-0000FD040000}"/>
    <cellStyle name="Title 2" xfId="47" xr:uid="{00000000-0005-0000-0000-0000FE040000}"/>
    <cellStyle name="Title 3" xfId="112" xr:uid="{00000000-0005-0000-0000-0000FF040000}"/>
    <cellStyle name="Title 4" xfId="159" xr:uid="{00000000-0005-0000-0000-000000050000}"/>
    <cellStyle name="Title 5" xfId="200" xr:uid="{00000000-0005-0000-0000-000001050000}"/>
    <cellStyle name="Title 6" xfId="248" xr:uid="{00000000-0005-0000-0000-000002050000}"/>
    <cellStyle name="Title 7" xfId="296" xr:uid="{00000000-0005-0000-0000-000003050000}"/>
    <cellStyle name="Title 8" xfId="343" xr:uid="{00000000-0005-0000-0000-000004050000}"/>
    <cellStyle name="Title 9" xfId="390" xr:uid="{00000000-0005-0000-0000-000005050000}"/>
    <cellStyle name="Total 10" xfId="439" xr:uid="{00000000-0005-0000-0000-000006050000}"/>
    <cellStyle name="Total 11" xfId="487" xr:uid="{00000000-0005-0000-0000-000007050000}"/>
    <cellStyle name="Total 12" xfId="535" xr:uid="{00000000-0005-0000-0000-000008050000}"/>
    <cellStyle name="Total 13" xfId="583" xr:uid="{00000000-0005-0000-0000-000009050000}"/>
    <cellStyle name="Total 14" xfId="631" xr:uid="{00000000-0005-0000-0000-00000A050000}"/>
    <cellStyle name="Total 2" xfId="49" xr:uid="{00000000-0005-0000-0000-00000B050000}"/>
    <cellStyle name="Total 3" xfId="113" xr:uid="{00000000-0005-0000-0000-00000C050000}"/>
    <cellStyle name="Total 4" xfId="160" xr:uid="{00000000-0005-0000-0000-00000D050000}"/>
    <cellStyle name="Total 5" xfId="201" xr:uid="{00000000-0005-0000-0000-00000E050000}"/>
    <cellStyle name="Total 6" xfId="249" xr:uid="{00000000-0005-0000-0000-00000F050000}"/>
    <cellStyle name="Total 7" xfId="297" xr:uid="{00000000-0005-0000-0000-000010050000}"/>
    <cellStyle name="Total 8" xfId="344" xr:uid="{00000000-0005-0000-0000-000011050000}"/>
    <cellStyle name="Total 9" xfId="391" xr:uid="{00000000-0005-0000-0000-000012050000}"/>
    <cellStyle name="TotCol - Style7" xfId="50" xr:uid="{00000000-0005-0000-0000-000013050000}"/>
    <cellStyle name="TotRow - Style8" xfId="51" xr:uid="{00000000-0005-0000-0000-000014050000}"/>
    <cellStyle name="Warning Text 10" xfId="440" xr:uid="{00000000-0005-0000-0000-000015050000}"/>
    <cellStyle name="Warning Text 11" xfId="488" xr:uid="{00000000-0005-0000-0000-000016050000}"/>
    <cellStyle name="Warning Text 12" xfId="536" xr:uid="{00000000-0005-0000-0000-000017050000}"/>
    <cellStyle name="Warning Text 13" xfId="584" xr:uid="{00000000-0005-0000-0000-000018050000}"/>
    <cellStyle name="Warning Text 14" xfId="632" xr:uid="{00000000-0005-0000-0000-000019050000}"/>
    <cellStyle name="Warning Text 2" xfId="52" xr:uid="{00000000-0005-0000-0000-00001A050000}"/>
    <cellStyle name="Warning Text 3" xfId="114" xr:uid="{00000000-0005-0000-0000-00001B050000}"/>
    <cellStyle name="Warning Text 4" xfId="161" xr:uid="{00000000-0005-0000-0000-00001C050000}"/>
    <cellStyle name="Warning Text 5" xfId="202" xr:uid="{00000000-0005-0000-0000-00001D050000}"/>
    <cellStyle name="Warning Text 6" xfId="250" xr:uid="{00000000-0005-0000-0000-00001E050000}"/>
    <cellStyle name="Warning Text 7" xfId="298" xr:uid="{00000000-0005-0000-0000-00001F050000}"/>
    <cellStyle name="Warning Text 8" xfId="345" xr:uid="{00000000-0005-0000-0000-000020050000}"/>
    <cellStyle name="Warning Text 9" xfId="392" xr:uid="{00000000-0005-0000-0000-00002105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Backup\D\Studies%20&amp;%20Reports\Chem%20Report%202002%20for%20Sabic\App%20V%20Case%20I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My%20Documents\EXCEL\03\BP\Data%20file%20B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ort\Monthly\2020\11.%20November\Copy%20of%20CPP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Users\21065\Desktop\Excel\CPP%20Monitoring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RIBHCO%20Part-%20B/TEFR-%20WNA+AN%20Shahajahanp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Total Cash Flow (Unleveraged)"/>
      <sheetName val="Total cash flow"/>
      <sheetName val="Olefin cash flow"/>
      <sheetName val="LLDPE cash flow"/>
      <sheetName val="HDPE cash flow"/>
      <sheetName val="MEG cash flow"/>
      <sheetName val="Butene-1 cash flow"/>
      <sheetName val="Oxygen"/>
      <sheetName val="Pricing - Current"/>
      <sheetName val="Pricing - Const"/>
      <sheetName val="Netback"/>
      <sheetName val="Mass Balance"/>
      <sheetName val="Purchases &amp; Sales"/>
      <sheetName val="Capital Costs"/>
      <sheetName val="Financing"/>
      <sheetName val="Taxation"/>
      <sheetName val="Expats"/>
      <sheetName val="Factors"/>
      <sheetName val="Backup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Ethane</v>
          </cell>
          <cell r="B3" t="str">
            <v xml:space="preserve">1.25/MM btu for the first 10 years of commercial operations; escalation at 3% per year </v>
          </cell>
          <cell r="D3" t="str">
            <v>$/ton</v>
          </cell>
          <cell r="E3">
            <v>0</v>
          </cell>
          <cell r="F3">
            <v>61.108654999999999</v>
          </cell>
          <cell r="G3">
            <v>61.108654999999999</v>
          </cell>
          <cell r="H3">
            <v>61.108654999999999</v>
          </cell>
          <cell r="I3">
            <v>61.108654999999999</v>
          </cell>
          <cell r="J3">
            <v>61.108654999999999</v>
          </cell>
          <cell r="K3">
            <v>61.108654999999999</v>
          </cell>
          <cell r="L3">
            <v>61.108654999999999</v>
          </cell>
          <cell r="M3">
            <v>61.108654999999999</v>
          </cell>
          <cell r="N3">
            <v>61.108654999999999</v>
          </cell>
          <cell r="O3">
            <v>61.108654999999999</v>
          </cell>
          <cell r="P3">
            <v>61.108654999999999</v>
          </cell>
          <cell r="Q3">
            <v>61.108654999999999</v>
          </cell>
          <cell r="R3">
            <v>61.108654999999999</v>
          </cell>
          <cell r="S3">
            <v>61.108654999999999</v>
          </cell>
          <cell r="T3">
            <v>61.108654999999999</v>
          </cell>
          <cell r="U3">
            <v>62.941914650000001</v>
          </cell>
          <cell r="V3">
            <v>64.830172089499996</v>
          </cell>
          <cell r="W3">
            <v>66.775077252185</v>
          </cell>
          <cell r="X3">
            <v>68.778329569750554</v>
          </cell>
          <cell r="Y3">
            <v>70.841679456843067</v>
          </cell>
          <cell r="Z3">
            <v>72.96692984054836</v>
          </cell>
          <cell r="AA3">
            <v>75.155937735764809</v>
          </cell>
          <cell r="AB3">
            <v>77.410615867837748</v>
          </cell>
          <cell r="AC3">
            <v>79.732934343872884</v>
          </cell>
          <cell r="AD3">
            <v>82.124922374189069</v>
          </cell>
          <cell r="AE3">
            <v>84.588670045414744</v>
          </cell>
          <cell r="AF3">
            <v>87.126330146777192</v>
          </cell>
          <cell r="AG3">
            <v>89.740120051180511</v>
          </cell>
          <cell r="AH3">
            <v>92.432323652715922</v>
          </cell>
        </row>
        <row r="4">
          <cell r="A4" t="str">
            <v>Methane</v>
          </cell>
          <cell r="B4" t="str">
            <v>0.75/ MM btu for the first 10 years of project life; escalation at 3% per year</v>
          </cell>
          <cell r="D4" t="str">
            <v>$/ton</v>
          </cell>
          <cell r="E4">
            <v>0</v>
          </cell>
          <cell r="F4">
            <v>35.5426407</v>
          </cell>
          <cell r="G4">
            <v>35.5426407</v>
          </cell>
          <cell r="H4">
            <v>35.5426407</v>
          </cell>
          <cell r="I4">
            <v>35.5426407</v>
          </cell>
          <cell r="J4">
            <v>35.5426407</v>
          </cell>
          <cell r="K4">
            <v>35.5426407</v>
          </cell>
          <cell r="L4">
            <v>35.5426407</v>
          </cell>
          <cell r="M4">
            <v>35.5426407</v>
          </cell>
          <cell r="N4">
            <v>35.5426407</v>
          </cell>
          <cell r="O4">
            <v>35.5426407</v>
          </cell>
          <cell r="P4">
            <v>35.5426407</v>
          </cell>
          <cell r="Q4">
            <v>35.5426407</v>
          </cell>
          <cell r="R4">
            <v>36.608919921000002</v>
          </cell>
          <cell r="S4">
            <v>37.707187518630001</v>
          </cell>
          <cell r="T4">
            <v>38.838403144188902</v>
          </cell>
          <cell r="U4">
            <v>40.003555238514572</v>
          </cell>
          <cell r="V4">
            <v>41.20366189567001</v>
          </cell>
          <cell r="W4">
            <v>42.439771752540111</v>
          </cell>
          <cell r="X4">
            <v>43.712964905116316</v>
          </cell>
          <cell r="Y4">
            <v>45.024353852269805</v>
          </cell>
          <cell r="Z4">
            <v>46.375084467837901</v>
          </cell>
          <cell r="AA4">
            <v>47.76633700187304</v>
          </cell>
          <cell r="AB4">
            <v>49.199327111929236</v>
          </cell>
          <cell r="AC4">
            <v>50.675306925287117</v>
          </cell>
          <cell r="AD4">
            <v>52.19556613304573</v>
          </cell>
          <cell r="AE4">
            <v>53.7614331170371</v>
          </cell>
          <cell r="AF4">
            <v>55.374276110548216</v>
          </cell>
          <cell r="AG4">
            <v>57.035504393864663</v>
          </cell>
          <cell r="AH4">
            <v>58.746569525680606</v>
          </cell>
        </row>
        <row r="5">
          <cell r="A5" t="str">
            <v>Catalyst (Ethylene)</v>
          </cell>
          <cell r="B5" t="str">
            <v>2.75 in const 2001</v>
          </cell>
          <cell r="D5" t="str">
            <v>$/ton C2</v>
          </cell>
          <cell r="E5">
            <v>2.75</v>
          </cell>
          <cell r="F5">
            <v>2.8022499999999999</v>
          </cell>
          <cell r="G5">
            <v>2.8654999999999999</v>
          </cell>
          <cell r="H5">
            <v>2.9370000000000003</v>
          </cell>
          <cell r="I5">
            <v>3.01125</v>
          </cell>
          <cell r="J5">
            <v>3.0882499999999999</v>
          </cell>
          <cell r="K5">
            <v>3.1652499999999999</v>
          </cell>
          <cell r="L5">
            <v>3.2422500000000003</v>
          </cell>
          <cell r="M5">
            <v>3.3247500000000003</v>
          </cell>
          <cell r="N5">
            <v>3.4072500000000003</v>
          </cell>
          <cell r="O5">
            <v>3.4925000000000002</v>
          </cell>
          <cell r="P5">
            <v>3.5805000000000002</v>
          </cell>
          <cell r="Q5">
            <v>3.6685000000000003</v>
          </cell>
          <cell r="R5">
            <v>3.7620000000000005</v>
          </cell>
          <cell r="S5">
            <v>3.8554999999999997</v>
          </cell>
          <cell r="T5">
            <v>3.9517500000000001</v>
          </cell>
          <cell r="U5">
            <v>4.0507499999999999</v>
          </cell>
          <cell r="V5">
            <v>4.1524999999999999</v>
          </cell>
          <cell r="W5">
            <v>4.2569999999999997</v>
          </cell>
          <cell r="X5">
            <v>4.3615000000000004</v>
          </cell>
          <cell r="Y5">
            <v>4.4705374999999998</v>
          </cell>
          <cell r="Z5">
            <v>4.5823009375000003</v>
          </cell>
          <cell r="AA5">
            <v>4.6968584609374995</v>
          </cell>
          <cell r="AB5">
            <v>4.8142799224609361</v>
          </cell>
          <cell r="AC5">
            <v>4.9346369205224594</v>
          </cell>
          <cell r="AD5">
            <v>5.0580028435355198</v>
          </cell>
          <cell r="AE5">
            <v>5.1844529146239076</v>
          </cell>
          <cell r="AF5">
            <v>5.3140642374895046</v>
          </cell>
          <cell r="AG5">
            <v>5.4469158434267415</v>
          </cell>
          <cell r="AH5">
            <v>5.5830887395124105</v>
          </cell>
        </row>
        <row r="6">
          <cell r="A6" t="str">
            <v>Power</v>
          </cell>
          <cell r="B6" t="str">
            <v>$30/MWH fixed</v>
          </cell>
          <cell r="C6">
            <v>0.91576190190550455</v>
          </cell>
          <cell r="D6" t="str">
            <v>$/MWH</v>
          </cell>
          <cell r="E6">
            <v>30</v>
          </cell>
          <cell r="F6">
            <v>30</v>
          </cell>
          <cell r="G6">
            <v>30</v>
          </cell>
          <cell r="H6">
            <v>30</v>
          </cell>
          <cell r="I6">
            <v>30</v>
          </cell>
          <cell r="J6">
            <v>30</v>
          </cell>
          <cell r="K6">
            <v>30</v>
          </cell>
          <cell r="L6">
            <v>30</v>
          </cell>
          <cell r="M6">
            <v>30</v>
          </cell>
          <cell r="N6">
            <v>30</v>
          </cell>
          <cell r="O6">
            <v>30</v>
          </cell>
          <cell r="P6">
            <v>30</v>
          </cell>
          <cell r="Q6">
            <v>30</v>
          </cell>
          <cell r="R6">
            <v>30</v>
          </cell>
          <cell r="S6">
            <v>30</v>
          </cell>
          <cell r="T6">
            <v>30</v>
          </cell>
          <cell r="U6">
            <v>30</v>
          </cell>
          <cell r="V6">
            <v>30</v>
          </cell>
          <cell r="W6">
            <v>30</v>
          </cell>
          <cell r="X6">
            <v>30</v>
          </cell>
          <cell r="Y6">
            <v>30</v>
          </cell>
          <cell r="Z6">
            <v>30</v>
          </cell>
          <cell r="AA6">
            <v>30</v>
          </cell>
          <cell r="AB6">
            <v>30</v>
          </cell>
          <cell r="AC6">
            <v>30</v>
          </cell>
          <cell r="AD6">
            <v>30</v>
          </cell>
          <cell r="AE6">
            <v>30</v>
          </cell>
          <cell r="AF6">
            <v>30</v>
          </cell>
          <cell r="AG6">
            <v>30</v>
          </cell>
          <cell r="AH6">
            <v>30</v>
          </cell>
        </row>
        <row r="7">
          <cell r="A7" t="str">
            <v>Steam</v>
          </cell>
          <cell r="B7" t="str">
            <v>$4.5/ton fixed</v>
          </cell>
          <cell r="C7">
            <v>0</v>
          </cell>
          <cell r="D7" t="str">
            <v>$/ton</v>
          </cell>
          <cell r="E7">
            <v>4.5</v>
          </cell>
          <cell r="F7">
            <v>4.5</v>
          </cell>
          <cell r="G7">
            <v>4.5</v>
          </cell>
          <cell r="H7">
            <v>4.5</v>
          </cell>
          <cell r="I7">
            <v>4.5</v>
          </cell>
          <cell r="J7">
            <v>4.5</v>
          </cell>
          <cell r="K7">
            <v>4.5</v>
          </cell>
          <cell r="L7">
            <v>4.5</v>
          </cell>
          <cell r="M7">
            <v>4.5</v>
          </cell>
          <cell r="N7">
            <v>4.5</v>
          </cell>
          <cell r="O7">
            <v>4.5</v>
          </cell>
          <cell r="P7">
            <v>4.5</v>
          </cell>
          <cell r="Q7">
            <v>4.5</v>
          </cell>
          <cell r="R7">
            <v>4.5</v>
          </cell>
          <cell r="S7">
            <v>4.5</v>
          </cell>
          <cell r="T7">
            <v>4.5</v>
          </cell>
          <cell r="U7">
            <v>4.5</v>
          </cell>
          <cell r="V7">
            <v>4.5</v>
          </cell>
          <cell r="W7">
            <v>4.5</v>
          </cell>
          <cell r="X7">
            <v>4.5</v>
          </cell>
          <cell r="Y7">
            <v>4.5</v>
          </cell>
          <cell r="Z7">
            <v>4.5</v>
          </cell>
          <cell r="AA7">
            <v>4.5</v>
          </cell>
          <cell r="AB7">
            <v>4.5</v>
          </cell>
          <cell r="AC7">
            <v>4.5</v>
          </cell>
          <cell r="AD7">
            <v>4.5</v>
          </cell>
          <cell r="AE7">
            <v>4.5</v>
          </cell>
          <cell r="AF7">
            <v>4.5</v>
          </cell>
          <cell r="AG7">
            <v>4.5</v>
          </cell>
          <cell r="AH7">
            <v>4.5</v>
          </cell>
        </row>
        <row r="8">
          <cell r="A8" t="str">
            <v>Cooling Water</v>
          </cell>
          <cell r="B8" t="str">
            <v>$17/kton fixed</v>
          </cell>
          <cell r="C8">
            <v>0</v>
          </cell>
          <cell r="D8" t="str">
            <v>$/kton</v>
          </cell>
          <cell r="E8">
            <v>17</v>
          </cell>
          <cell r="F8">
            <v>17</v>
          </cell>
          <cell r="G8">
            <v>17</v>
          </cell>
          <cell r="H8">
            <v>17</v>
          </cell>
          <cell r="I8">
            <v>17</v>
          </cell>
          <cell r="J8">
            <v>17</v>
          </cell>
          <cell r="K8">
            <v>17</v>
          </cell>
          <cell r="L8">
            <v>17</v>
          </cell>
          <cell r="M8">
            <v>17</v>
          </cell>
          <cell r="N8">
            <v>17</v>
          </cell>
          <cell r="O8">
            <v>17</v>
          </cell>
          <cell r="P8">
            <v>17</v>
          </cell>
          <cell r="Q8">
            <v>17</v>
          </cell>
          <cell r="R8">
            <v>17</v>
          </cell>
          <cell r="S8">
            <v>17</v>
          </cell>
          <cell r="T8">
            <v>17</v>
          </cell>
          <cell r="U8">
            <v>17</v>
          </cell>
          <cell r="V8">
            <v>17</v>
          </cell>
          <cell r="W8">
            <v>17</v>
          </cell>
          <cell r="X8">
            <v>17</v>
          </cell>
          <cell r="Y8">
            <v>17</v>
          </cell>
          <cell r="Z8">
            <v>17</v>
          </cell>
          <cell r="AA8">
            <v>17</v>
          </cell>
          <cell r="AB8">
            <v>17</v>
          </cell>
          <cell r="AC8">
            <v>17</v>
          </cell>
          <cell r="AD8">
            <v>17</v>
          </cell>
          <cell r="AE8">
            <v>17</v>
          </cell>
          <cell r="AF8">
            <v>17</v>
          </cell>
          <cell r="AG8">
            <v>17</v>
          </cell>
          <cell r="AH8">
            <v>17</v>
          </cell>
        </row>
        <row r="9">
          <cell r="A9" t="str">
            <v>Nitrogen</v>
          </cell>
          <cell r="B9" t="str">
            <v>$0.05/std M3</v>
          </cell>
          <cell r="C9">
            <v>0</v>
          </cell>
          <cell r="D9" t="str">
            <v>std M3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</row>
        <row r="10">
          <cell r="A10" t="str">
            <v>Worker</v>
          </cell>
          <cell r="B10" t="str">
            <v>$13000 average, to be escalated by 2.5% per year</v>
          </cell>
          <cell r="C10">
            <v>0</v>
          </cell>
          <cell r="D10" t="str">
            <v>$/yr</v>
          </cell>
          <cell r="E10">
            <v>0</v>
          </cell>
          <cell r="F10">
            <v>0</v>
          </cell>
          <cell r="G10">
            <v>13546</v>
          </cell>
          <cell r="H10">
            <v>14231.099999999999</v>
          </cell>
          <cell r="I10">
            <v>14955.646874999995</v>
          </cell>
          <cell r="J10">
            <v>15721.526234374995</v>
          </cell>
          <cell r="K10">
            <v>16516.352282421867</v>
          </cell>
          <cell r="L10">
            <v>17341.093678974601</v>
          </cell>
          <cell r="M10">
            <v>18226.901454051989</v>
          </cell>
          <cell r="N10">
            <v>19146.161434333892</v>
          </cell>
          <cell r="O10">
            <v>20115.831837888731</v>
          </cell>
          <cell r="P10">
            <v>21138.254629334177</v>
          </cell>
          <cell r="Q10">
            <v>22199.226165453212</v>
          </cell>
          <cell r="R10">
            <v>23334.149122337702</v>
          </cell>
          <cell r="S10">
            <v>24511.943710713003</v>
          </cell>
          <cell r="T10">
            <v>25751.964828888697</v>
          </cell>
          <cell r="U10">
            <v>27057.035697826632</v>
          </cell>
          <cell r="V10">
            <v>28430.093008357882</v>
          </cell>
          <cell r="W10">
            <v>29874.191110173146</v>
          </cell>
          <cell r="X10">
            <v>31372.72530894895</v>
          </cell>
          <cell r="Y10">
            <v>32960.969527714486</v>
          </cell>
          <cell r="Z10">
            <v>34629.618610055033</v>
          </cell>
          <cell r="AA10">
            <v>36382.743052189056</v>
          </cell>
          <cell r="AB10">
            <v>38224.619419206123</v>
          </cell>
          <cell r="AC10">
            <v>40159.740777303421</v>
          </cell>
          <cell r="AD10">
            <v>42192.827654154389</v>
          </cell>
          <cell r="AE10">
            <v>44328.839554145954</v>
          </cell>
          <cell r="AF10">
            <v>46572.987056574588</v>
          </cell>
          <cell r="AG10">
            <v>48930.744526313669</v>
          </cell>
          <cell r="AH10">
            <v>51407.86346795829</v>
          </cell>
        </row>
        <row r="11">
          <cell r="A11" t="str">
            <v>Hydrogen - Reformer</v>
          </cell>
          <cell r="B11" t="str">
            <v>fixed at ratio to methane</v>
          </cell>
          <cell r="C11">
            <v>0</v>
          </cell>
          <cell r="D11" t="str">
            <v>Nm3</v>
          </cell>
          <cell r="E11">
            <v>0</v>
          </cell>
          <cell r="G11">
            <v>0.63846274691357874</v>
          </cell>
          <cell r="H11">
            <v>0.63846274691357874</v>
          </cell>
          <cell r="I11">
            <v>0.63846274691357874</v>
          </cell>
          <cell r="J11">
            <v>0.63846274691357874</v>
          </cell>
          <cell r="K11">
            <v>0.63846274691357874</v>
          </cell>
          <cell r="L11">
            <v>0.63846274691357874</v>
          </cell>
          <cell r="M11">
            <v>0.63846274691357874</v>
          </cell>
          <cell r="N11">
            <v>0.63846274691357874</v>
          </cell>
          <cell r="O11">
            <v>0.63846274691357874</v>
          </cell>
          <cell r="P11">
            <v>0.63846274691357874</v>
          </cell>
          <cell r="Q11">
            <v>0.63846274691357874</v>
          </cell>
          <cell r="R11">
            <v>0.65761662932098619</v>
          </cell>
          <cell r="S11">
            <v>0.67734512820061576</v>
          </cell>
          <cell r="T11">
            <v>0.69766548204663426</v>
          </cell>
          <cell r="U11">
            <v>0.71859544650803331</v>
          </cell>
          <cell r="V11">
            <v>0.74015330990327433</v>
          </cell>
          <cell r="W11">
            <v>0.76235790920037261</v>
          </cell>
          <cell r="X11">
            <v>0.7852286464763838</v>
          </cell>
          <cell r="Y11">
            <v>0.80878550587067533</v>
          </cell>
          <cell r="Z11">
            <v>0.8330490710467956</v>
          </cell>
          <cell r="AA11">
            <v>0.85804054317819944</v>
          </cell>
          <cell r="AB11">
            <v>0.88378175947354554</v>
          </cell>
          <cell r="AC11">
            <v>0.91029521225775201</v>
          </cell>
          <cell r="AD11">
            <v>0.93760406862548451</v>
          </cell>
          <cell r="AE11">
            <v>0.96573219068424909</v>
          </cell>
          <cell r="AF11">
            <v>0.99470415640477661</v>
          </cell>
          <cell r="AG11">
            <v>1.0245452810969198</v>
          </cell>
          <cell r="AH11">
            <v>1.0552816395298275</v>
          </cell>
        </row>
        <row r="12">
          <cell r="A12" t="str">
            <v>Propylene</v>
          </cell>
          <cell r="B12" t="str">
            <v>methane * 0.9157</v>
          </cell>
          <cell r="C12">
            <v>0</v>
          </cell>
          <cell r="D12" t="str">
            <v>$/ton</v>
          </cell>
          <cell r="E12">
            <v>0</v>
          </cell>
          <cell r="F12">
            <v>32.548596246176011</v>
          </cell>
          <cell r="G12">
            <v>32.548596246176011</v>
          </cell>
          <cell r="H12">
            <v>32.548596246176011</v>
          </cell>
          <cell r="I12">
            <v>32.548596246176011</v>
          </cell>
          <cell r="J12">
            <v>32.548596246176011</v>
          </cell>
          <cell r="K12">
            <v>32.548596246176011</v>
          </cell>
          <cell r="L12">
            <v>32.548596246176011</v>
          </cell>
          <cell r="M12">
            <v>32.548596246176011</v>
          </cell>
          <cell r="N12">
            <v>32.548596246176011</v>
          </cell>
          <cell r="O12">
            <v>32.548596246176011</v>
          </cell>
          <cell r="P12">
            <v>32.548596246176011</v>
          </cell>
          <cell r="Q12">
            <v>32.548596246176011</v>
          </cell>
          <cell r="R12">
            <v>33.525054133561291</v>
          </cell>
          <cell r="S12">
            <v>34.530805757568132</v>
          </cell>
          <cell r="T12">
            <v>35.566729930295175</v>
          </cell>
          <cell r="U12">
            <v>36.633731828204034</v>
          </cell>
          <cell r="V12">
            <v>37.732743783050154</v>
          </cell>
          <cell r="W12">
            <v>38.864726096541659</v>
          </cell>
          <cell r="X12">
            <v>40.030667879437907</v>
          </cell>
          <cell r="Y12">
            <v>41.231587915821045</v>
          </cell>
          <cell r="Z12">
            <v>42.468535553295681</v>
          </cell>
          <cell r="AA12">
            <v>43.742591619894554</v>
          </cell>
          <cell r="AB12">
            <v>45.054869368491396</v>
          </cell>
          <cell r="AC12">
            <v>46.406515449546141</v>
          </cell>
          <cell r="AD12">
            <v>47.798710913032522</v>
          </cell>
          <cell r="AE12">
            <v>49.232672240423497</v>
          </cell>
          <cell r="AF12">
            <v>50.709652407636206</v>
          </cell>
          <cell r="AG12">
            <v>52.230941979865293</v>
          </cell>
          <cell r="AH12">
            <v>53.79787023926125</v>
          </cell>
        </row>
        <row r="13">
          <cell r="A13" t="str">
            <v>Catalyst (LLDPE)</v>
          </cell>
          <cell r="B13">
            <v>0</v>
          </cell>
          <cell r="C13">
            <v>0</v>
          </cell>
          <cell r="D13" t="str">
            <v>$/ton LLDPE</v>
          </cell>
          <cell r="E13">
            <v>19.013865573983026</v>
          </cell>
          <cell r="F13">
            <v>19.3751290198887</v>
          </cell>
          <cell r="G13">
            <v>19.812447928090315</v>
          </cell>
          <cell r="H13">
            <v>20.306808433013874</v>
          </cell>
          <cell r="I13">
            <v>20.820182803511411</v>
          </cell>
          <cell r="J13">
            <v>21.352571039582937</v>
          </cell>
          <cell r="K13">
            <v>21.884959275654463</v>
          </cell>
          <cell r="L13">
            <v>22.417347511725989</v>
          </cell>
          <cell r="M13">
            <v>22.987763478945478</v>
          </cell>
          <cell r="N13">
            <v>23.558179446164971</v>
          </cell>
          <cell r="O13">
            <v>24.147609278958441</v>
          </cell>
          <cell r="P13">
            <v>24.756052977325901</v>
          </cell>
          <cell r="Q13">
            <v>25.364496675693356</v>
          </cell>
          <cell r="R13">
            <v>26.010968105208782</v>
          </cell>
          <cell r="S13">
            <v>26.657439534724201</v>
          </cell>
          <cell r="T13">
            <v>27.322924829813608</v>
          </cell>
          <cell r="U13">
            <v>28.007423990476997</v>
          </cell>
          <cell r="V13">
            <v>28.710937016714368</v>
          </cell>
          <cell r="W13">
            <v>29.433463908525724</v>
          </cell>
          <cell r="X13">
            <v>30.155990800337079</v>
          </cell>
          <cell r="Y13">
            <v>30.909890570345507</v>
          </cell>
          <cell r="Z13">
            <v>31.682637834604144</v>
          </cell>
          <cell r="AA13">
            <v>32.474703780469241</v>
          </cell>
          <cell r="AB13">
            <v>33.286571374980966</v>
          </cell>
          <cell r="AC13">
            <v>34.118735659355487</v>
          </cell>
          <cell r="AD13">
            <v>34.971704050839371</v>
          </cell>
          <cell r="AE13">
            <v>35.845996652110351</v>
          </cell>
          <cell r="AF13">
            <v>36.742146568413105</v>
          </cell>
          <cell r="AG13">
            <v>37.660700232623434</v>
          </cell>
          <cell r="AH13">
            <v>38.602217738439016</v>
          </cell>
        </row>
        <row r="14">
          <cell r="A14" t="str">
            <v>Ethylene (Transfer)</v>
          </cell>
          <cell r="B14">
            <v>0</v>
          </cell>
          <cell r="C14">
            <v>0</v>
          </cell>
          <cell r="D14" t="str">
            <v>$/ton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329.38502610927588</v>
          </cell>
          <cell r="K14">
            <v>331.98766118099729</v>
          </cell>
          <cell r="L14">
            <v>333.97305245152791</v>
          </cell>
          <cell r="M14">
            <v>336.67711703416199</v>
          </cell>
          <cell r="N14">
            <v>339.24092101481102</v>
          </cell>
          <cell r="O14">
            <v>345.2097862522661</v>
          </cell>
          <cell r="P14">
            <v>350.41465571815678</v>
          </cell>
          <cell r="Q14">
            <v>355.82306669261396</v>
          </cell>
          <cell r="R14">
            <v>361.4449983878863</v>
          </cell>
          <cell r="S14">
            <v>366.26042526646603</v>
          </cell>
          <cell r="T14">
            <v>372.2487955777944</v>
          </cell>
          <cell r="U14">
            <v>378.21541400097635</v>
          </cell>
          <cell r="V14">
            <v>384.45712027367603</v>
          </cell>
          <cell r="W14">
            <v>390.85150621425839</v>
          </cell>
          <cell r="X14">
            <v>397.14533435843288</v>
          </cell>
          <cell r="Y14">
            <v>403.69073189653864</v>
          </cell>
          <cell r="Z14">
            <v>410.3151834775756</v>
          </cell>
          <cell r="AA14">
            <v>417.01855093022908</v>
          </cell>
          <cell r="AB14">
            <v>423.80063976584171</v>
          </cell>
          <cell r="AC14">
            <v>430.66119644890358</v>
          </cell>
          <cell r="AD14">
            <v>437.59990556626491</v>
          </cell>
          <cell r="AE14">
            <v>444.61638689171377</v>
          </cell>
          <cell r="AF14">
            <v>451.71019234245614</v>
          </cell>
          <cell r="AG14">
            <v>458.88080282392832</v>
          </cell>
          <cell r="AH14">
            <v>466.12762495926012</v>
          </cell>
        </row>
        <row r="15">
          <cell r="A15" t="str">
            <v>Ethylene (Market)</v>
          </cell>
          <cell r="B15">
            <v>0</v>
          </cell>
          <cell r="C15">
            <v>0</v>
          </cell>
          <cell r="D15" t="str">
            <v>$/ton</v>
          </cell>
          <cell r="E15">
            <v>398.51430960387404</v>
          </cell>
          <cell r="F15">
            <v>341.31615941915805</v>
          </cell>
          <cell r="G15">
            <v>323.48703635073281</v>
          </cell>
          <cell r="H15">
            <v>328.45511575313981</v>
          </cell>
          <cell r="I15">
            <v>324.99663286028039</v>
          </cell>
          <cell r="J15">
            <v>328.8320182764931</v>
          </cell>
          <cell r="K15">
            <v>333.1038628266981</v>
          </cell>
          <cell r="L15">
            <v>336.94363671606953</v>
          </cell>
          <cell r="M15">
            <v>341.46148192391337</v>
          </cell>
          <cell r="N15">
            <v>345.88114471036766</v>
          </cell>
          <cell r="O15">
            <v>352.77185037658626</v>
          </cell>
          <cell r="P15">
            <v>359.21525900270967</v>
          </cell>
          <cell r="Q15">
            <v>365.8011466848298</v>
          </cell>
          <cell r="R15">
            <v>372.7114988715204</v>
          </cell>
          <cell r="S15">
            <v>379.05729768652617</v>
          </cell>
          <cell r="T15">
            <v>386.31165690445602</v>
          </cell>
          <cell r="U15">
            <v>393.63828980068342</v>
          </cell>
          <cell r="V15">
            <v>401.24498419157317</v>
          </cell>
          <cell r="W15">
            <v>409.04605434998081</v>
          </cell>
          <cell r="X15">
            <v>416.77673405090297</v>
          </cell>
          <cell r="Y15">
            <v>424.82788732757706</v>
          </cell>
          <cell r="Z15">
            <v>433.02111280930291</v>
          </cell>
          <cell r="AA15">
            <v>441.35848213553533</v>
          </cell>
          <cell r="AB15">
            <v>449.84208173257349</v>
          </cell>
          <cell r="AC15">
            <v>458.47401225812894</v>
          </cell>
          <cell r="AD15">
            <v>467.25638800887924</v>
          </cell>
          <cell r="AE15">
            <v>476.19133628950573</v>
          </cell>
          <cell r="AF15">
            <v>485.28099674165804</v>
          </cell>
          <cell r="AG15">
            <v>494.52752063123705</v>
          </cell>
          <cell r="AH15">
            <v>503.93307009233149</v>
          </cell>
        </row>
        <row r="16">
          <cell r="A16" t="str">
            <v>Ethylene (NWE)</v>
          </cell>
          <cell r="B16">
            <v>0</v>
          </cell>
          <cell r="C16">
            <v>0</v>
          </cell>
          <cell r="D16" t="str">
            <v>$/ton</v>
          </cell>
          <cell r="E16">
            <v>569.30615657696296</v>
          </cell>
          <cell r="F16">
            <v>487.5945134559401</v>
          </cell>
          <cell r="G16">
            <v>462.12433764390397</v>
          </cell>
          <cell r="H16">
            <v>469.22159393305691</v>
          </cell>
          <cell r="I16">
            <v>464.2809040861149</v>
          </cell>
          <cell r="J16">
            <v>469.76002610927588</v>
          </cell>
          <cell r="K16">
            <v>475.86266118099729</v>
          </cell>
          <cell r="L16">
            <v>481.34805245152791</v>
          </cell>
          <cell r="M16">
            <v>487.80211703416199</v>
          </cell>
          <cell r="N16">
            <v>494.11592101481102</v>
          </cell>
          <cell r="O16">
            <v>503.9597862522661</v>
          </cell>
          <cell r="P16">
            <v>513.16465571815672</v>
          </cell>
          <cell r="Q16">
            <v>522.57306669261402</v>
          </cell>
          <cell r="R16">
            <v>532.44499838788636</v>
          </cell>
          <cell r="S16">
            <v>541.51042526646597</v>
          </cell>
          <cell r="T16">
            <v>551.87379557779445</v>
          </cell>
          <cell r="U16">
            <v>562.34041400097635</v>
          </cell>
          <cell r="V16">
            <v>573.20712027367597</v>
          </cell>
          <cell r="W16">
            <v>584.35150621425839</v>
          </cell>
          <cell r="X16">
            <v>595.39533435843293</v>
          </cell>
          <cell r="Y16">
            <v>606.89698189653859</v>
          </cell>
          <cell r="Z16">
            <v>618.60158972757563</v>
          </cell>
          <cell r="AA16">
            <v>630.51211733647904</v>
          </cell>
          <cell r="AB16">
            <v>642.63154533224792</v>
          </cell>
          <cell r="AC16">
            <v>654.96287465446994</v>
          </cell>
          <cell r="AD16">
            <v>667.50912572697041</v>
          </cell>
          <cell r="AE16">
            <v>680.27333755643679</v>
          </cell>
          <cell r="AF16">
            <v>693.25856677379727</v>
          </cell>
          <cell r="AG16">
            <v>706.46788661605297</v>
          </cell>
          <cell r="AH16">
            <v>719.90438584618789</v>
          </cell>
        </row>
        <row r="17">
          <cell r="A17" t="str">
            <v>Butene-1 (Transfer)</v>
          </cell>
          <cell r="B17">
            <v>1</v>
          </cell>
          <cell r="C17" t="str">
            <v>* NWE</v>
          </cell>
          <cell r="D17" t="str">
            <v>$/ton</v>
          </cell>
          <cell r="E17">
            <v>850</v>
          </cell>
          <cell r="F17">
            <v>790.74399999999991</v>
          </cell>
          <cell r="G17">
            <v>762.74400000000003</v>
          </cell>
          <cell r="H17">
            <v>774.30000000000007</v>
          </cell>
          <cell r="I17">
            <v>771.97500000000002</v>
          </cell>
          <cell r="J17">
            <v>781.60799999999995</v>
          </cell>
          <cell r="K17">
            <v>791.88800000000003</v>
          </cell>
          <cell r="L17">
            <v>801.72</v>
          </cell>
          <cell r="M17">
            <v>813.65700000000004</v>
          </cell>
          <cell r="N17">
            <v>825.17400000000009</v>
          </cell>
          <cell r="O17">
            <v>840.74</v>
          </cell>
          <cell r="P17">
            <v>855.41399999999999</v>
          </cell>
          <cell r="Q17">
            <v>869.76800000000003</v>
          </cell>
          <cell r="R17">
            <v>886.46400000000006</v>
          </cell>
          <cell r="S17">
            <v>901.48599999999999</v>
          </cell>
          <cell r="T17">
            <v>918.24300000000005</v>
          </cell>
          <cell r="U17">
            <v>933.88200000000006</v>
          </cell>
          <cell r="V17">
            <v>952.81000000000006</v>
          </cell>
          <cell r="W17">
            <v>970.596</v>
          </cell>
          <cell r="X17">
            <v>988.07800000000009</v>
          </cell>
          <cell r="Y17">
            <v>1006.2773500000001</v>
          </cell>
          <cell r="Z17">
            <v>1024.76911875</v>
          </cell>
          <cell r="AA17">
            <v>1043.55655259375</v>
          </cell>
          <cell r="AB17">
            <v>1062.6428774304684</v>
          </cell>
          <cell r="AC17">
            <v>1082.0312956636519</v>
          </cell>
          <cell r="AD17">
            <v>1101.7249830101005</v>
          </cell>
          <cell r="AE17">
            <v>1121.7270851640817</v>
          </cell>
          <cell r="AF17">
            <v>1142.0407143113807</v>
          </cell>
          <cell r="AG17">
            <v>1162.6689454878172</v>
          </cell>
          <cell r="AH17">
            <v>1183.614812776631</v>
          </cell>
        </row>
        <row r="18">
          <cell r="A18" t="str">
            <v>Butene-1 (Market)</v>
          </cell>
          <cell r="B18">
            <v>1</v>
          </cell>
          <cell r="C18" t="str">
            <v>* NWE</v>
          </cell>
          <cell r="D18" t="str">
            <v>$/ton</v>
          </cell>
          <cell r="E18">
            <v>730</v>
          </cell>
          <cell r="F18">
            <v>668.46399999999994</v>
          </cell>
          <cell r="G18">
            <v>637.70400000000006</v>
          </cell>
          <cell r="H18">
            <v>646.14</v>
          </cell>
          <cell r="I18">
            <v>640.57499999999993</v>
          </cell>
          <cell r="J18">
            <v>646.84799999999996</v>
          </cell>
          <cell r="K18">
            <v>653.76800000000003</v>
          </cell>
          <cell r="L18">
            <v>660.24</v>
          </cell>
          <cell r="M18">
            <v>668.577</v>
          </cell>
          <cell r="N18">
            <v>676.49400000000003</v>
          </cell>
          <cell r="O18">
            <v>688.34</v>
          </cell>
          <cell r="P18">
            <v>699.17399999999998</v>
          </cell>
          <cell r="Q18">
            <v>709.68799999999999</v>
          </cell>
          <cell r="R18">
            <v>722.30400000000009</v>
          </cell>
          <cell r="S18">
            <v>733.24599999999998</v>
          </cell>
          <cell r="T18">
            <v>745.803</v>
          </cell>
          <cell r="U18">
            <v>757.12200000000007</v>
          </cell>
          <cell r="V18">
            <v>771.61</v>
          </cell>
          <cell r="W18">
            <v>784.83600000000001</v>
          </cell>
          <cell r="X18">
            <v>797.75800000000004</v>
          </cell>
          <cell r="Y18">
            <v>811.19934999999998</v>
          </cell>
          <cell r="Z18">
            <v>824.81416875000002</v>
          </cell>
          <cell r="AA18">
            <v>838.6027288437499</v>
          </cell>
          <cell r="AB18">
            <v>852.56520808671848</v>
          </cell>
          <cell r="AC18">
            <v>866.70168458630826</v>
          </cell>
          <cell r="AD18">
            <v>881.01213165582328</v>
          </cell>
          <cell r="AE18">
            <v>895.49641252594768</v>
          </cell>
          <cell r="AF18">
            <v>910.15427485729333</v>
          </cell>
          <cell r="AG18">
            <v>924.98534504737756</v>
          </cell>
          <cell r="AH18">
            <v>939.98912232518035</v>
          </cell>
        </row>
        <row r="19">
          <cell r="A19" t="str">
            <v>Butene-1 (NWE)</v>
          </cell>
          <cell r="B19">
            <v>0</v>
          </cell>
          <cell r="C19">
            <v>0</v>
          </cell>
          <cell r="D19" t="str">
            <v>$/ton</v>
          </cell>
          <cell r="E19">
            <v>730</v>
          </cell>
          <cell r="F19">
            <v>668.46399999999994</v>
          </cell>
          <cell r="G19">
            <v>637.70400000000006</v>
          </cell>
          <cell r="H19">
            <v>646.14</v>
          </cell>
          <cell r="I19">
            <v>640.57499999999993</v>
          </cell>
          <cell r="J19">
            <v>646.84799999999996</v>
          </cell>
          <cell r="K19">
            <v>653.76800000000003</v>
          </cell>
          <cell r="L19">
            <v>660.24</v>
          </cell>
          <cell r="M19">
            <v>668.577</v>
          </cell>
          <cell r="N19">
            <v>676.49400000000003</v>
          </cell>
          <cell r="O19">
            <v>688.34</v>
          </cell>
          <cell r="P19">
            <v>699.17399999999998</v>
          </cell>
          <cell r="Q19">
            <v>709.68799999999999</v>
          </cell>
          <cell r="R19">
            <v>722.30400000000009</v>
          </cell>
          <cell r="S19">
            <v>733.24599999999998</v>
          </cell>
          <cell r="T19">
            <v>745.803</v>
          </cell>
          <cell r="U19">
            <v>757.12200000000007</v>
          </cell>
          <cell r="V19">
            <v>771.61</v>
          </cell>
          <cell r="W19">
            <v>784.83600000000001</v>
          </cell>
          <cell r="X19">
            <v>797.75800000000004</v>
          </cell>
          <cell r="Y19">
            <v>811.19934999999998</v>
          </cell>
          <cell r="Z19">
            <v>824.81416875000002</v>
          </cell>
          <cell r="AA19">
            <v>838.6027288437499</v>
          </cell>
          <cell r="AB19">
            <v>852.56520808671848</v>
          </cell>
          <cell r="AC19">
            <v>866.70168458630826</v>
          </cell>
          <cell r="AD19">
            <v>881.01213165582328</v>
          </cell>
          <cell r="AE19">
            <v>895.49641252594768</v>
          </cell>
          <cell r="AF19">
            <v>910.15427485729333</v>
          </cell>
          <cell r="AG19">
            <v>924.98534504737756</v>
          </cell>
          <cell r="AH19">
            <v>939.98912232518035</v>
          </cell>
        </row>
        <row r="20">
          <cell r="A20" t="str">
            <v>Catalyst (HDPE)</v>
          </cell>
          <cell r="B20">
            <v>0</v>
          </cell>
          <cell r="C20">
            <v>0</v>
          </cell>
          <cell r="D20" t="str">
            <v>$/ton HDPE</v>
          </cell>
          <cell r="E20">
            <v>19.013865573983026</v>
          </cell>
          <cell r="F20">
            <v>19.3751290198887</v>
          </cell>
          <cell r="G20">
            <v>19.812447928090315</v>
          </cell>
          <cell r="H20">
            <v>20.306808433013874</v>
          </cell>
          <cell r="I20">
            <v>20.820182803511411</v>
          </cell>
          <cell r="J20">
            <v>21.352571039582937</v>
          </cell>
          <cell r="K20">
            <v>21.884959275654463</v>
          </cell>
          <cell r="L20">
            <v>22.417347511725989</v>
          </cell>
          <cell r="M20">
            <v>22.987763478945478</v>
          </cell>
          <cell r="N20">
            <v>23.558179446164971</v>
          </cell>
          <cell r="O20">
            <v>24.147609278958441</v>
          </cell>
          <cell r="P20">
            <v>24.756052977325901</v>
          </cell>
          <cell r="Q20">
            <v>25.364496675693356</v>
          </cell>
          <cell r="R20">
            <v>26.010968105208782</v>
          </cell>
          <cell r="S20">
            <v>26.657439534724201</v>
          </cell>
          <cell r="T20">
            <v>27.322924829813608</v>
          </cell>
          <cell r="U20">
            <v>28.007423990476997</v>
          </cell>
          <cell r="V20">
            <v>28.710937016714368</v>
          </cell>
          <cell r="W20">
            <v>29.433463908525724</v>
          </cell>
          <cell r="X20">
            <v>30.155990800337079</v>
          </cell>
          <cell r="Y20">
            <v>30.909890570345507</v>
          </cell>
          <cell r="Z20">
            <v>31.682637834604144</v>
          </cell>
          <cell r="AA20">
            <v>32.474703780469241</v>
          </cell>
          <cell r="AB20">
            <v>33.286571374980966</v>
          </cell>
          <cell r="AC20">
            <v>34.118735659355487</v>
          </cell>
          <cell r="AD20">
            <v>34.971704050839371</v>
          </cell>
          <cell r="AE20">
            <v>35.845996652110351</v>
          </cell>
          <cell r="AF20">
            <v>36.742146568413105</v>
          </cell>
          <cell r="AG20">
            <v>37.660700232623434</v>
          </cell>
          <cell r="AH20">
            <v>38.602217738439016</v>
          </cell>
        </row>
        <row r="21">
          <cell r="A21" t="str">
            <v>Catalyst (MEG)</v>
          </cell>
          <cell r="B21">
            <v>0</v>
          </cell>
          <cell r="C21">
            <v>0</v>
          </cell>
          <cell r="D21" t="str">
            <v>$/ton MEG</v>
          </cell>
          <cell r="E21">
            <v>11.863442766503693</v>
          </cell>
          <cell r="F21">
            <v>12.088848179067263</v>
          </cell>
          <cell r="G21">
            <v>12.361707362696849</v>
          </cell>
          <cell r="H21">
            <v>12.670156874625945</v>
          </cell>
          <cell r="I21">
            <v>12.990469829321544</v>
          </cell>
          <cell r="J21">
            <v>13.322646226783649</v>
          </cell>
          <cell r="K21">
            <v>13.654822624245751</v>
          </cell>
          <cell r="L21">
            <v>13.986999021707856</v>
          </cell>
          <cell r="M21">
            <v>14.342902304702966</v>
          </cell>
          <cell r="N21">
            <v>14.698805587698077</v>
          </cell>
          <cell r="O21">
            <v>15.066572313459691</v>
          </cell>
          <cell r="P21">
            <v>15.446202481987809</v>
          </cell>
          <cell r="Q21">
            <v>15.825832650515927</v>
          </cell>
          <cell r="R21">
            <v>16.229189704577053</v>
          </cell>
          <cell r="S21">
            <v>16.632546758638178</v>
          </cell>
          <cell r="T21">
            <v>17.047767255465807</v>
          </cell>
          <cell r="U21">
            <v>17.474851195059941</v>
          </cell>
          <cell r="V21">
            <v>17.913798577420579</v>
          </cell>
          <cell r="W21">
            <v>18.364609402547718</v>
          </cell>
          <cell r="X21">
            <v>18.81542022767486</v>
          </cell>
          <cell r="Y21">
            <v>19.285805733366729</v>
          </cell>
          <cell r="Z21">
            <v>19.767950876700898</v>
          </cell>
          <cell r="AA21">
            <v>20.262149648618418</v>
          </cell>
          <cell r="AB21">
            <v>20.768703389833874</v>
          </cell>
          <cell r="AC21">
            <v>21.28792097457972</v>
          </cell>
          <cell r="AD21">
            <v>21.82011899894421</v>
          </cell>
          <cell r="AE21">
            <v>22.365621973917811</v>
          </cell>
          <cell r="AF21">
            <v>22.924762523265755</v>
          </cell>
          <cell r="AG21">
            <v>23.497881586347397</v>
          </cell>
          <cell r="AH21">
            <v>24.085328626006081</v>
          </cell>
        </row>
        <row r="22">
          <cell r="A22" t="str">
            <v>Oxygen</v>
          </cell>
          <cell r="B22">
            <v>0</v>
          </cell>
          <cell r="C22">
            <v>0</v>
          </cell>
          <cell r="D22" t="str">
            <v>$/ton</v>
          </cell>
          <cell r="E22">
            <v>57.534934556052903</v>
          </cell>
          <cell r="F22">
            <v>58.628098312617901</v>
          </cell>
          <cell r="G22">
            <v>59.95140180740713</v>
          </cell>
          <cell r="H22">
            <v>61.447310105864503</v>
          </cell>
          <cell r="I22">
            <v>63.000753338877928</v>
          </cell>
          <cell r="J22">
            <v>64.611731506447413</v>
          </cell>
          <cell r="K22">
            <v>66.222709674016897</v>
          </cell>
          <cell r="L22">
            <v>67.833687841586382</v>
          </cell>
          <cell r="M22">
            <v>69.559735878267958</v>
          </cell>
          <cell r="N22">
            <v>71.285783914949548</v>
          </cell>
          <cell r="O22">
            <v>73.069366886187183</v>
          </cell>
          <cell r="P22">
            <v>74.910484791980878</v>
          </cell>
          <cell r="Q22">
            <v>76.751602697774572</v>
          </cell>
          <cell r="R22">
            <v>78.707790472680372</v>
          </cell>
          <cell r="S22">
            <v>80.663978247586172</v>
          </cell>
          <cell r="T22">
            <v>82.677700957048032</v>
          </cell>
          <cell r="U22">
            <v>84.748958601065937</v>
          </cell>
          <cell r="V22">
            <v>86.877751179639887</v>
          </cell>
          <cell r="W22">
            <v>89.064078692769897</v>
          </cell>
          <cell r="X22">
            <v>91.250406205899907</v>
          </cell>
          <cell r="Y22">
            <v>93.5316663610474</v>
          </cell>
          <cell r="Z22">
            <v>95.869958020073582</v>
          </cell>
          <cell r="AA22">
            <v>98.266706970575413</v>
          </cell>
          <cell r="AB22">
            <v>100.72337464483978</v>
          </cell>
          <cell r="AC22">
            <v>103.24145901096077</v>
          </cell>
          <cell r="AD22">
            <v>105.82249548623477</v>
          </cell>
          <cell r="AE22">
            <v>108.46805787339063</v>
          </cell>
          <cell r="AF22">
            <v>111.17975932022539</v>
          </cell>
          <cell r="AG22">
            <v>113.95925330323101</v>
          </cell>
          <cell r="AH22">
            <v>116.80823463581179</v>
          </cell>
        </row>
        <row r="23">
          <cell r="A23" t="str">
            <v>DEG (Export)</v>
          </cell>
          <cell r="B23">
            <v>0</v>
          </cell>
          <cell r="C23">
            <v>0</v>
          </cell>
          <cell r="D23" t="str">
            <v>$/ton</v>
          </cell>
          <cell r="E23">
            <v>504.83590781180197</v>
          </cell>
          <cell r="F23">
            <v>525.26493238830369</v>
          </cell>
          <cell r="G23">
            <v>511.1429950318842</v>
          </cell>
          <cell r="H23">
            <v>519.5322865147424</v>
          </cell>
          <cell r="I23">
            <v>519.45336652409947</v>
          </cell>
          <cell r="J23">
            <v>527.48423267330827</v>
          </cell>
          <cell r="K23">
            <v>535.81937067579418</v>
          </cell>
          <cell r="L23">
            <v>543.76656194907991</v>
          </cell>
          <cell r="M23">
            <v>552.63609839389346</v>
          </cell>
          <cell r="N23">
            <v>561.39422867079998</v>
          </cell>
          <cell r="O23">
            <v>572.62852509793129</v>
          </cell>
          <cell r="P23">
            <v>583.66178099870785</v>
          </cell>
          <cell r="Q23">
            <v>594.76568403862029</v>
          </cell>
          <cell r="R23">
            <v>606.5259976347561</v>
          </cell>
          <cell r="S23">
            <v>617.76665198466219</v>
          </cell>
          <cell r="T23">
            <v>629.93009282937396</v>
          </cell>
          <cell r="U23">
            <v>642.31830778980031</v>
          </cell>
          <cell r="V23">
            <v>655.10274662130405</v>
          </cell>
          <cell r="W23">
            <v>668.21055789510513</v>
          </cell>
          <cell r="X23">
            <v>681.20914660611277</v>
          </cell>
          <cell r="Y23">
            <v>694.7671031579639</v>
          </cell>
          <cell r="Z23">
            <v>708.59490075170015</v>
          </cell>
          <cell r="AA23">
            <v>722.69790997451935</v>
          </cell>
          <cell r="AB23">
            <v>737.08160830324073</v>
          </cell>
          <cell r="AC23">
            <v>751.75158223170615</v>
          </cell>
          <cell r="AD23">
            <v>766.7135294405216</v>
          </cell>
          <cell r="AE23">
            <v>781.97326100998271</v>
          </cell>
          <cell r="AF23">
            <v>797.53670367704513</v>
          </cell>
          <cell r="AG23">
            <v>813.40990213721238</v>
          </cell>
          <cell r="AH23">
            <v>829.59902139223982</v>
          </cell>
        </row>
        <row r="24">
          <cell r="A24" t="str">
            <v>TEG (Export)</v>
          </cell>
          <cell r="B24">
            <v>0</v>
          </cell>
          <cell r="C24">
            <v>0</v>
          </cell>
          <cell r="D24" t="str">
            <v>$/ton</v>
          </cell>
          <cell r="E24">
            <v>504.83590781180197</v>
          </cell>
          <cell r="F24">
            <v>525.26493238830369</v>
          </cell>
          <cell r="G24">
            <v>511.1429950318842</v>
          </cell>
          <cell r="H24">
            <v>519.5322865147424</v>
          </cell>
          <cell r="I24">
            <v>519.45336652409947</v>
          </cell>
          <cell r="J24">
            <v>527.48423267330827</v>
          </cell>
          <cell r="K24">
            <v>535.81937067579418</v>
          </cell>
          <cell r="L24">
            <v>543.76656194907991</v>
          </cell>
          <cell r="M24">
            <v>552.63609839389346</v>
          </cell>
          <cell r="N24">
            <v>561.39422867079998</v>
          </cell>
          <cell r="O24">
            <v>572.62852509793129</v>
          </cell>
          <cell r="P24">
            <v>583.66178099870785</v>
          </cell>
          <cell r="Q24">
            <v>594.76568403862029</v>
          </cell>
          <cell r="R24">
            <v>606.5259976347561</v>
          </cell>
          <cell r="S24">
            <v>617.76665198466219</v>
          </cell>
          <cell r="T24">
            <v>629.93009282937396</v>
          </cell>
          <cell r="U24">
            <v>642.31830778980031</v>
          </cell>
          <cell r="V24">
            <v>655.10274662130405</v>
          </cell>
          <cell r="W24">
            <v>668.21055789510513</v>
          </cell>
          <cell r="X24">
            <v>681.20914660611277</v>
          </cell>
          <cell r="Y24">
            <v>694.7671031579639</v>
          </cell>
          <cell r="Z24">
            <v>708.59490075170015</v>
          </cell>
          <cell r="AA24">
            <v>722.69790997451935</v>
          </cell>
          <cell r="AB24">
            <v>737.08160830324073</v>
          </cell>
          <cell r="AC24">
            <v>751.75158223170615</v>
          </cell>
          <cell r="AD24">
            <v>766.7135294405216</v>
          </cell>
          <cell r="AE24">
            <v>781.97326100998271</v>
          </cell>
          <cell r="AF24">
            <v>797.53670367704513</v>
          </cell>
          <cell r="AG24">
            <v>813.40990213721238</v>
          </cell>
          <cell r="AH24">
            <v>829.59902139223982</v>
          </cell>
        </row>
        <row r="25">
          <cell r="A25" t="str">
            <v>Oxygen (Internal)</v>
          </cell>
          <cell r="B25" t="str">
            <v>Direct into Current</v>
          </cell>
          <cell r="C25">
            <v>2</v>
          </cell>
          <cell r="D25" t="str">
            <v>$/ton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36.370543003982917</v>
          </cell>
          <cell r="K25">
            <v>35.647920332226917</v>
          </cell>
          <cell r="L25">
            <v>35.495409347815233</v>
          </cell>
          <cell r="M25">
            <v>35.709374301776421</v>
          </cell>
          <cell r="N25">
            <v>35.926926300713419</v>
          </cell>
          <cell r="O25">
            <v>36.153849780370187</v>
          </cell>
          <cell r="P25">
            <v>36.390395867163186</v>
          </cell>
          <cell r="Q25">
            <v>36.631075495528677</v>
          </cell>
          <cell r="R25">
            <v>36.887616904910523</v>
          </cell>
          <cell r="S25">
            <v>37.148755394496895</v>
          </cell>
          <cell r="T25">
            <v>37.420532393547298</v>
          </cell>
          <cell r="U25">
            <v>37.703250633092615</v>
          </cell>
          <cell r="V25">
            <v>37.997225011419118</v>
          </cell>
          <cell r="W25">
            <v>38.302783043249534</v>
          </cell>
          <cell r="X25">
            <v>38.614178200821314</v>
          </cell>
          <cell r="Y25">
            <v>38.941736809206958</v>
          </cell>
          <cell r="Z25">
            <v>39.28184846806635</v>
          </cell>
          <cell r="AA25">
            <v>39.635047935477829</v>
          </cell>
          <cell r="AB25">
            <v>40.001894523144891</v>
          </cell>
          <cell r="AC25">
            <v>40.382973276460952</v>
          </cell>
          <cell r="AD25">
            <v>40.77889621274069</v>
          </cell>
          <cell r="AE25">
            <v>41.190303620523558</v>
          </cell>
          <cell r="AF25">
            <v>41.617865423000751</v>
          </cell>
          <cell r="AG25">
            <v>42.062282608770559</v>
          </cell>
          <cell r="AH25">
            <v>43.914204537430805</v>
          </cell>
        </row>
        <row r="26">
          <cell r="A26" t="str">
            <v>Catalyst (Butene-1)</v>
          </cell>
          <cell r="B26" t="str">
            <v>0.0056$/lb in 1998</v>
          </cell>
          <cell r="C26">
            <v>0</v>
          </cell>
          <cell r="D26" t="str">
            <v>$/ton Butene-1</v>
          </cell>
          <cell r="E26">
            <v>12.104867121951218</v>
          </cell>
          <cell r="F26">
            <v>12.33485959726829</v>
          </cell>
          <cell r="G26">
            <v>12.61327154107317</v>
          </cell>
          <cell r="H26">
            <v>12.927998086243901</v>
          </cell>
          <cell r="I26">
            <v>13.254829498536584</v>
          </cell>
          <cell r="J26">
            <v>13.593765777951218</v>
          </cell>
          <cell r="K26">
            <v>13.932702057365852</v>
          </cell>
          <cell r="L26">
            <v>14.271638336780486</v>
          </cell>
          <cell r="M26">
            <v>14.634784350439023</v>
          </cell>
          <cell r="N26">
            <v>14.997930364097559</v>
          </cell>
          <cell r="O26">
            <v>15.373181244878047</v>
          </cell>
          <cell r="P26">
            <v>15.760536992780485</v>
          </cell>
          <cell r="Q26">
            <v>16.147892740682924</v>
          </cell>
          <cell r="R26">
            <v>16.559458222829267</v>
          </cell>
          <cell r="S26">
            <v>16.971023704975607</v>
          </cell>
          <cell r="T26">
            <v>17.394694054243899</v>
          </cell>
          <cell r="U26">
            <v>17.830469270634143</v>
          </cell>
          <cell r="V26">
            <v>18.278349354146339</v>
          </cell>
          <cell r="W26">
            <v>18.738334304780487</v>
          </cell>
          <cell r="X26">
            <v>19.198319255414631</v>
          </cell>
          <cell r="Y26">
            <v>19.678277236799996</v>
          </cell>
          <cell r="Z26">
            <v>20.170234167719997</v>
          </cell>
          <cell r="AA26">
            <v>20.674490021912995</v>
          </cell>
          <cell r="AB26">
            <v>21.191352272460815</v>
          </cell>
          <cell r="AC26">
            <v>21.721136079272334</v>
          </cell>
          <cell r="AD26">
            <v>22.264164481254138</v>
          </cell>
          <cell r="AE26">
            <v>22.820768593285489</v>
          </cell>
          <cell r="AF26">
            <v>23.391287808117625</v>
          </cell>
          <cell r="AG26">
            <v>23.976070003320565</v>
          </cell>
          <cell r="AH26">
            <v>24.57547175340358</v>
          </cell>
        </row>
        <row r="27">
          <cell r="A27" t="str">
            <v>Ethylene/Propylene Mix</v>
          </cell>
          <cell r="B27" t="str">
            <v>50% of C2 price</v>
          </cell>
          <cell r="C27">
            <v>0</v>
          </cell>
          <cell r="D27" t="str">
            <v>$/ton</v>
          </cell>
          <cell r="E27">
            <v>199.25715480193702</v>
          </cell>
          <cell r="F27">
            <v>170.65807970957903</v>
          </cell>
          <cell r="G27">
            <v>161.7435181753664</v>
          </cell>
          <cell r="H27">
            <v>164.2275578765699</v>
          </cell>
          <cell r="I27">
            <v>162.49831643014019</v>
          </cell>
          <cell r="J27">
            <v>164.41600913824655</v>
          </cell>
          <cell r="K27">
            <v>166.55193141334905</v>
          </cell>
          <cell r="L27">
            <v>168.47181835803477</v>
          </cell>
          <cell r="M27">
            <v>170.73074096195668</v>
          </cell>
          <cell r="N27">
            <v>172.94057235518383</v>
          </cell>
          <cell r="O27">
            <v>176.38592518829313</v>
          </cell>
          <cell r="P27">
            <v>179.60762950135484</v>
          </cell>
          <cell r="Q27">
            <v>182.9005733424149</v>
          </cell>
          <cell r="R27">
            <v>186.3557494357602</v>
          </cell>
          <cell r="S27">
            <v>189.52864884326308</v>
          </cell>
          <cell r="T27">
            <v>193.15582845222801</v>
          </cell>
          <cell r="U27">
            <v>196.81914490034171</v>
          </cell>
          <cell r="V27">
            <v>200.62249209578658</v>
          </cell>
          <cell r="W27">
            <v>204.5230271749904</v>
          </cell>
          <cell r="X27">
            <v>208.38836702545149</v>
          </cell>
          <cell r="Y27">
            <v>212.41394366378853</v>
          </cell>
          <cell r="Z27">
            <v>216.51055640465145</v>
          </cell>
          <cell r="AA27">
            <v>220.67924106776766</v>
          </cell>
          <cell r="AB27">
            <v>224.92104086628675</v>
          </cell>
          <cell r="AC27">
            <v>229.23700612906447</v>
          </cell>
          <cell r="AD27">
            <v>233.62819400443962</v>
          </cell>
          <cell r="AE27">
            <v>238.09566814475286</v>
          </cell>
          <cell r="AF27">
            <v>242.64049837082902</v>
          </cell>
          <cell r="AG27">
            <v>247.26376031561853</v>
          </cell>
          <cell r="AH27">
            <v>251.96653504616575</v>
          </cell>
        </row>
        <row r="28">
          <cell r="A28" t="str">
            <v>C4 Mix</v>
          </cell>
          <cell r="B28" t="str">
            <v>45% of C2 price</v>
          </cell>
          <cell r="C28">
            <v>0</v>
          </cell>
          <cell r="D28" t="str">
            <v>$/ton</v>
          </cell>
          <cell r="E28">
            <v>179.33143932174332</v>
          </cell>
          <cell r="F28">
            <v>153.59227173862112</v>
          </cell>
          <cell r="G28">
            <v>145.56916635782977</v>
          </cell>
          <cell r="H28">
            <v>147.80480208891291</v>
          </cell>
          <cell r="I28">
            <v>146.24848478712619</v>
          </cell>
          <cell r="J28">
            <v>147.97440822442189</v>
          </cell>
          <cell r="K28">
            <v>149.89673827201415</v>
          </cell>
          <cell r="L28">
            <v>151.62463652223127</v>
          </cell>
          <cell r="M28">
            <v>153.65766686576103</v>
          </cell>
          <cell r="N28">
            <v>155.64651511966548</v>
          </cell>
          <cell r="O28">
            <v>158.74733266946382</v>
          </cell>
          <cell r="P28">
            <v>161.64686655121938</v>
          </cell>
          <cell r="Q28">
            <v>164.61051600817342</v>
          </cell>
          <cell r="R28">
            <v>167.72017449218421</v>
          </cell>
          <cell r="S28">
            <v>170.5757839589368</v>
          </cell>
          <cell r="T28">
            <v>173.84024560700522</v>
          </cell>
          <cell r="U28">
            <v>177.13723041030755</v>
          </cell>
          <cell r="V28">
            <v>180.56024288620793</v>
          </cell>
          <cell r="W28">
            <v>184.07072445749139</v>
          </cell>
          <cell r="X28">
            <v>187.54953032290635</v>
          </cell>
          <cell r="Y28">
            <v>191.17254929740966</v>
          </cell>
          <cell r="Z28">
            <v>194.85950076418632</v>
          </cell>
          <cell r="AA28">
            <v>198.61131696099088</v>
          </cell>
          <cell r="AB28">
            <v>202.42893677965807</v>
          </cell>
          <cell r="AC28">
            <v>206.31330551615801</v>
          </cell>
          <cell r="AD28">
            <v>210.26537460399564</v>
          </cell>
          <cell r="AE28">
            <v>214.28610133027757</v>
          </cell>
          <cell r="AF28">
            <v>218.37644853374613</v>
          </cell>
          <cell r="AG28">
            <v>222.53738428405666</v>
          </cell>
          <cell r="AH28">
            <v>226.76988154154918</v>
          </cell>
        </row>
        <row r="29">
          <cell r="A29" t="str">
            <v>C5+ LAO's</v>
          </cell>
          <cell r="B29" t="str">
            <v>150% of C2 price</v>
          </cell>
          <cell r="C29">
            <v>0</v>
          </cell>
          <cell r="D29" t="str">
            <v>$/ton</v>
          </cell>
          <cell r="E29">
            <v>597.771464405811</v>
          </cell>
          <cell r="F29">
            <v>511.97423912873705</v>
          </cell>
          <cell r="G29">
            <v>485.23055452609918</v>
          </cell>
          <cell r="H29">
            <v>492.68267362970971</v>
          </cell>
          <cell r="I29">
            <v>487.49494929042055</v>
          </cell>
          <cell r="J29">
            <v>493.24802741473968</v>
          </cell>
          <cell r="K29">
            <v>499.6557942400471</v>
          </cell>
          <cell r="L29">
            <v>505.41545507410433</v>
          </cell>
          <cell r="M29">
            <v>512.19222288587002</v>
          </cell>
          <cell r="N29">
            <v>518.82171706555152</v>
          </cell>
          <cell r="O29">
            <v>529.15777556487944</v>
          </cell>
          <cell r="P29">
            <v>538.82288850406451</v>
          </cell>
          <cell r="Q29">
            <v>548.70172002724473</v>
          </cell>
          <cell r="R29">
            <v>559.06724830728069</v>
          </cell>
          <cell r="S29">
            <v>568.58594652978923</v>
          </cell>
          <cell r="T29">
            <v>579.46748535668405</v>
          </cell>
          <cell r="U29">
            <v>590.45743470102514</v>
          </cell>
          <cell r="V29">
            <v>601.86747628735975</v>
          </cell>
          <cell r="W29">
            <v>613.56908152497124</v>
          </cell>
          <cell r="X29">
            <v>625.16510107635452</v>
          </cell>
          <cell r="Y29">
            <v>637.24183099136553</v>
          </cell>
          <cell r="Z29">
            <v>649.53166921395439</v>
          </cell>
          <cell r="AA29">
            <v>662.0377232033029</v>
          </cell>
          <cell r="AB29">
            <v>674.76312259886026</v>
          </cell>
          <cell r="AC29">
            <v>687.71101838719346</v>
          </cell>
          <cell r="AD29">
            <v>700.88458201331889</v>
          </cell>
          <cell r="AE29">
            <v>714.28700443425862</v>
          </cell>
          <cell r="AF29">
            <v>727.92149511248704</v>
          </cell>
          <cell r="AG29">
            <v>741.79128094685564</v>
          </cell>
          <cell r="AH29">
            <v>755.89960513849724</v>
          </cell>
        </row>
        <row r="30">
          <cell r="A30" t="str">
            <v>Purge Gas</v>
          </cell>
          <cell r="B30" t="str">
            <v>Methane equivalent</v>
          </cell>
          <cell r="C30">
            <v>0</v>
          </cell>
          <cell r="D30" t="str">
            <v>$/ton</v>
          </cell>
          <cell r="E30">
            <v>0</v>
          </cell>
          <cell r="F30">
            <v>32.679611640000005</v>
          </cell>
          <cell r="G30">
            <v>32.679611640000005</v>
          </cell>
          <cell r="H30">
            <v>32.679611640000005</v>
          </cell>
          <cell r="I30">
            <v>32.679611640000005</v>
          </cell>
          <cell r="J30">
            <v>32.679611640000005</v>
          </cell>
          <cell r="K30">
            <v>32.679611640000005</v>
          </cell>
          <cell r="L30">
            <v>32.679611640000005</v>
          </cell>
          <cell r="M30">
            <v>32.679611640000005</v>
          </cell>
          <cell r="N30">
            <v>32.679611640000005</v>
          </cell>
          <cell r="O30">
            <v>32.679611640000005</v>
          </cell>
          <cell r="P30">
            <v>32.679611640000005</v>
          </cell>
          <cell r="Q30">
            <v>32.679611640000005</v>
          </cell>
          <cell r="R30">
            <v>32.679611640000005</v>
          </cell>
          <cell r="S30">
            <v>32.679611640000005</v>
          </cell>
          <cell r="T30">
            <v>32.679611640000005</v>
          </cell>
          <cell r="U30">
            <v>32.679611640000005</v>
          </cell>
          <cell r="V30">
            <v>32.679611640000005</v>
          </cell>
          <cell r="W30">
            <v>32.679611640000005</v>
          </cell>
          <cell r="X30">
            <v>32.679611640000005</v>
          </cell>
          <cell r="Y30">
            <v>32.679611640000005</v>
          </cell>
          <cell r="Z30">
            <v>32.679611640000005</v>
          </cell>
          <cell r="AA30">
            <v>32.679611640000005</v>
          </cell>
          <cell r="AB30">
            <v>32.679611640000005</v>
          </cell>
          <cell r="AC30">
            <v>32.679611640000005</v>
          </cell>
          <cell r="AD30">
            <v>32.679611640000005</v>
          </cell>
          <cell r="AE30">
            <v>32.679611640000005</v>
          </cell>
          <cell r="AF30">
            <v>32.679611640000005</v>
          </cell>
          <cell r="AG30">
            <v>32.679611640000005</v>
          </cell>
          <cell r="AH30">
            <v>32.679611640000005</v>
          </cell>
        </row>
        <row r="31">
          <cell r="A31" t="str">
            <v>Polymer Freight (Western Europe)</v>
          </cell>
          <cell r="B31">
            <v>0</v>
          </cell>
          <cell r="C31">
            <v>0</v>
          </cell>
          <cell r="D31" t="str">
            <v>$/ton</v>
          </cell>
          <cell r="E31">
            <v>60</v>
          </cell>
          <cell r="F31">
            <v>61.139999999999993</v>
          </cell>
          <cell r="G31">
            <v>62.52</v>
          </cell>
          <cell r="H31">
            <v>64.08</v>
          </cell>
          <cell r="I31">
            <v>65.7</v>
          </cell>
          <cell r="J31">
            <v>67.38</v>
          </cell>
          <cell r="K31">
            <v>69.06</v>
          </cell>
          <cell r="L31">
            <v>70.740000000000009</v>
          </cell>
          <cell r="M31">
            <v>72.540000000000006</v>
          </cell>
          <cell r="N31">
            <v>74.34</v>
          </cell>
          <cell r="O31">
            <v>76.2</v>
          </cell>
          <cell r="P31">
            <v>78.12</v>
          </cell>
          <cell r="Q31">
            <v>80.040000000000006</v>
          </cell>
          <cell r="R31">
            <v>82.080000000000013</v>
          </cell>
          <cell r="S31">
            <v>84.11999999999999</v>
          </cell>
          <cell r="T31">
            <v>86.22</v>
          </cell>
          <cell r="U31">
            <v>88.38000000000001</v>
          </cell>
          <cell r="V31">
            <v>90.6</v>
          </cell>
          <cell r="W31">
            <v>92.88</v>
          </cell>
          <cell r="X31">
            <v>95.160000000000011</v>
          </cell>
          <cell r="Y31">
            <v>97.539000000000001</v>
          </cell>
          <cell r="Z31">
            <v>99.977474999999998</v>
          </cell>
          <cell r="AA31">
            <v>102.47691187499998</v>
          </cell>
          <cell r="AB31">
            <v>105.03883467187497</v>
          </cell>
          <cell r="AC31">
            <v>107.66480553867183</v>
          </cell>
          <cell r="AD31">
            <v>110.35642567713862</v>
          </cell>
          <cell r="AE31">
            <v>113.11533631906707</v>
          </cell>
          <cell r="AF31">
            <v>115.94321972704374</v>
          </cell>
          <cell r="AG31">
            <v>118.84180022021982</v>
          </cell>
          <cell r="AH31">
            <v>121.81284522572531</v>
          </cell>
        </row>
        <row r="32">
          <cell r="A32" t="str">
            <v>Polymer Freight (East Asia)</v>
          </cell>
          <cell r="B32">
            <v>0</v>
          </cell>
          <cell r="C32">
            <v>0</v>
          </cell>
          <cell r="D32" t="str">
            <v>$/ton</v>
          </cell>
          <cell r="E32">
            <v>56</v>
          </cell>
          <cell r="F32">
            <v>57.063999999999993</v>
          </cell>
          <cell r="G32">
            <v>58.352000000000004</v>
          </cell>
          <cell r="H32">
            <v>59.808000000000007</v>
          </cell>
          <cell r="I32">
            <v>61.32</v>
          </cell>
          <cell r="J32">
            <v>62.887999999999998</v>
          </cell>
          <cell r="K32">
            <v>64.456000000000003</v>
          </cell>
          <cell r="L32">
            <v>66.024000000000001</v>
          </cell>
          <cell r="M32">
            <v>67.704000000000008</v>
          </cell>
          <cell r="N32">
            <v>69.384</v>
          </cell>
          <cell r="O32">
            <v>71.12</v>
          </cell>
          <cell r="P32">
            <v>72.912000000000006</v>
          </cell>
          <cell r="Q32">
            <v>74.704000000000008</v>
          </cell>
          <cell r="R32">
            <v>76.608000000000004</v>
          </cell>
          <cell r="S32">
            <v>78.512</v>
          </cell>
          <cell r="T32">
            <v>80.472000000000008</v>
          </cell>
          <cell r="U32">
            <v>82.488</v>
          </cell>
          <cell r="V32">
            <v>84.56</v>
          </cell>
          <cell r="W32">
            <v>86.688000000000002</v>
          </cell>
          <cell r="X32">
            <v>88.816000000000003</v>
          </cell>
          <cell r="Y32">
            <v>91.0364</v>
          </cell>
          <cell r="Z32">
            <v>93.312309999999997</v>
          </cell>
          <cell r="AA32">
            <v>95.645117749999983</v>
          </cell>
          <cell r="AB32">
            <v>98.036245693749976</v>
          </cell>
          <cell r="AC32">
            <v>100.48715183609372</v>
          </cell>
          <cell r="AD32">
            <v>102.99933063199605</v>
          </cell>
          <cell r="AE32">
            <v>105.57431389779593</v>
          </cell>
          <cell r="AF32">
            <v>108.21367174524082</v>
          </cell>
          <cell r="AG32">
            <v>110.91901353887184</v>
          </cell>
          <cell r="AH32">
            <v>113.69198887734363</v>
          </cell>
        </row>
        <row r="33">
          <cell r="A33" t="str">
            <v>Polymer Freight (West Asia)</v>
          </cell>
          <cell r="B33">
            <v>0</v>
          </cell>
          <cell r="C33">
            <v>0</v>
          </cell>
          <cell r="D33" t="str">
            <v>$/ton</v>
          </cell>
          <cell r="E33">
            <v>40</v>
          </cell>
          <cell r="F33">
            <v>40.76</v>
          </cell>
          <cell r="G33">
            <v>41.68</v>
          </cell>
          <cell r="H33">
            <v>42.72</v>
          </cell>
          <cell r="I33">
            <v>43.8</v>
          </cell>
          <cell r="J33">
            <v>44.92</v>
          </cell>
          <cell r="K33">
            <v>46.04</v>
          </cell>
          <cell r="L33">
            <v>47.160000000000004</v>
          </cell>
          <cell r="M33">
            <v>48.36</v>
          </cell>
          <cell r="N33">
            <v>49.56</v>
          </cell>
          <cell r="O33">
            <v>50.8</v>
          </cell>
          <cell r="P33">
            <v>52.08</v>
          </cell>
          <cell r="Q33">
            <v>53.36</v>
          </cell>
          <cell r="R33">
            <v>54.720000000000006</v>
          </cell>
          <cell r="S33">
            <v>56.08</v>
          </cell>
          <cell r="T33">
            <v>57.480000000000004</v>
          </cell>
          <cell r="U33">
            <v>58.92</v>
          </cell>
          <cell r="V33">
            <v>60.4</v>
          </cell>
          <cell r="W33">
            <v>61.92</v>
          </cell>
          <cell r="X33">
            <v>63.440000000000005</v>
          </cell>
          <cell r="Y33">
            <v>65.025999999999996</v>
          </cell>
          <cell r="Z33">
            <v>66.651650000000004</v>
          </cell>
          <cell r="AA33">
            <v>68.31794124999999</v>
          </cell>
          <cell r="AB33">
            <v>70.025889781249987</v>
          </cell>
          <cell r="AC33">
            <v>71.776537025781224</v>
          </cell>
          <cell r="AD33">
            <v>73.570950451425745</v>
          </cell>
          <cell r="AE33">
            <v>75.410224212711384</v>
          </cell>
          <cell r="AF33">
            <v>77.29547981802915</v>
          </cell>
          <cell r="AG33">
            <v>79.227866813479878</v>
          </cell>
          <cell r="AH33">
            <v>81.208563483816874</v>
          </cell>
        </row>
        <row r="34">
          <cell r="A34" t="str">
            <v>Polymer Freight (Iran)</v>
          </cell>
          <cell r="B34">
            <v>0</v>
          </cell>
          <cell r="C34">
            <v>0</v>
          </cell>
          <cell r="D34" t="str">
            <v>$/ton</v>
          </cell>
          <cell r="E34">
            <v>20</v>
          </cell>
          <cell r="F34">
            <v>20.38</v>
          </cell>
          <cell r="G34">
            <v>20.84</v>
          </cell>
          <cell r="H34">
            <v>21.36</v>
          </cell>
          <cell r="I34">
            <v>21.9</v>
          </cell>
          <cell r="J34">
            <v>22.46</v>
          </cell>
          <cell r="K34">
            <v>23.02</v>
          </cell>
          <cell r="L34">
            <v>23.580000000000002</v>
          </cell>
          <cell r="M34">
            <v>24.18</v>
          </cell>
          <cell r="N34">
            <v>24.78</v>
          </cell>
          <cell r="O34">
            <v>25.4</v>
          </cell>
          <cell r="P34">
            <v>26.04</v>
          </cell>
          <cell r="Q34">
            <v>26.68</v>
          </cell>
          <cell r="R34">
            <v>27.360000000000003</v>
          </cell>
          <cell r="S34">
            <v>28.04</v>
          </cell>
          <cell r="T34">
            <v>28.740000000000002</v>
          </cell>
          <cell r="U34">
            <v>29.46</v>
          </cell>
          <cell r="V34">
            <v>30.2</v>
          </cell>
          <cell r="W34">
            <v>30.96</v>
          </cell>
          <cell r="X34">
            <v>31.720000000000002</v>
          </cell>
          <cell r="Y34">
            <v>32.512999999999998</v>
          </cell>
          <cell r="Z34">
            <v>33.325825000000002</v>
          </cell>
          <cell r="AA34">
            <v>34.158970624999995</v>
          </cell>
          <cell r="AB34">
            <v>35.012944890624993</v>
          </cell>
          <cell r="AC34">
            <v>35.888268512890612</v>
          </cell>
          <cell r="AD34">
            <v>36.785475225712872</v>
          </cell>
          <cell r="AE34">
            <v>37.705112106355692</v>
          </cell>
          <cell r="AF34">
            <v>38.647739909014575</v>
          </cell>
          <cell r="AG34">
            <v>39.613933406739939</v>
          </cell>
          <cell r="AH34">
            <v>40.604281741908437</v>
          </cell>
        </row>
        <row r="35">
          <cell r="A35" t="str">
            <v>MEG Freight (Western Europe)</v>
          </cell>
          <cell r="B35">
            <v>0</v>
          </cell>
          <cell r="C35">
            <v>0</v>
          </cell>
          <cell r="D35" t="str">
            <v>$/ton</v>
          </cell>
          <cell r="E35">
            <v>67</v>
          </cell>
          <cell r="F35">
            <v>68.272999999999996</v>
          </cell>
          <cell r="G35">
            <v>69.814000000000007</v>
          </cell>
          <cell r="H35">
            <v>71.555999999999997</v>
          </cell>
          <cell r="I35">
            <v>73.364999999999995</v>
          </cell>
          <cell r="J35">
            <v>75.241</v>
          </cell>
          <cell r="K35">
            <v>77.117000000000004</v>
          </cell>
          <cell r="L35">
            <v>78.993000000000009</v>
          </cell>
          <cell r="M35">
            <v>81.003</v>
          </cell>
          <cell r="N35">
            <v>83.013000000000005</v>
          </cell>
          <cell r="O35">
            <v>85.09</v>
          </cell>
          <cell r="P35">
            <v>87.234000000000009</v>
          </cell>
          <cell r="Q35">
            <v>89.378</v>
          </cell>
          <cell r="R35">
            <v>91.656000000000006</v>
          </cell>
          <cell r="S35">
            <v>93.933999999999997</v>
          </cell>
          <cell r="T35">
            <v>96.279000000000011</v>
          </cell>
          <cell r="U35">
            <v>98.691000000000003</v>
          </cell>
          <cell r="V35">
            <v>101.17</v>
          </cell>
          <cell r="W35">
            <v>103.71600000000001</v>
          </cell>
          <cell r="X35">
            <v>106.262</v>
          </cell>
          <cell r="Y35">
            <v>108.91855</v>
          </cell>
          <cell r="Z35">
            <v>111.64151375</v>
          </cell>
          <cell r="AA35">
            <v>114.43255159374999</v>
          </cell>
          <cell r="AB35">
            <v>117.29336538359372</v>
          </cell>
          <cell r="AC35">
            <v>120.22569951818355</v>
          </cell>
          <cell r="AD35">
            <v>123.23134200613812</v>
          </cell>
          <cell r="AE35">
            <v>126.31212555629156</v>
          </cell>
          <cell r="AF35">
            <v>129.46992869519883</v>
          </cell>
          <cell r="AG35">
            <v>132.70667691257881</v>
          </cell>
          <cell r="AH35">
            <v>136.02434383539327</v>
          </cell>
        </row>
        <row r="36">
          <cell r="A36" t="str">
            <v>MEG Freight (East Asia)</v>
          </cell>
          <cell r="B36">
            <v>0</v>
          </cell>
          <cell r="C36">
            <v>0</v>
          </cell>
          <cell r="D36" t="str">
            <v>$/ton</v>
          </cell>
          <cell r="E36">
            <v>45</v>
          </cell>
          <cell r="F36">
            <v>45.854999999999997</v>
          </cell>
          <cell r="G36">
            <v>46.89</v>
          </cell>
          <cell r="H36">
            <v>48.06</v>
          </cell>
          <cell r="I36">
            <v>49.274999999999999</v>
          </cell>
          <cell r="J36">
            <v>50.534999999999997</v>
          </cell>
          <cell r="K36">
            <v>51.795000000000002</v>
          </cell>
          <cell r="L36">
            <v>53.055</v>
          </cell>
          <cell r="M36">
            <v>54.405000000000001</v>
          </cell>
          <cell r="N36">
            <v>55.755000000000003</v>
          </cell>
          <cell r="O36">
            <v>57.15</v>
          </cell>
          <cell r="P36">
            <v>58.59</v>
          </cell>
          <cell r="Q36">
            <v>60.03</v>
          </cell>
          <cell r="R36">
            <v>61.56</v>
          </cell>
          <cell r="S36">
            <v>63.089999999999996</v>
          </cell>
          <cell r="T36">
            <v>64.665000000000006</v>
          </cell>
          <cell r="U36">
            <v>66.285000000000011</v>
          </cell>
          <cell r="V36">
            <v>67.95</v>
          </cell>
          <cell r="W36">
            <v>69.66</v>
          </cell>
          <cell r="X36">
            <v>71.37</v>
          </cell>
          <cell r="Y36">
            <v>73.154250000000005</v>
          </cell>
          <cell r="Z36">
            <v>74.983106250000006</v>
          </cell>
          <cell r="AA36">
            <v>76.857683906249989</v>
          </cell>
          <cell r="AB36">
            <v>78.779126003906228</v>
          </cell>
          <cell r="AC36">
            <v>80.748604154003871</v>
          </cell>
          <cell r="AD36">
            <v>82.767319257853956</v>
          </cell>
          <cell r="AE36">
            <v>84.836502239300302</v>
          </cell>
          <cell r="AF36">
            <v>86.957414795282801</v>
          </cell>
          <cell r="AG36">
            <v>89.131350165164861</v>
          </cell>
          <cell r="AH36">
            <v>91.359633919293984</v>
          </cell>
        </row>
        <row r="37">
          <cell r="A37" t="str">
            <v>MEG Freight (West Asia)</v>
          </cell>
          <cell r="B37">
            <v>0</v>
          </cell>
          <cell r="C37">
            <v>0</v>
          </cell>
          <cell r="D37" t="str">
            <v>$/ton</v>
          </cell>
          <cell r="E37">
            <v>40</v>
          </cell>
          <cell r="F37">
            <v>40.76</v>
          </cell>
          <cell r="G37">
            <v>41.68</v>
          </cell>
          <cell r="H37">
            <v>42.72</v>
          </cell>
          <cell r="I37">
            <v>43.8</v>
          </cell>
          <cell r="J37">
            <v>44.92</v>
          </cell>
          <cell r="K37">
            <v>46.04</v>
          </cell>
          <cell r="L37">
            <v>47.160000000000004</v>
          </cell>
          <cell r="M37">
            <v>48.36</v>
          </cell>
          <cell r="N37">
            <v>49.56</v>
          </cell>
          <cell r="O37">
            <v>50.8</v>
          </cell>
          <cell r="P37">
            <v>52.08</v>
          </cell>
          <cell r="Q37">
            <v>53.36</v>
          </cell>
          <cell r="R37">
            <v>54.720000000000006</v>
          </cell>
          <cell r="S37">
            <v>56.08</v>
          </cell>
          <cell r="T37">
            <v>57.480000000000004</v>
          </cell>
          <cell r="U37">
            <v>58.92</v>
          </cell>
          <cell r="V37">
            <v>60.4</v>
          </cell>
          <cell r="W37">
            <v>61.92</v>
          </cell>
          <cell r="X37">
            <v>63.440000000000005</v>
          </cell>
          <cell r="Y37">
            <v>65.025999999999996</v>
          </cell>
          <cell r="Z37">
            <v>66.651650000000004</v>
          </cell>
          <cell r="AA37">
            <v>68.31794124999999</v>
          </cell>
          <cell r="AB37">
            <v>70.025889781249987</v>
          </cell>
          <cell r="AC37">
            <v>71.776537025781224</v>
          </cell>
          <cell r="AD37">
            <v>73.570950451425745</v>
          </cell>
          <cell r="AE37">
            <v>75.410224212711384</v>
          </cell>
          <cell r="AF37">
            <v>77.29547981802915</v>
          </cell>
          <cell r="AG37">
            <v>79.227866813479878</v>
          </cell>
          <cell r="AH37">
            <v>81.208563483816874</v>
          </cell>
        </row>
        <row r="38">
          <cell r="A38" t="str">
            <v>MEG Freight (Iran)</v>
          </cell>
          <cell r="B38">
            <v>0</v>
          </cell>
          <cell r="C38">
            <v>0</v>
          </cell>
          <cell r="D38" t="str">
            <v>$/ton</v>
          </cell>
          <cell r="E38">
            <v>20</v>
          </cell>
          <cell r="F38">
            <v>20.38</v>
          </cell>
          <cell r="G38">
            <v>20.84</v>
          </cell>
          <cell r="H38">
            <v>21.36</v>
          </cell>
          <cell r="I38">
            <v>21.9</v>
          </cell>
          <cell r="J38">
            <v>22.46</v>
          </cell>
          <cell r="K38">
            <v>23.02</v>
          </cell>
          <cell r="L38">
            <v>23.580000000000002</v>
          </cell>
          <cell r="M38">
            <v>24.18</v>
          </cell>
          <cell r="N38">
            <v>24.78</v>
          </cell>
          <cell r="O38">
            <v>25.4</v>
          </cell>
          <cell r="P38">
            <v>26.04</v>
          </cell>
          <cell r="Q38">
            <v>26.68</v>
          </cell>
          <cell r="R38">
            <v>27.360000000000003</v>
          </cell>
          <cell r="S38">
            <v>28.04</v>
          </cell>
          <cell r="T38">
            <v>28.740000000000002</v>
          </cell>
          <cell r="U38">
            <v>29.46</v>
          </cell>
          <cell r="V38">
            <v>30.2</v>
          </cell>
          <cell r="W38">
            <v>30.96</v>
          </cell>
          <cell r="X38">
            <v>31.720000000000002</v>
          </cell>
          <cell r="Y38">
            <v>32.512999999999998</v>
          </cell>
          <cell r="Z38">
            <v>33.325825000000002</v>
          </cell>
          <cell r="AA38">
            <v>34.158970624999995</v>
          </cell>
          <cell r="AB38">
            <v>35.012944890624993</v>
          </cell>
          <cell r="AC38">
            <v>35.888268512890612</v>
          </cell>
          <cell r="AD38">
            <v>36.785475225712872</v>
          </cell>
          <cell r="AE38">
            <v>37.705112106355692</v>
          </cell>
          <cell r="AF38">
            <v>38.647739909014575</v>
          </cell>
          <cell r="AG38">
            <v>39.613933406739939</v>
          </cell>
          <cell r="AH38">
            <v>40.604281741908437</v>
          </cell>
        </row>
        <row r="39">
          <cell r="A39" t="str">
            <v>Styrene Freight (Western Europe)</v>
          </cell>
          <cell r="B39">
            <v>0</v>
          </cell>
          <cell r="C39">
            <v>0</v>
          </cell>
          <cell r="D39" t="str">
            <v>$/ton</v>
          </cell>
          <cell r="E39">
            <v>70</v>
          </cell>
          <cell r="F39">
            <v>71.33</v>
          </cell>
          <cell r="G39">
            <v>72.94</v>
          </cell>
          <cell r="H39">
            <v>74.760000000000005</v>
          </cell>
          <cell r="I39">
            <v>76.649999999999991</v>
          </cell>
          <cell r="J39">
            <v>78.61</v>
          </cell>
          <cell r="K39">
            <v>80.570000000000007</v>
          </cell>
          <cell r="L39">
            <v>82.53</v>
          </cell>
          <cell r="M39">
            <v>84.63000000000001</v>
          </cell>
          <cell r="N39">
            <v>86.73</v>
          </cell>
          <cell r="O39">
            <v>88.9</v>
          </cell>
          <cell r="P39">
            <v>91.14</v>
          </cell>
          <cell r="Q39">
            <v>93.38000000000001</v>
          </cell>
          <cell r="R39">
            <v>95.76</v>
          </cell>
          <cell r="S39">
            <v>98.14</v>
          </cell>
          <cell r="T39">
            <v>100.59</v>
          </cell>
          <cell r="U39">
            <v>103.11</v>
          </cell>
          <cell r="V39">
            <v>105.7</v>
          </cell>
          <cell r="W39">
            <v>108.36</v>
          </cell>
          <cell r="X39">
            <v>111.02000000000001</v>
          </cell>
          <cell r="Y39">
            <v>113.7955</v>
          </cell>
          <cell r="Z39">
            <v>116.6403875</v>
          </cell>
          <cell r="AA39">
            <v>119.55639718749998</v>
          </cell>
          <cell r="AB39">
            <v>122.54530711718746</v>
          </cell>
          <cell r="AC39">
            <v>125.60893979511714</v>
          </cell>
          <cell r="AD39">
            <v>128.74916328999504</v>
          </cell>
          <cell r="AE39">
            <v>131.9678923722449</v>
          </cell>
          <cell r="AF39">
            <v>135.26708968155103</v>
          </cell>
          <cell r="AG39">
            <v>138.64876692358979</v>
          </cell>
          <cell r="AH39">
            <v>142.11498609667953</v>
          </cell>
        </row>
        <row r="40">
          <cell r="A40" t="str">
            <v>Styrene Freight (East Asia)</v>
          </cell>
          <cell r="B40">
            <v>0</v>
          </cell>
          <cell r="C40">
            <v>0</v>
          </cell>
          <cell r="D40" t="str">
            <v>$/ton</v>
          </cell>
          <cell r="E40">
            <v>47</v>
          </cell>
          <cell r="F40">
            <v>47.892999999999994</v>
          </cell>
          <cell r="G40">
            <v>48.974000000000004</v>
          </cell>
          <cell r="H40">
            <v>50.196000000000005</v>
          </cell>
          <cell r="I40">
            <v>51.464999999999996</v>
          </cell>
          <cell r="J40">
            <v>52.780999999999999</v>
          </cell>
          <cell r="K40">
            <v>54.097000000000001</v>
          </cell>
          <cell r="L40">
            <v>55.413000000000004</v>
          </cell>
          <cell r="M40">
            <v>56.823</v>
          </cell>
          <cell r="N40">
            <v>58.233000000000004</v>
          </cell>
          <cell r="O40">
            <v>59.69</v>
          </cell>
          <cell r="P40">
            <v>61.194000000000003</v>
          </cell>
          <cell r="Q40">
            <v>62.698</v>
          </cell>
          <cell r="R40">
            <v>64.296000000000006</v>
          </cell>
          <cell r="S40">
            <v>65.893999999999991</v>
          </cell>
          <cell r="T40">
            <v>67.539000000000001</v>
          </cell>
          <cell r="U40">
            <v>69.231000000000009</v>
          </cell>
          <cell r="V40">
            <v>70.97</v>
          </cell>
          <cell r="W40">
            <v>72.756</v>
          </cell>
          <cell r="X40">
            <v>74.542000000000002</v>
          </cell>
          <cell r="Y40">
            <v>76.405550000000005</v>
          </cell>
          <cell r="Z40">
            <v>78.315688750000007</v>
          </cell>
          <cell r="AA40">
            <v>80.273580968749997</v>
          </cell>
          <cell r="AB40">
            <v>82.28042049296873</v>
          </cell>
          <cell r="AC40">
            <v>84.337431005292942</v>
          </cell>
          <cell r="AD40">
            <v>86.445866780425249</v>
          </cell>
          <cell r="AE40">
            <v>88.607013449935863</v>
          </cell>
          <cell r="AF40">
            <v>90.822188786184256</v>
          </cell>
          <cell r="AG40">
            <v>93.092743505838854</v>
          </cell>
          <cell r="AH40">
            <v>95.42006209348483</v>
          </cell>
        </row>
        <row r="41">
          <cell r="A41" t="str">
            <v>Styrene Freight (West Asia)</v>
          </cell>
          <cell r="B41">
            <v>0</v>
          </cell>
          <cell r="C41">
            <v>0</v>
          </cell>
          <cell r="D41" t="str">
            <v>$/ton</v>
          </cell>
          <cell r="E41">
            <v>42</v>
          </cell>
          <cell r="F41">
            <v>42.797999999999995</v>
          </cell>
          <cell r="G41">
            <v>43.764000000000003</v>
          </cell>
          <cell r="H41">
            <v>44.856000000000002</v>
          </cell>
          <cell r="I41">
            <v>45.99</v>
          </cell>
          <cell r="J41">
            <v>47.165999999999997</v>
          </cell>
          <cell r="K41">
            <v>48.341999999999999</v>
          </cell>
          <cell r="L41">
            <v>49.518000000000001</v>
          </cell>
          <cell r="M41">
            <v>50.778000000000006</v>
          </cell>
          <cell r="N41">
            <v>52.038000000000004</v>
          </cell>
          <cell r="O41">
            <v>53.34</v>
          </cell>
          <cell r="P41">
            <v>54.684000000000005</v>
          </cell>
          <cell r="Q41">
            <v>56.028000000000006</v>
          </cell>
          <cell r="R41">
            <v>57.456000000000003</v>
          </cell>
          <cell r="S41">
            <v>58.883999999999993</v>
          </cell>
          <cell r="T41">
            <v>60.353999999999999</v>
          </cell>
          <cell r="U41">
            <v>61.866000000000007</v>
          </cell>
          <cell r="V41">
            <v>63.42</v>
          </cell>
          <cell r="W41">
            <v>65.016000000000005</v>
          </cell>
          <cell r="X41">
            <v>66.612000000000009</v>
          </cell>
          <cell r="Y41">
            <v>68.277299999999997</v>
          </cell>
          <cell r="Z41">
            <v>69.984232500000005</v>
          </cell>
          <cell r="AA41">
            <v>71.733838312499998</v>
          </cell>
          <cell r="AB41">
            <v>73.527184270312475</v>
          </cell>
          <cell r="AC41">
            <v>75.36536387707028</v>
          </cell>
          <cell r="AD41">
            <v>77.249497973997023</v>
          </cell>
          <cell r="AE41">
            <v>79.180735423346945</v>
          </cell>
          <cell r="AF41">
            <v>81.160253808930619</v>
          </cell>
          <cell r="AG41">
            <v>83.189260154153871</v>
          </cell>
          <cell r="AH41">
            <v>85.268991658007721</v>
          </cell>
        </row>
        <row r="42">
          <cell r="A42" t="str">
            <v>Styrene Freight (Iran)</v>
          </cell>
          <cell r="B42">
            <v>0</v>
          </cell>
          <cell r="C42">
            <v>0</v>
          </cell>
          <cell r="D42" t="str">
            <v>$/ton</v>
          </cell>
          <cell r="E42">
            <v>21.5</v>
          </cell>
          <cell r="F42">
            <v>21.908499999999997</v>
          </cell>
          <cell r="G42">
            <v>22.403000000000002</v>
          </cell>
          <cell r="H42">
            <v>22.962</v>
          </cell>
          <cell r="I42">
            <v>23.5425</v>
          </cell>
          <cell r="J42">
            <v>24.144500000000001</v>
          </cell>
          <cell r="K42">
            <v>24.746500000000001</v>
          </cell>
          <cell r="L42">
            <v>25.348500000000001</v>
          </cell>
          <cell r="M42">
            <v>25.993500000000001</v>
          </cell>
          <cell r="N42">
            <v>26.638500000000001</v>
          </cell>
          <cell r="O42">
            <v>27.305</v>
          </cell>
          <cell r="P42">
            <v>27.993000000000002</v>
          </cell>
          <cell r="Q42">
            <v>28.681000000000001</v>
          </cell>
          <cell r="R42">
            <v>29.412000000000003</v>
          </cell>
          <cell r="S42">
            <v>30.142999999999997</v>
          </cell>
          <cell r="T42">
            <v>30.895500000000002</v>
          </cell>
          <cell r="U42">
            <v>31.669500000000003</v>
          </cell>
          <cell r="V42">
            <v>32.465000000000003</v>
          </cell>
          <cell r="W42">
            <v>33.282000000000004</v>
          </cell>
          <cell r="X42">
            <v>34.099000000000004</v>
          </cell>
          <cell r="Y42">
            <v>34.951475000000002</v>
          </cell>
          <cell r="Z42">
            <v>35.825261875000002</v>
          </cell>
          <cell r="AA42">
            <v>36.720893421874997</v>
          </cell>
          <cell r="AB42">
            <v>37.638915757421863</v>
          </cell>
          <cell r="AC42">
            <v>38.579888651357408</v>
          </cell>
          <cell r="AD42">
            <v>39.544385867641338</v>
          </cell>
          <cell r="AE42">
            <v>40.532995514332363</v>
          </cell>
          <cell r="AF42">
            <v>41.546320402190673</v>
          </cell>
          <cell r="AG42">
            <v>42.584978412245434</v>
          </cell>
          <cell r="AH42">
            <v>43.649602872551569</v>
          </cell>
        </row>
        <row r="43">
          <cell r="A43" t="str">
            <v>Packaging</v>
          </cell>
          <cell r="B43">
            <v>0</v>
          </cell>
          <cell r="C43">
            <v>0</v>
          </cell>
          <cell r="D43" t="str">
            <v>$/ton</v>
          </cell>
          <cell r="E43">
            <v>15</v>
          </cell>
          <cell r="F43">
            <v>15.284999999999998</v>
          </cell>
          <cell r="G43">
            <v>15.63</v>
          </cell>
          <cell r="H43">
            <v>16.02</v>
          </cell>
          <cell r="I43">
            <v>16.425000000000001</v>
          </cell>
          <cell r="J43">
            <v>16.844999999999999</v>
          </cell>
          <cell r="K43">
            <v>17.265000000000001</v>
          </cell>
          <cell r="L43">
            <v>17.685000000000002</v>
          </cell>
          <cell r="M43">
            <v>18.135000000000002</v>
          </cell>
          <cell r="N43">
            <v>18.585000000000001</v>
          </cell>
          <cell r="O43">
            <v>19.05</v>
          </cell>
          <cell r="P43">
            <v>19.53</v>
          </cell>
          <cell r="Q43">
            <v>20.010000000000002</v>
          </cell>
          <cell r="R43">
            <v>20.520000000000003</v>
          </cell>
          <cell r="S43">
            <v>21.029999999999998</v>
          </cell>
          <cell r="T43">
            <v>21.555</v>
          </cell>
          <cell r="U43">
            <v>22.095000000000002</v>
          </cell>
          <cell r="V43">
            <v>22.65</v>
          </cell>
          <cell r="W43">
            <v>23.22</v>
          </cell>
          <cell r="X43">
            <v>23.790000000000003</v>
          </cell>
          <cell r="Y43">
            <v>24.38475</v>
          </cell>
          <cell r="Z43">
            <v>24.99436875</v>
          </cell>
          <cell r="AA43">
            <v>25.619227968749996</v>
          </cell>
          <cell r="AB43">
            <v>26.259708667968741</v>
          </cell>
          <cell r="AC43">
            <v>26.916201384667957</v>
          </cell>
          <cell r="AD43">
            <v>27.589106419284654</v>
          </cell>
          <cell r="AE43">
            <v>28.278834079766767</v>
          </cell>
          <cell r="AF43">
            <v>28.985804931760935</v>
          </cell>
          <cell r="AG43">
            <v>29.710450055054956</v>
          </cell>
          <cell r="AH43">
            <v>30.453211306431328</v>
          </cell>
        </row>
        <row r="44">
          <cell r="A44" t="str">
            <v>Sales Support (LLDPE)</v>
          </cell>
          <cell r="B44">
            <v>0</v>
          </cell>
          <cell r="C44">
            <v>0</v>
          </cell>
          <cell r="D44" t="str">
            <v>$/ton</v>
          </cell>
          <cell r="E44">
            <v>28.337500000000002</v>
          </cell>
          <cell r="F44">
            <v>27.054449999999999</v>
          </cell>
          <cell r="G44">
            <v>32.823</v>
          </cell>
          <cell r="H44">
            <v>33.588600000000007</v>
          </cell>
          <cell r="I44">
            <v>34.4925</v>
          </cell>
          <cell r="J44">
            <v>34.9253</v>
          </cell>
          <cell r="K44">
            <v>35.335700000000003</v>
          </cell>
          <cell r="L44">
            <v>35.782650000000004</v>
          </cell>
          <cell r="M44">
            <v>36.209550000000007</v>
          </cell>
          <cell r="N44">
            <v>36.612450000000003</v>
          </cell>
          <cell r="O44">
            <v>37.147500000000001</v>
          </cell>
          <cell r="P44">
            <v>37.758000000000003</v>
          </cell>
          <cell r="Q44">
            <v>38.352499999999999</v>
          </cell>
          <cell r="R44">
            <v>38.988</v>
          </cell>
          <cell r="S44">
            <v>39.606499999999997</v>
          </cell>
          <cell r="T44">
            <v>40.236000000000004</v>
          </cell>
          <cell r="U44">
            <v>40.949400000000004</v>
          </cell>
          <cell r="V44">
            <v>41.600500000000004</v>
          </cell>
          <cell r="W44">
            <v>42.260400000000004</v>
          </cell>
          <cell r="X44">
            <v>42.901300000000006</v>
          </cell>
          <cell r="Y44">
            <v>43.571141726190483</v>
          </cell>
          <cell r="Z44">
            <v>44.251442061750502</v>
          </cell>
          <cell r="AA44">
            <v>44.942364302732962</v>
          </cell>
          <cell r="AB44">
            <v>45.644074294822332</v>
          </cell>
          <cell r="AC44">
            <v>46.356740473143482</v>
          </cell>
          <cell r="AD44">
            <v>47.080533902692096</v>
          </cell>
          <cell r="AE44">
            <v>47.815628319396204</v>
          </cell>
          <cell r="AF44">
            <v>48.562200171818994</v>
          </cell>
          <cell r="AG44">
            <v>49.320428663512679</v>
          </cell>
          <cell r="AH44">
            <v>50.090495796033636</v>
          </cell>
        </row>
        <row r="45">
          <cell r="A45" t="str">
            <v>Sales Support (HDPE)</v>
          </cell>
          <cell r="B45">
            <v>0</v>
          </cell>
          <cell r="C45">
            <v>0</v>
          </cell>
          <cell r="D45" t="str">
            <v>$/ton</v>
          </cell>
          <cell r="E45">
            <v>28.911500000000004</v>
          </cell>
          <cell r="F45">
            <v>25.627849999999999</v>
          </cell>
          <cell r="G45">
            <v>31.364200000000004</v>
          </cell>
          <cell r="H45">
            <v>32.146800000000006</v>
          </cell>
          <cell r="I45">
            <v>33.014250000000004</v>
          </cell>
          <cell r="J45">
            <v>33.40925</v>
          </cell>
          <cell r="K45">
            <v>33.781850000000006</v>
          </cell>
          <cell r="L45">
            <v>34.249950000000005</v>
          </cell>
          <cell r="M45">
            <v>34.577400000000004</v>
          </cell>
          <cell r="N45">
            <v>34.939800000000005</v>
          </cell>
          <cell r="O45">
            <v>35.496500000000005</v>
          </cell>
          <cell r="P45">
            <v>36.000300000000003</v>
          </cell>
          <cell r="Q45">
            <v>36.618300000000005</v>
          </cell>
          <cell r="R45">
            <v>37.141200000000005</v>
          </cell>
          <cell r="S45">
            <v>37.713799999999999</v>
          </cell>
          <cell r="T45">
            <v>38.296050000000001</v>
          </cell>
          <cell r="U45">
            <v>38.960850000000008</v>
          </cell>
          <cell r="V45">
            <v>39.562000000000005</v>
          </cell>
          <cell r="W45">
            <v>40.170600000000007</v>
          </cell>
          <cell r="X45">
            <v>40.760200000000005</v>
          </cell>
          <cell r="Y45">
            <v>41.37670784200386</v>
          </cell>
          <cell r="Z45">
            <v>42.002540513602568</v>
          </cell>
          <cell r="AA45">
            <v>42.637839055089621</v>
          </cell>
          <cell r="AB45">
            <v>43.2827466400269</v>
          </cell>
          <cell r="AC45">
            <v>43.937408607510925</v>
          </cell>
          <cell r="AD45">
            <v>44.601972494927026</v>
          </cell>
          <cell r="AE45">
            <v>45.276588071199029</v>
          </cell>
          <cell r="AF45">
            <v>45.961407370541821</v>
          </cell>
          <cell r="AG45">
            <v>46.656584726724383</v>
          </cell>
          <cell r="AH45">
            <v>47.362276807851131</v>
          </cell>
        </row>
        <row r="46">
          <cell r="A46" t="str">
            <v>Sales Support (MEG)</v>
          </cell>
          <cell r="B46">
            <v>0</v>
          </cell>
          <cell r="C46">
            <v>0</v>
          </cell>
          <cell r="D46" t="str">
            <v>$/ton</v>
          </cell>
          <cell r="E46">
            <v>12.949374899999999</v>
          </cell>
          <cell r="F46">
            <v>12.289139999999998</v>
          </cell>
          <cell r="G46">
            <v>14.25456</v>
          </cell>
          <cell r="H46">
            <v>13.200480000000001</v>
          </cell>
          <cell r="I46">
            <v>13.567049999999998</v>
          </cell>
          <cell r="J46">
            <v>13.711829999999999</v>
          </cell>
          <cell r="K46">
            <v>13.84653</v>
          </cell>
          <cell r="L46">
            <v>14.00652</v>
          </cell>
          <cell r="M46">
            <v>14.181570000000001</v>
          </cell>
          <cell r="N46">
            <v>14.310449999999999</v>
          </cell>
          <cell r="O46">
            <v>14.5161</v>
          </cell>
          <cell r="P46">
            <v>14.725619999999999</v>
          </cell>
          <cell r="Q46">
            <v>14.96748</v>
          </cell>
          <cell r="R46">
            <v>15.184800000000001</v>
          </cell>
          <cell r="S46">
            <v>15.478079999999999</v>
          </cell>
          <cell r="T46">
            <v>15.69204</v>
          </cell>
          <cell r="U46">
            <v>15.952590000000001</v>
          </cell>
          <cell r="V46">
            <v>16.217400000000001</v>
          </cell>
          <cell r="W46">
            <v>16.4862</v>
          </cell>
          <cell r="X46">
            <v>16.700579999999999</v>
          </cell>
          <cell r="Y46">
            <v>16.925214561971831</v>
          </cell>
          <cell r="Z46">
            <v>17.152870616995536</v>
          </cell>
          <cell r="AA46">
            <v>17.383588806280478</v>
          </cell>
          <cell r="AB46">
            <v>17.617410317688893</v>
          </cell>
          <cell r="AC46">
            <v>17.854376893088794</v>
          </cell>
          <cell r="AD46">
            <v>18.784209224817129</v>
          </cell>
          <cell r="AE46">
            <v>19.15461403590524</v>
          </cell>
          <cell r="AF46">
            <v>19.531798956782254</v>
          </cell>
          <cell r="AG46">
            <v>19.915871489930669</v>
          </cell>
          <cell r="AH46">
            <v>20.306940275388524</v>
          </cell>
        </row>
        <row r="47">
          <cell r="A47" t="str">
            <v>Sales Support (Styrene)</v>
          </cell>
          <cell r="B47">
            <v>0</v>
          </cell>
          <cell r="C47">
            <v>0</v>
          </cell>
          <cell r="D47" t="str">
            <v>$/ton</v>
          </cell>
          <cell r="E47">
            <v>14.783849999999999</v>
          </cell>
          <cell r="F47">
            <v>12.319709999999999</v>
          </cell>
          <cell r="G47">
            <v>17.161739999999998</v>
          </cell>
          <cell r="H47">
            <v>17.39772</v>
          </cell>
          <cell r="I47">
            <v>17.640449999999998</v>
          </cell>
          <cell r="J47">
            <v>17.788319999999999</v>
          </cell>
          <cell r="K47">
            <v>18.024660000000001</v>
          </cell>
          <cell r="L47">
            <v>18.286290000000001</v>
          </cell>
          <cell r="M47">
            <v>18.53397</v>
          </cell>
          <cell r="N47">
            <v>18.808020000000003</v>
          </cell>
          <cell r="O47">
            <v>19.126199999999997</v>
          </cell>
          <cell r="P47">
            <v>19.451879999999999</v>
          </cell>
          <cell r="Q47">
            <v>19.809899999999999</v>
          </cell>
          <cell r="R47">
            <v>20.191680000000002</v>
          </cell>
          <cell r="S47">
            <v>20.525279999999999</v>
          </cell>
          <cell r="T47">
            <v>20.908349999999999</v>
          </cell>
          <cell r="U47">
            <v>21.299579999999999</v>
          </cell>
          <cell r="V47">
            <v>21.698699999999999</v>
          </cell>
          <cell r="W47">
            <v>22.105439999999998</v>
          </cell>
          <cell r="X47">
            <v>22.50534</v>
          </cell>
          <cell r="Y47">
            <v>22.922587112394957</v>
          </cell>
          <cell r="Z47">
            <v>23.347569951190934</v>
          </cell>
          <cell r="AA47">
            <v>23.780431936105341</v>
          </cell>
          <cell r="AB47">
            <v>24.221319145845101</v>
          </cell>
          <cell r="AC47">
            <v>24.670380367404093</v>
          </cell>
          <cell r="AD47">
            <v>25.117452178491529</v>
          </cell>
          <cell r="AE47">
            <v>25.567342989755481</v>
          </cell>
          <cell r="AF47">
            <v>26.025292012521998</v>
          </cell>
          <cell r="AG47">
            <v>26.491443581307347</v>
          </cell>
          <cell r="AH47">
            <v>26.965944615873006</v>
          </cell>
        </row>
        <row r="48">
          <cell r="A48" t="str">
            <v>LLDPE price (Western Europe)</v>
          </cell>
          <cell r="B48">
            <v>0</v>
          </cell>
          <cell r="C48">
            <v>0</v>
          </cell>
          <cell r="D48" t="str">
            <v>$/ton</v>
          </cell>
          <cell r="E48">
            <v>623.77266671155905</v>
          </cell>
          <cell r="F48">
            <v>640.02978399268511</v>
          </cell>
          <cell r="G48">
            <v>627.34633444320423</v>
          </cell>
          <cell r="H48">
            <v>635.86551514896905</v>
          </cell>
          <cell r="I48">
            <v>633.51709875493214</v>
          </cell>
          <cell r="J48">
            <v>641.18641724338329</v>
          </cell>
          <cell r="K48">
            <v>649.86760728656941</v>
          </cell>
          <cell r="L48">
            <v>657.87986305880293</v>
          </cell>
          <cell r="M48">
            <v>687.70567510775834</v>
          </cell>
          <cell r="N48">
            <v>696.95216420479846</v>
          </cell>
          <cell r="O48">
            <v>709.64221079593221</v>
          </cell>
          <cell r="P48">
            <v>721.791848865926</v>
          </cell>
          <cell r="Q48">
            <v>734.0430353444757</v>
          </cell>
          <cell r="R48">
            <v>746.98656513890705</v>
          </cell>
          <cell r="S48">
            <v>759.04804488098137</v>
          </cell>
          <cell r="T48">
            <v>772.43386986249266</v>
          </cell>
          <cell r="U48">
            <v>785.98212635551852</v>
          </cell>
          <cell r="V48">
            <v>799.97670010011939</v>
          </cell>
          <cell r="W48">
            <v>814.29517281285587</v>
          </cell>
          <cell r="X48">
            <v>828.40877348461947</v>
          </cell>
          <cell r="Y48">
            <v>843.12916054936306</v>
          </cell>
          <cell r="Z48">
            <v>858.10104172724584</v>
          </cell>
          <cell r="AA48">
            <v>873.32841939239927</v>
          </cell>
          <cell r="AB48">
            <v>888.8153507186795</v>
          </cell>
          <cell r="AC48">
            <v>904.5659481423636</v>
          </cell>
          <cell r="AD48">
            <v>920.58437981796931</v>
          </cell>
          <cell r="AE48">
            <v>936.87487006664117</v>
          </cell>
          <cell r="AF48">
            <v>953.44169981653147</v>
          </cell>
          <cell r="AG48">
            <v>970.28920703457686</v>
          </cell>
          <cell r="AH48">
            <v>987.42178714904992</v>
          </cell>
        </row>
        <row r="49">
          <cell r="A49" t="str">
            <v>LLDPE price (East Asia)</v>
          </cell>
          <cell r="B49">
            <v>0</v>
          </cell>
          <cell r="C49">
            <v>0</v>
          </cell>
          <cell r="D49" t="str">
            <v>$/ton</v>
          </cell>
          <cell r="E49">
            <v>549.74749999999995</v>
          </cell>
          <cell r="F49">
            <v>524.85632999999996</v>
          </cell>
          <cell r="G49">
            <v>636.76620000000003</v>
          </cell>
          <cell r="H49">
            <v>651.61883999999998</v>
          </cell>
          <cell r="I49">
            <v>669.15449999999998</v>
          </cell>
          <cell r="J49">
            <v>677.55081999999993</v>
          </cell>
          <cell r="K49">
            <v>685.51258000000007</v>
          </cell>
          <cell r="L49">
            <v>694.18340999999998</v>
          </cell>
          <cell r="M49">
            <v>724.19100000000003</v>
          </cell>
          <cell r="N49">
            <v>732.24900000000002</v>
          </cell>
          <cell r="O49">
            <v>742.95</v>
          </cell>
          <cell r="P49">
            <v>755.16000000000008</v>
          </cell>
          <cell r="Q49">
            <v>767.05000000000007</v>
          </cell>
          <cell r="R49">
            <v>779.7600000000001</v>
          </cell>
          <cell r="S49">
            <v>792.13</v>
          </cell>
          <cell r="T49">
            <v>804.72</v>
          </cell>
          <cell r="U49">
            <v>818.98800000000006</v>
          </cell>
          <cell r="V49">
            <v>832.01</v>
          </cell>
          <cell r="W49">
            <v>845.20799999999997</v>
          </cell>
          <cell r="X49">
            <v>858.02600000000007</v>
          </cell>
          <cell r="Y49">
            <v>871.42283452380957</v>
          </cell>
          <cell r="Z49">
            <v>885.02884123500996</v>
          </cell>
          <cell r="AA49">
            <v>898.84728605465909</v>
          </cell>
          <cell r="AB49">
            <v>912.88148589644652</v>
          </cell>
          <cell r="AC49">
            <v>927.13480946286973</v>
          </cell>
          <cell r="AD49">
            <v>941.61067805384187</v>
          </cell>
          <cell r="AE49">
            <v>956.31256638792399</v>
          </cell>
          <cell r="AF49">
            <v>971.2440034363799</v>
          </cell>
          <cell r="AG49">
            <v>986.40857327025356</v>
          </cell>
          <cell r="AH49">
            <v>1001.8099159206726</v>
          </cell>
        </row>
        <row r="50">
          <cell r="A50" t="str">
            <v>LLDPE price (West Asia)</v>
          </cell>
          <cell r="B50">
            <v>0</v>
          </cell>
          <cell r="C50">
            <v>0</v>
          </cell>
          <cell r="D50" t="str">
            <v>$/ton</v>
          </cell>
          <cell r="E50">
            <v>549.74749999999995</v>
          </cell>
          <cell r="F50">
            <v>524.85632999999996</v>
          </cell>
          <cell r="G50">
            <v>636.76620000000003</v>
          </cell>
          <cell r="H50">
            <v>651.61883999999998</v>
          </cell>
          <cell r="I50">
            <v>669.15449999999998</v>
          </cell>
          <cell r="J50">
            <v>677.55081999999993</v>
          </cell>
          <cell r="K50">
            <v>685.51258000000007</v>
          </cell>
          <cell r="L50">
            <v>694.18340999999998</v>
          </cell>
          <cell r="M50">
            <v>724.19100000000003</v>
          </cell>
          <cell r="N50">
            <v>732.24900000000002</v>
          </cell>
          <cell r="O50">
            <v>742.95</v>
          </cell>
          <cell r="P50">
            <v>755.16000000000008</v>
          </cell>
          <cell r="Q50">
            <v>767.05000000000007</v>
          </cell>
          <cell r="R50">
            <v>779.7600000000001</v>
          </cell>
          <cell r="S50">
            <v>792.13</v>
          </cell>
          <cell r="T50">
            <v>804.72</v>
          </cell>
          <cell r="U50">
            <v>818.98800000000006</v>
          </cell>
          <cell r="V50">
            <v>832.01</v>
          </cell>
          <cell r="W50">
            <v>845.20799999999997</v>
          </cell>
          <cell r="X50">
            <v>858.02600000000007</v>
          </cell>
          <cell r="Y50">
            <v>871.42283452380957</v>
          </cell>
          <cell r="Z50">
            <v>885.02884123500996</v>
          </cell>
          <cell r="AA50">
            <v>898.84728605465909</v>
          </cell>
          <cell r="AB50">
            <v>912.88148589644652</v>
          </cell>
          <cell r="AC50">
            <v>927.13480946286973</v>
          </cell>
          <cell r="AD50">
            <v>941.61067805384187</v>
          </cell>
          <cell r="AE50">
            <v>956.31256638792399</v>
          </cell>
          <cell r="AF50">
            <v>971.2440034363799</v>
          </cell>
          <cell r="AG50">
            <v>986.40857327025356</v>
          </cell>
          <cell r="AH50">
            <v>1001.8099159206726</v>
          </cell>
        </row>
        <row r="51">
          <cell r="A51" t="str">
            <v>LLDPE price (Iran)</v>
          </cell>
          <cell r="B51">
            <v>0</v>
          </cell>
          <cell r="C51">
            <v>0</v>
          </cell>
          <cell r="D51" t="str">
            <v>$/ton</v>
          </cell>
          <cell r="E51">
            <v>549.74749999999995</v>
          </cell>
          <cell r="F51">
            <v>524.85632999999996</v>
          </cell>
          <cell r="G51">
            <v>636.76620000000003</v>
          </cell>
          <cell r="H51">
            <v>651.61883999999998</v>
          </cell>
          <cell r="I51">
            <v>669.15449999999998</v>
          </cell>
          <cell r="J51">
            <v>677.55081999999993</v>
          </cell>
          <cell r="K51">
            <v>685.51258000000007</v>
          </cell>
          <cell r="L51">
            <v>694.18340999999998</v>
          </cell>
          <cell r="M51">
            <v>724.19100000000003</v>
          </cell>
          <cell r="N51">
            <v>732.24900000000002</v>
          </cell>
          <cell r="O51">
            <v>742.95</v>
          </cell>
          <cell r="P51">
            <v>755.16000000000008</v>
          </cell>
          <cell r="Q51">
            <v>767.05000000000007</v>
          </cell>
          <cell r="R51">
            <v>779.7600000000001</v>
          </cell>
          <cell r="S51">
            <v>792.13</v>
          </cell>
          <cell r="T51">
            <v>804.72</v>
          </cell>
          <cell r="U51">
            <v>818.98800000000006</v>
          </cell>
          <cell r="V51">
            <v>832.01</v>
          </cell>
          <cell r="W51">
            <v>845.20799999999997</v>
          </cell>
          <cell r="X51">
            <v>858.02600000000007</v>
          </cell>
          <cell r="Y51">
            <v>871.42283452380957</v>
          </cell>
          <cell r="Z51">
            <v>885.02884123500996</v>
          </cell>
          <cell r="AA51">
            <v>898.84728605465909</v>
          </cell>
          <cell r="AB51">
            <v>912.88148589644652</v>
          </cell>
          <cell r="AC51">
            <v>927.13480946286973</v>
          </cell>
          <cell r="AD51">
            <v>941.61067805384187</v>
          </cell>
          <cell r="AE51">
            <v>956.31256638792399</v>
          </cell>
          <cell r="AF51">
            <v>971.2440034363799</v>
          </cell>
          <cell r="AG51">
            <v>986.40857327025356</v>
          </cell>
          <cell r="AH51">
            <v>1001.8099159206726</v>
          </cell>
        </row>
        <row r="52">
          <cell r="A52" t="str">
            <v>HDPE price (Western Europe)</v>
          </cell>
          <cell r="B52">
            <v>0</v>
          </cell>
          <cell r="C52">
            <v>0</v>
          </cell>
          <cell r="D52" t="str">
            <v>$/ton</v>
          </cell>
          <cell r="E52">
            <v>710.47582374822866</v>
          </cell>
          <cell r="F52">
            <v>646.76540813299584</v>
          </cell>
          <cell r="G52">
            <v>633.96608778763573</v>
          </cell>
          <cell r="H52">
            <v>642.58258064594872</v>
          </cell>
          <cell r="I52">
            <v>640.22330870601218</v>
          </cell>
          <cell r="J52">
            <v>647.9824670444159</v>
          </cell>
          <cell r="K52">
            <v>656.763798109915</v>
          </cell>
          <cell r="L52">
            <v>664.86968801856585</v>
          </cell>
          <cell r="M52">
            <v>695.02131343273174</v>
          </cell>
          <cell r="N52">
            <v>704.37531204646177</v>
          </cell>
          <cell r="O52">
            <v>717.20787474650251</v>
          </cell>
          <cell r="P52">
            <v>729.49520593423961</v>
          </cell>
          <cell r="Q52">
            <v>741.8853159858279</v>
          </cell>
          <cell r="R52">
            <v>754.97566687474807</v>
          </cell>
          <cell r="S52">
            <v>767.17537561769859</v>
          </cell>
          <cell r="T52">
            <v>780.71328773578159</v>
          </cell>
          <cell r="U52">
            <v>794.41588044057153</v>
          </cell>
          <cell r="V52">
            <v>808.56988840630311</v>
          </cell>
          <cell r="W52">
            <v>823.05167924347916</v>
          </cell>
          <cell r="X52">
            <v>837.32680459758592</v>
          </cell>
          <cell r="Y52">
            <v>852.21570455409187</v>
          </cell>
          <cell r="Z52">
            <v>867.35928280131304</v>
          </cell>
          <cell r="AA52">
            <v>882.76160188080587</v>
          </cell>
          <cell r="AB52">
            <v>898.42678027076079</v>
          </cell>
          <cell r="AC52">
            <v>914.35899287017992</v>
          </cell>
          <cell r="AD52">
            <v>930.56247147658655</v>
          </cell>
          <cell r="AE52">
            <v>947.04150525671332</v>
          </cell>
          <cell r="AF52">
            <v>963.80044120960645</v>
          </cell>
          <cell r="AG52">
            <v>980.84368462155533</v>
          </cell>
          <cell r="AH52">
            <v>998.17569951223538</v>
          </cell>
        </row>
        <row r="53">
          <cell r="A53" t="str">
            <v>HDPE price (East Asia)</v>
          </cell>
          <cell r="B53">
            <v>0</v>
          </cell>
          <cell r="C53">
            <v>0</v>
          </cell>
          <cell r="D53" t="str">
            <v>$/ton</v>
          </cell>
          <cell r="E53">
            <v>560.88310000000001</v>
          </cell>
          <cell r="F53">
            <v>497.1802899999999</v>
          </cell>
          <cell r="G53">
            <v>608.46547999999996</v>
          </cell>
          <cell r="H53">
            <v>623.64792</v>
          </cell>
          <cell r="I53">
            <v>640.47645</v>
          </cell>
          <cell r="J53">
            <v>648.1394499999999</v>
          </cell>
          <cell r="K53">
            <v>655.36788999999999</v>
          </cell>
          <cell r="L53">
            <v>664.44902999999999</v>
          </cell>
          <cell r="M53">
            <v>691.548</v>
          </cell>
          <cell r="N53">
            <v>698.79600000000005</v>
          </cell>
          <cell r="O53">
            <v>709.93000000000006</v>
          </cell>
          <cell r="P53">
            <v>720.00599999999997</v>
          </cell>
          <cell r="Q53">
            <v>732.36599999999999</v>
          </cell>
          <cell r="R53">
            <v>742.82400000000007</v>
          </cell>
          <cell r="S53">
            <v>754.27599999999995</v>
          </cell>
          <cell r="T53">
            <v>765.92100000000005</v>
          </cell>
          <cell r="U53">
            <v>779.2170000000001</v>
          </cell>
          <cell r="V53">
            <v>791.24</v>
          </cell>
          <cell r="W53">
            <v>803.41200000000003</v>
          </cell>
          <cell r="X53">
            <v>815.20400000000006</v>
          </cell>
          <cell r="Y53">
            <v>827.53415684007712</v>
          </cell>
          <cell r="Z53">
            <v>840.05081027205131</v>
          </cell>
          <cell r="AA53">
            <v>852.75678110179228</v>
          </cell>
          <cell r="AB53">
            <v>865.65493280053795</v>
          </cell>
          <cell r="AC53">
            <v>878.74817215021847</v>
          </cell>
          <cell r="AD53">
            <v>892.0394498985404</v>
          </cell>
          <cell r="AE53">
            <v>905.53176142398058</v>
          </cell>
          <cell r="AF53">
            <v>919.22814741083641</v>
          </cell>
          <cell r="AG53">
            <v>933.13169453448756</v>
          </cell>
          <cell r="AH53">
            <v>947.24553615702268</v>
          </cell>
        </row>
        <row r="54">
          <cell r="A54" t="str">
            <v>HDPE price (West Asia)</v>
          </cell>
          <cell r="B54">
            <v>0</v>
          </cell>
          <cell r="C54">
            <v>0</v>
          </cell>
          <cell r="D54" t="str">
            <v>$/ton</v>
          </cell>
          <cell r="E54">
            <v>560.88310000000001</v>
          </cell>
          <cell r="F54">
            <v>497.1802899999999</v>
          </cell>
          <cell r="G54">
            <v>608.46547999999996</v>
          </cell>
          <cell r="H54">
            <v>623.64792</v>
          </cell>
          <cell r="I54">
            <v>640.47645</v>
          </cell>
          <cell r="J54">
            <v>648.1394499999999</v>
          </cell>
          <cell r="K54">
            <v>655.36788999999999</v>
          </cell>
          <cell r="L54">
            <v>664.44902999999999</v>
          </cell>
          <cell r="M54">
            <v>691.548</v>
          </cell>
          <cell r="N54">
            <v>698.79600000000005</v>
          </cell>
          <cell r="O54">
            <v>709.93000000000006</v>
          </cell>
          <cell r="P54">
            <v>720.00599999999997</v>
          </cell>
          <cell r="Q54">
            <v>732.36599999999999</v>
          </cell>
          <cell r="R54">
            <v>742.82400000000007</v>
          </cell>
          <cell r="S54">
            <v>754.27599999999995</v>
          </cell>
          <cell r="T54">
            <v>765.92100000000005</v>
          </cell>
          <cell r="U54">
            <v>779.2170000000001</v>
          </cell>
          <cell r="V54">
            <v>791.24</v>
          </cell>
          <cell r="W54">
            <v>803.41200000000003</v>
          </cell>
          <cell r="X54">
            <v>815.20400000000006</v>
          </cell>
          <cell r="Y54">
            <v>827.53415684007712</v>
          </cell>
          <cell r="Z54">
            <v>840.05081027205131</v>
          </cell>
          <cell r="AA54">
            <v>852.75678110179228</v>
          </cell>
          <cell r="AB54">
            <v>865.65493280053795</v>
          </cell>
          <cell r="AC54">
            <v>878.74817215021847</v>
          </cell>
          <cell r="AD54">
            <v>892.0394498985404</v>
          </cell>
          <cell r="AE54">
            <v>905.53176142398058</v>
          </cell>
          <cell r="AF54">
            <v>919.22814741083641</v>
          </cell>
          <cell r="AG54">
            <v>933.13169453448756</v>
          </cell>
          <cell r="AH54">
            <v>947.24553615702268</v>
          </cell>
        </row>
        <row r="55">
          <cell r="A55" t="str">
            <v>HDPE price (Iran)</v>
          </cell>
          <cell r="B55">
            <v>0</v>
          </cell>
          <cell r="C55">
            <v>0</v>
          </cell>
          <cell r="D55" t="str">
            <v>$/ton</v>
          </cell>
          <cell r="E55">
            <v>560.88310000000001</v>
          </cell>
          <cell r="F55">
            <v>497.1802899999999</v>
          </cell>
          <cell r="G55">
            <v>608.46547999999996</v>
          </cell>
          <cell r="H55">
            <v>623.64792</v>
          </cell>
          <cell r="I55">
            <v>640.47645</v>
          </cell>
          <cell r="J55">
            <v>648.1394499999999</v>
          </cell>
          <cell r="K55">
            <v>655.36788999999999</v>
          </cell>
          <cell r="L55">
            <v>664.44902999999999</v>
          </cell>
          <cell r="M55">
            <v>691.548</v>
          </cell>
          <cell r="N55">
            <v>698.79600000000005</v>
          </cell>
          <cell r="O55">
            <v>709.93000000000006</v>
          </cell>
          <cell r="P55">
            <v>720.00599999999997</v>
          </cell>
          <cell r="Q55">
            <v>732.36599999999999</v>
          </cell>
          <cell r="R55">
            <v>742.82400000000007</v>
          </cell>
          <cell r="S55">
            <v>754.27599999999995</v>
          </cell>
          <cell r="T55">
            <v>765.92100000000005</v>
          </cell>
          <cell r="U55">
            <v>779.2170000000001</v>
          </cell>
          <cell r="V55">
            <v>791.24</v>
          </cell>
          <cell r="W55">
            <v>803.41200000000003</v>
          </cell>
          <cell r="X55">
            <v>815.20400000000006</v>
          </cell>
          <cell r="Y55">
            <v>827.53415684007712</v>
          </cell>
          <cell r="Z55">
            <v>840.05081027205131</v>
          </cell>
          <cell r="AA55">
            <v>852.75678110179228</v>
          </cell>
          <cell r="AB55">
            <v>865.65493280053795</v>
          </cell>
          <cell r="AC55">
            <v>878.74817215021847</v>
          </cell>
          <cell r="AD55">
            <v>892.0394498985404</v>
          </cell>
          <cell r="AE55">
            <v>905.53176142398058</v>
          </cell>
          <cell r="AF55">
            <v>919.22814741083641</v>
          </cell>
          <cell r="AG55">
            <v>933.13169453448756</v>
          </cell>
          <cell r="AH55">
            <v>947.24553615702268</v>
          </cell>
        </row>
        <row r="56">
          <cell r="A56" t="str">
            <v>MEG price (Western Europe)</v>
          </cell>
          <cell r="B56">
            <v>0</v>
          </cell>
          <cell r="C56">
            <v>0</v>
          </cell>
          <cell r="D56" t="str">
            <v>$/ton</v>
          </cell>
          <cell r="E56">
            <v>484.16326052190362</v>
          </cell>
          <cell r="F56">
            <v>479.73806619966626</v>
          </cell>
          <cell r="G56">
            <v>466.09303650331174</v>
          </cell>
          <cell r="H56">
            <v>473.50223528434793</v>
          </cell>
          <cell r="I56">
            <v>472.95603625930096</v>
          </cell>
          <cell r="J56">
            <v>479.99094124938068</v>
          </cell>
          <cell r="K56">
            <v>487.30418643045442</v>
          </cell>
          <cell r="L56">
            <v>494.24702588464498</v>
          </cell>
          <cell r="M56">
            <v>517.54757332743452</v>
          </cell>
          <cell r="N56">
            <v>525.44695523748794</v>
          </cell>
          <cell r="O56">
            <v>535.71741555355686</v>
          </cell>
          <cell r="P56">
            <v>545.77190434657768</v>
          </cell>
          <cell r="Q56">
            <v>555.88661259770072</v>
          </cell>
          <cell r="R56">
            <v>566.59910882585132</v>
          </cell>
          <cell r="S56">
            <v>576.80097776295861</v>
          </cell>
          <cell r="T56">
            <v>587.87144234722132</v>
          </cell>
          <cell r="U56">
            <v>599.13571767130463</v>
          </cell>
          <cell r="V56">
            <v>610.7590788611634</v>
          </cell>
          <cell r="W56">
            <v>622.67076125130927</v>
          </cell>
          <cell r="X56">
            <v>634.46736870155826</v>
          </cell>
          <cell r="Y56">
            <v>646.75324600086162</v>
          </cell>
          <cell r="Z56">
            <v>659.25687505969177</v>
          </cell>
          <cell r="AA56">
            <v>671.9814647927127</v>
          </cell>
          <cell r="AB56">
            <v>684.93024846547235</v>
          </cell>
          <cell r="AC56">
            <v>698.10648290637471</v>
          </cell>
          <cell r="AD56">
            <v>711.5134476640311</v>
          </cell>
          <cell r="AE56">
            <v>725.15444410775399</v>
          </cell>
          <cell r="AF56">
            <v>739.03279446887291</v>
          </cell>
          <cell r="AG56">
            <v>753.15184082048063</v>
          </cell>
          <cell r="AH56">
            <v>767.51494399312548</v>
          </cell>
        </row>
        <row r="57">
          <cell r="A57" t="str">
            <v>MEG price (East Asia)</v>
          </cell>
          <cell r="B57">
            <v>0</v>
          </cell>
          <cell r="C57">
            <v>0</v>
          </cell>
          <cell r="D57" t="str">
            <v>$/ton</v>
          </cell>
          <cell r="E57">
            <v>418.69645509999998</v>
          </cell>
          <cell r="F57">
            <v>397.34885999999995</v>
          </cell>
          <cell r="G57">
            <v>460.89744000000002</v>
          </cell>
          <cell r="H57">
            <v>426.81551999999999</v>
          </cell>
          <cell r="I57">
            <v>438.66795000000002</v>
          </cell>
          <cell r="J57">
            <v>443.34916999999996</v>
          </cell>
          <cell r="K57">
            <v>447.70446999999996</v>
          </cell>
          <cell r="L57">
            <v>452.87747999999999</v>
          </cell>
          <cell r="M57">
            <v>472.71900000000005</v>
          </cell>
          <cell r="N57">
            <v>477.01500000000004</v>
          </cell>
          <cell r="O57">
            <v>483.87</v>
          </cell>
          <cell r="P57">
            <v>490.85400000000004</v>
          </cell>
          <cell r="Q57">
            <v>498.91600000000005</v>
          </cell>
          <cell r="R57">
            <v>506.16</v>
          </cell>
          <cell r="S57">
            <v>515.93599999999992</v>
          </cell>
          <cell r="T57">
            <v>523.06799999999998</v>
          </cell>
          <cell r="U57">
            <v>531.75300000000004</v>
          </cell>
          <cell r="V57">
            <v>540.58000000000004</v>
          </cell>
          <cell r="W57">
            <v>549.54</v>
          </cell>
          <cell r="X57">
            <v>556.68600000000004</v>
          </cell>
          <cell r="Y57">
            <v>564.17381873239435</v>
          </cell>
          <cell r="Z57">
            <v>571.76235389985129</v>
          </cell>
          <cell r="AA57">
            <v>579.45296020934916</v>
          </cell>
          <cell r="AB57">
            <v>587.24701058962989</v>
          </cell>
          <cell r="AC57">
            <v>595.14589643629313</v>
          </cell>
          <cell r="AD57">
            <v>626.14030749390429</v>
          </cell>
          <cell r="AE57">
            <v>638.48713453017479</v>
          </cell>
          <cell r="AF57">
            <v>651.05996522607506</v>
          </cell>
          <cell r="AG57">
            <v>663.86238299768911</v>
          </cell>
          <cell r="AH57">
            <v>676.89800917961747</v>
          </cell>
        </row>
        <row r="58">
          <cell r="A58" t="str">
            <v>MEG price (West Asia)</v>
          </cell>
          <cell r="B58">
            <v>0</v>
          </cell>
          <cell r="C58">
            <v>0</v>
          </cell>
          <cell r="D58" t="str">
            <v>$/ton</v>
          </cell>
          <cell r="E58">
            <v>418.69645509999998</v>
          </cell>
          <cell r="F58">
            <v>397.34885999999995</v>
          </cell>
          <cell r="G58">
            <v>460.89744000000002</v>
          </cell>
          <cell r="H58">
            <v>426.81551999999999</v>
          </cell>
          <cell r="I58">
            <v>438.66795000000002</v>
          </cell>
          <cell r="J58">
            <v>443.34916999999996</v>
          </cell>
          <cell r="K58">
            <v>447.70446999999996</v>
          </cell>
          <cell r="L58">
            <v>452.87747999999999</v>
          </cell>
          <cell r="M58">
            <v>472.71900000000005</v>
          </cell>
          <cell r="N58">
            <v>477.01500000000004</v>
          </cell>
          <cell r="O58">
            <v>483.87</v>
          </cell>
          <cell r="P58">
            <v>490.85400000000004</v>
          </cell>
          <cell r="Q58">
            <v>498.91600000000005</v>
          </cell>
          <cell r="R58">
            <v>506.16</v>
          </cell>
          <cell r="S58">
            <v>515.93599999999992</v>
          </cell>
          <cell r="T58">
            <v>523.06799999999998</v>
          </cell>
          <cell r="U58">
            <v>531.75300000000004</v>
          </cell>
          <cell r="V58">
            <v>540.58000000000004</v>
          </cell>
          <cell r="W58">
            <v>549.54</v>
          </cell>
          <cell r="X58">
            <v>556.68600000000004</v>
          </cell>
          <cell r="Y58">
            <v>564.17381873239435</v>
          </cell>
          <cell r="Z58">
            <v>571.76235389985129</v>
          </cell>
          <cell r="AA58">
            <v>579.45296020934916</v>
          </cell>
          <cell r="AB58">
            <v>587.24701058962989</v>
          </cell>
          <cell r="AC58">
            <v>595.14589643629313</v>
          </cell>
          <cell r="AD58">
            <v>626.14030749390429</v>
          </cell>
          <cell r="AE58">
            <v>638.48713453017479</v>
          </cell>
          <cell r="AF58">
            <v>651.05996522607506</v>
          </cell>
          <cell r="AG58">
            <v>663.86238299768911</v>
          </cell>
          <cell r="AH58">
            <v>676.89800917961747</v>
          </cell>
        </row>
        <row r="59">
          <cell r="A59" t="str">
            <v>MEG price (Iran)</v>
          </cell>
          <cell r="B59">
            <v>0</v>
          </cell>
          <cell r="C59">
            <v>0</v>
          </cell>
          <cell r="D59" t="str">
            <v>$/ton</v>
          </cell>
          <cell r="E59">
            <v>418.69645509999998</v>
          </cell>
          <cell r="F59">
            <v>397.34885999999995</v>
          </cell>
          <cell r="G59">
            <v>460.89744000000002</v>
          </cell>
          <cell r="H59">
            <v>426.81551999999999</v>
          </cell>
          <cell r="I59">
            <v>438.66795000000002</v>
          </cell>
          <cell r="J59">
            <v>443.34916999999996</v>
          </cell>
          <cell r="K59">
            <v>447.70446999999996</v>
          </cell>
          <cell r="L59">
            <v>452.87747999999999</v>
          </cell>
          <cell r="M59">
            <v>472.71900000000005</v>
          </cell>
          <cell r="N59">
            <v>477.01500000000004</v>
          </cell>
          <cell r="O59">
            <v>483.87</v>
          </cell>
          <cell r="P59">
            <v>490.85400000000004</v>
          </cell>
          <cell r="Q59">
            <v>498.91600000000005</v>
          </cell>
          <cell r="R59">
            <v>506.16</v>
          </cell>
          <cell r="S59">
            <v>515.93599999999992</v>
          </cell>
          <cell r="T59">
            <v>523.06799999999998</v>
          </cell>
          <cell r="U59">
            <v>531.75300000000004</v>
          </cell>
          <cell r="V59">
            <v>540.58000000000004</v>
          </cell>
          <cell r="W59">
            <v>549.54</v>
          </cell>
          <cell r="X59">
            <v>556.68600000000004</v>
          </cell>
          <cell r="Y59">
            <v>564.17381873239435</v>
          </cell>
          <cell r="Z59">
            <v>571.76235389985129</v>
          </cell>
          <cell r="AA59">
            <v>579.45296020934916</v>
          </cell>
          <cell r="AB59">
            <v>587.24701058962989</v>
          </cell>
          <cell r="AC59">
            <v>595.14589643629313</v>
          </cell>
          <cell r="AD59">
            <v>626.14030749390429</v>
          </cell>
          <cell r="AE59">
            <v>638.48713453017479</v>
          </cell>
          <cell r="AF59">
            <v>651.05996522607506</v>
          </cell>
          <cell r="AG59">
            <v>663.86238299768911</v>
          </cell>
          <cell r="AH59">
            <v>676.89800917961747</v>
          </cell>
        </row>
        <row r="60">
          <cell r="A60" t="str">
            <v>Styrene price (Western Europe)</v>
          </cell>
          <cell r="B60">
            <v>0</v>
          </cell>
          <cell r="C60">
            <v>0</v>
          </cell>
          <cell r="D60" t="str">
            <v>$/ton</v>
          </cell>
          <cell r="E60">
            <v>587.97210304479756</v>
          </cell>
          <cell r="F60">
            <v>554.49500410845587</v>
          </cell>
          <cell r="G60">
            <v>537.03919011458345</v>
          </cell>
          <cell r="H60">
            <v>548.30309709354185</v>
          </cell>
          <cell r="I60">
            <v>563.74464231134345</v>
          </cell>
          <cell r="J60">
            <v>574.20603240267815</v>
          </cell>
          <cell r="K60">
            <v>582.59132056376382</v>
          </cell>
          <cell r="L60">
            <v>591.08804561476029</v>
          </cell>
          <cell r="M60">
            <v>618.6454608282877</v>
          </cell>
          <cell r="N60">
            <v>627.87278725387137</v>
          </cell>
          <cell r="O60">
            <v>640.42210345864532</v>
          </cell>
          <cell r="P60">
            <v>653.08803443777288</v>
          </cell>
          <cell r="Q60">
            <v>665.71677006608832</v>
          </cell>
          <cell r="R60">
            <v>679.15612927043594</v>
          </cell>
          <cell r="S60">
            <v>692.04581721398461</v>
          </cell>
          <cell r="T60">
            <v>705.8073287701153</v>
          </cell>
          <cell r="U60">
            <v>720.50817130864368</v>
          </cell>
          <cell r="V60">
            <v>735.2020851405598</v>
          </cell>
          <cell r="W60">
            <v>750.26009180149686</v>
          </cell>
          <cell r="X60">
            <v>765.19585133178259</v>
          </cell>
          <cell r="Y60">
            <v>780.75723280308512</v>
          </cell>
          <cell r="Z60">
            <v>796.61843594087031</v>
          </cell>
          <cell r="AA60">
            <v>812.78472596504275</v>
          </cell>
          <cell r="AB60">
            <v>829.26144396796076</v>
          </cell>
          <cell r="AC60">
            <v>846.05400741729659</v>
          </cell>
          <cell r="AD60">
            <v>863.18392945912819</v>
          </cell>
          <cell r="AE60">
            <v>880.65791389606761</v>
          </cell>
          <cell r="AF60">
            <v>898.48279572056185</v>
          </cell>
          <cell r="AG60">
            <v>916.66554362612135</v>
          </cell>
          <cell r="AH60">
            <v>935.21326256504722</v>
          </cell>
        </row>
        <row r="61">
          <cell r="A61" t="str">
            <v>Styrene price (East Asia)</v>
          </cell>
          <cell r="B61">
            <v>0</v>
          </cell>
          <cell r="C61">
            <v>0</v>
          </cell>
          <cell r="D61" t="str">
            <v>$/ton</v>
          </cell>
          <cell r="E61">
            <v>478.01114999999999</v>
          </cell>
          <cell r="F61">
            <v>398.33729</v>
          </cell>
          <cell r="G61">
            <v>554.89625999999998</v>
          </cell>
          <cell r="H61">
            <v>562.52627999999993</v>
          </cell>
          <cell r="I61">
            <v>570.37455</v>
          </cell>
          <cell r="J61">
            <v>575.15567999999996</v>
          </cell>
          <cell r="K61">
            <v>582.79733999999996</v>
          </cell>
          <cell r="L61">
            <v>591.25671</v>
          </cell>
          <cell r="M61">
            <v>617.79900000000009</v>
          </cell>
          <cell r="N61">
            <v>626.93400000000008</v>
          </cell>
          <cell r="O61">
            <v>637.54</v>
          </cell>
          <cell r="P61">
            <v>648.39600000000007</v>
          </cell>
          <cell r="Q61">
            <v>660.33</v>
          </cell>
          <cell r="R61">
            <v>673.05600000000004</v>
          </cell>
          <cell r="S61">
            <v>684.17599999999993</v>
          </cell>
          <cell r="T61">
            <v>696.94500000000005</v>
          </cell>
          <cell r="U61">
            <v>709.98599999999999</v>
          </cell>
          <cell r="V61">
            <v>723.29</v>
          </cell>
          <cell r="W61">
            <v>736.84800000000007</v>
          </cell>
          <cell r="X61">
            <v>750.178</v>
          </cell>
          <cell r="Y61">
            <v>764.0862370798319</v>
          </cell>
          <cell r="Z61">
            <v>778.25233170636454</v>
          </cell>
          <cell r="AA61">
            <v>792.6810645368447</v>
          </cell>
          <cell r="AB61">
            <v>807.37730486150338</v>
          </cell>
          <cell r="AC61">
            <v>822.34601224680307</v>
          </cell>
          <cell r="AD61">
            <v>837.24840594971772</v>
          </cell>
          <cell r="AE61">
            <v>852.24476632518281</v>
          </cell>
          <cell r="AF61">
            <v>867.50973375073329</v>
          </cell>
          <cell r="AG61">
            <v>883.04811937691159</v>
          </cell>
          <cell r="AH61">
            <v>898.86482052910026</v>
          </cell>
        </row>
        <row r="62">
          <cell r="A62" t="str">
            <v>Styrene price (West Asia)</v>
          </cell>
          <cell r="B62">
            <v>0</v>
          </cell>
          <cell r="C62">
            <v>0</v>
          </cell>
          <cell r="D62" t="str">
            <v>$/ton</v>
          </cell>
          <cell r="E62">
            <v>478.01114999999999</v>
          </cell>
          <cell r="F62">
            <v>398.33729</v>
          </cell>
          <cell r="G62">
            <v>554.89625999999998</v>
          </cell>
          <cell r="H62">
            <v>562.52627999999993</v>
          </cell>
          <cell r="I62">
            <v>570.37455</v>
          </cell>
          <cell r="J62">
            <v>575.15567999999996</v>
          </cell>
          <cell r="K62">
            <v>582.79733999999996</v>
          </cell>
          <cell r="L62">
            <v>591.25671</v>
          </cell>
          <cell r="M62">
            <v>617.79900000000009</v>
          </cell>
          <cell r="N62">
            <v>626.93400000000008</v>
          </cell>
          <cell r="O62">
            <v>637.54</v>
          </cell>
          <cell r="P62">
            <v>648.39600000000007</v>
          </cell>
          <cell r="Q62">
            <v>660.33</v>
          </cell>
          <cell r="R62">
            <v>673.05600000000004</v>
          </cell>
          <cell r="S62">
            <v>684.17599999999993</v>
          </cell>
          <cell r="T62">
            <v>696.94500000000005</v>
          </cell>
          <cell r="U62">
            <v>709.98599999999999</v>
          </cell>
          <cell r="V62">
            <v>723.29</v>
          </cell>
          <cell r="W62">
            <v>736.84800000000007</v>
          </cell>
          <cell r="X62">
            <v>750.178</v>
          </cell>
          <cell r="Y62">
            <v>764.0862370798319</v>
          </cell>
          <cell r="Z62">
            <v>778.25233170636454</v>
          </cell>
          <cell r="AA62">
            <v>792.6810645368447</v>
          </cell>
          <cell r="AB62">
            <v>807.37730486150338</v>
          </cell>
          <cell r="AC62">
            <v>822.34601224680307</v>
          </cell>
          <cell r="AD62">
            <v>837.24840594971772</v>
          </cell>
          <cell r="AE62">
            <v>852.24476632518281</v>
          </cell>
          <cell r="AF62">
            <v>867.50973375073329</v>
          </cell>
          <cell r="AG62">
            <v>883.04811937691159</v>
          </cell>
          <cell r="AH62">
            <v>898.86482052910026</v>
          </cell>
        </row>
        <row r="63">
          <cell r="A63" t="str">
            <v>Styrene price (Iran)</v>
          </cell>
          <cell r="B63">
            <v>0</v>
          </cell>
          <cell r="C63">
            <v>0</v>
          </cell>
          <cell r="D63" t="str">
            <v>$/ton</v>
          </cell>
          <cell r="E63">
            <v>478.01114999999999</v>
          </cell>
          <cell r="F63">
            <v>398.33729</v>
          </cell>
          <cell r="G63">
            <v>554.89625999999998</v>
          </cell>
          <cell r="H63">
            <v>562.52627999999993</v>
          </cell>
          <cell r="I63">
            <v>570.37455</v>
          </cell>
          <cell r="J63">
            <v>575.15567999999996</v>
          </cell>
          <cell r="K63">
            <v>582.79733999999996</v>
          </cell>
          <cell r="L63">
            <v>591.25671</v>
          </cell>
          <cell r="M63">
            <v>617.79900000000009</v>
          </cell>
          <cell r="N63">
            <v>626.93400000000008</v>
          </cell>
          <cell r="O63">
            <v>637.54</v>
          </cell>
          <cell r="P63">
            <v>648.39600000000007</v>
          </cell>
          <cell r="Q63">
            <v>660.33</v>
          </cell>
          <cell r="R63">
            <v>673.05600000000004</v>
          </cell>
          <cell r="S63">
            <v>684.17599999999993</v>
          </cell>
          <cell r="T63">
            <v>696.94500000000005</v>
          </cell>
          <cell r="U63">
            <v>709.98599999999999</v>
          </cell>
          <cell r="V63">
            <v>723.29</v>
          </cell>
          <cell r="W63">
            <v>736.84800000000007</v>
          </cell>
          <cell r="X63">
            <v>750.178</v>
          </cell>
          <cell r="Y63">
            <v>764.0862370798319</v>
          </cell>
          <cell r="Z63">
            <v>778.25233170636454</v>
          </cell>
          <cell r="AA63">
            <v>792.6810645368447</v>
          </cell>
          <cell r="AB63">
            <v>807.37730486150338</v>
          </cell>
          <cell r="AC63">
            <v>822.34601224680307</v>
          </cell>
          <cell r="AD63">
            <v>837.24840594971772</v>
          </cell>
          <cell r="AE63">
            <v>852.24476632518281</v>
          </cell>
          <cell r="AF63">
            <v>867.50973375073329</v>
          </cell>
          <cell r="AG63">
            <v>883.04811937691159</v>
          </cell>
          <cell r="AH63">
            <v>898.86482052910026</v>
          </cell>
        </row>
        <row r="64">
          <cell r="A64" t="str">
            <v>Benzene</v>
          </cell>
          <cell r="B64">
            <v>0</v>
          </cell>
          <cell r="C64">
            <v>0</v>
          </cell>
          <cell r="D64" t="str">
            <v>$/ton</v>
          </cell>
          <cell r="E64">
            <v>316.587470472456</v>
          </cell>
          <cell r="F64">
            <v>294.96116730371529</v>
          </cell>
          <cell r="G64">
            <v>278.86411396856647</v>
          </cell>
          <cell r="H64">
            <v>286.90276591460321</v>
          </cell>
          <cell r="I64">
            <v>306.08905690504832</v>
          </cell>
          <cell r="J64">
            <v>313.18128138622689</v>
          </cell>
          <cell r="K64">
            <v>317.38858108555405</v>
          </cell>
          <cell r="L64">
            <v>322.0445481202018</v>
          </cell>
          <cell r="M64">
            <v>326.62485810968576</v>
          </cell>
          <cell r="N64">
            <v>331.27163583777474</v>
          </cell>
          <cell r="O64">
            <v>338.62073746862728</v>
          </cell>
          <cell r="P64">
            <v>346.19968041255549</v>
          </cell>
          <cell r="Q64">
            <v>353.74166101049497</v>
          </cell>
          <cell r="R64">
            <v>361.7761461211291</v>
          </cell>
          <cell r="S64">
            <v>369.48671156452934</v>
          </cell>
          <cell r="T64">
            <v>377.70313882900223</v>
          </cell>
          <cell r="U64">
            <v>386.94872869641864</v>
          </cell>
          <cell r="V64">
            <v>395.90583672046421</v>
          </cell>
          <cell r="W64">
            <v>405.09766940999737</v>
          </cell>
          <cell r="X64">
            <v>414.26213592314485</v>
          </cell>
          <cell r="Y64">
            <v>423.82090473153897</v>
          </cell>
          <cell r="Z64">
            <v>433.60023451620657</v>
          </cell>
          <cell r="AA64">
            <v>443.60521454598853</v>
          </cell>
          <cell r="AB64">
            <v>453.84105152055054</v>
          </cell>
          <cell r="AC64">
            <v>464.31307228000571</v>
          </cell>
          <cell r="AD64">
            <v>475.02672657705966</v>
          </cell>
          <cell r="AE64">
            <v>485.98758991312076</v>
          </cell>
          <cell r="AF64">
            <v>497.20136643985109</v>
          </cell>
          <cell r="AG64">
            <v>508.67389192766905</v>
          </cell>
          <cell r="AH64">
            <v>520.41113680274668</v>
          </cell>
        </row>
        <row r="65">
          <cell r="A65" t="str">
            <v>Land Cost (unit)</v>
          </cell>
          <cell r="B65">
            <v>0</v>
          </cell>
          <cell r="C65">
            <v>0</v>
          </cell>
          <cell r="D65" t="str">
            <v>$/m2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  <cell r="K65">
            <v>2</v>
          </cell>
          <cell r="L65">
            <v>2</v>
          </cell>
          <cell r="M65">
            <v>2</v>
          </cell>
          <cell r="N65">
            <v>2</v>
          </cell>
          <cell r="O65">
            <v>2</v>
          </cell>
          <cell r="P65">
            <v>2</v>
          </cell>
          <cell r="Q65">
            <v>2</v>
          </cell>
          <cell r="R65">
            <v>2</v>
          </cell>
          <cell r="S65">
            <v>2</v>
          </cell>
          <cell r="T65">
            <v>2</v>
          </cell>
          <cell r="U65">
            <v>2</v>
          </cell>
          <cell r="V65">
            <v>2</v>
          </cell>
          <cell r="W65">
            <v>2</v>
          </cell>
          <cell r="X65">
            <v>2</v>
          </cell>
          <cell r="Y65">
            <v>2</v>
          </cell>
          <cell r="Z65">
            <v>2</v>
          </cell>
          <cell r="AA65">
            <v>2</v>
          </cell>
          <cell r="AB65">
            <v>2</v>
          </cell>
          <cell r="AC65">
            <v>2</v>
          </cell>
          <cell r="AD65">
            <v>2</v>
          </cell>
          <cell r="AE65">
            <v>2</v>
          </cell>
          <cell r="AF65">
            <v>2</v>
          </cell>
          <cell r="AG65">
            <v>2</v>
          </cell>
          <cell r="AH65">
            <v>2</v>
          </cell>
        </row>
        <row r="66">
          <cell r="A66" t="str">
            <v>Land Cost</v>
          </cell>
          <cell r="B66">
            <v>0</v>
          </cell>
          <cell r="C66">
            <v>0</v>
          </cell>
          <cell r="D66" t="str">
            <v>$ million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1.7</v>
          </cell>
          <cell r="K66">
            <v>1.7</v>
          </cell>
          <cell r="L66">
            <v>1.7</v>
          </cell>
          <cell r="M66">
            <v>1.7</v>
          </cell>
          <cell r="N66">
            <v>1.7</v>
          </cell>
          <cell r="O66">
            <v>1.7</v>
          </cell>
          <cell r="P66">
            <v>1.7</v>
          </cell>
          <cell r="Q66">
            <v>1.7</v>
          </cell>
          <cell r="R66">
            <v>1.7</v>
          </cell>
          <cell r="S66">
            <v>1.7</v>
          </cell>
          <cell r="T66">
            <v>1.7</v>
          </cell>
          <cell r="U66">
            <v>1.7</v>
          </cell>
          <cell r="V66">
            <v>1.7</v>
          </cell>
          <cell r="W66">
            <v>1.7</v>
          </cell>
          <cell r="X66">
            <v>1.7</v>
          </cell>
          <cell r="Y66">
            <v>1.7</v>
          </cell>
          <cell r="Z66">
            <v>1.7</v>
          </cell>
          <cell r="AA66">
            <v>1.7</v>
          </cell>
          <cell r="AB66">
            <v>1.7</v>
          </cell>
          <cell r="AC66">
            <v>1.7</v>
          </cell>
          <cell r="AD66">
            <v>1.7</v>
          </cell>
          <cell r="AE66">
            <v>1.7</v>
          </cell>
          <cell r="AF66">
            <v>1.7</v>
          </cell>
          <cell r="AG66">
            <v>1.7</v>
          </cell>
          <cell r="AH66">
            <v>1.7</v>
          </cell>
        </row>
        <row r="67">
          <cell r="A67" t="str">
            <v>Handling Cost (Polymers)</v>
          </cell>
          <cell r="B67">
            <v>0</v>
          </cell>
          <cell r="C67">
            <v>0</v>
          </cell>
          <cell r="D67" t="str">
            <v>$/ton</v>
          </cell>
          <cell r="E67">
            <v>5</v>
          </cell>
          <cell r="F67">
            <v>5.0949999999999998</v>
          </cell>
          <cell r="G67">
            <v>5.21</v>
          </cell>
          <cell r="H67">
            <v>5.34</v>
          </cell>
          <cell r="I67">
            <v>5.4749999999999996</v>
          </cell>
          <cell r="J67">
            <v>5.6150000000000002</v>
          </cell>
          <cell r="K67">
            <v>5.7549999999999999</v>
          </cell>
          <cell r="L67">
            <v>5.8950000000000005</v>
          </cell>
          <cell r="M67">
            <v>6.0449999999999999</v>
          </cell>
          <cell r="N67">
            <v>6.1950000000000003</v>
          </cell>
          <cell r="O67">
            <v>6.35</v>
          </cell>
          <cell r="P67">
            <v>6.51</v>
          </cell>
          <cell r="Q67">
            <v>6.67</v>
          </cell>
          <cell r="R67">
            <v>6.8400000000000007</v>
          </cell>
          <cell r="S67">
            <v>7.01</v>
          </cell>
          <cell r="T67">
            <v>7.1850000000000005</v>
          </cell>
          <cell r="U67">
            <v>7.3650000000000002</v>
          </cell>
          <cell r="V67">
            <v>7.55</v>
          </cell>
          <cell r="W67">
            <v>7.74</v>
          </cell>
          <cell r="X67">
            <v>7.9300000000000006</v>
          </cell>
          <cell r="Y67">
            <v>8.1282499999999995</v>
          </cell>
          <cell r="Z67">
            <v>8.3314562500000005</v>
          </cell>
          <cell r="AA67">
            <v>8.5397426562499987</v>
          </cell>
          <cell r="AB67">
            <v>8.7532362226562483</v>
          </cell>
          <cell r="AC67">
            <v>8.972067128222653</v>
          </cell>
          <cell r="AD67">
            <v>9.1963688064282181</v>
          </cell>
          <cell r="AE67">
            <v>9.426278026588923</v>
          </cell>
          <cell r="AF67">
            <v>9.6619349772536438</v>
          </cell>
          <cell r="AG67">
            <v>9.9034833516849847</v>
          </cell>
          <cell r="AH67">
            <v>10.151070435477109</v>
          </cell>
        </row>
        <row r="68">
          <cell r="A68" t="str">
            <v>Handling Cost (Bulk Liquid)</v>
          </cell>
          <cell r="B68">
            <v>0</v>
          </cell>
          <cell r="C68">
            <v>0</v>
          </cell>
          <cell r="D68" t="str">
            <v>$/ton</v>
          </cell>
          <cell r="E68">
            <v>3</v>
          </cell>
          <cell r="F68">
            <v>3.0569999999999995</v>
          </cell>
          <cell r="G68">
            <v>3.1260000000000003</v>
          </cell>
          <cell r="H68">
            <v>3.2040000000000002</v>
          </cell>
          <cell r="I68">
            <v>3.2850000000000001</v>
          </cell>
          <cell r="J68">
            <v>3.3689999999999998</v>
          </cell>
          <cell r="K68">
            <v>3.4530000000000003</v>
          </cell>
          <cell r="L68">
            <v>3.5369999999999999</v>
          </cell>
          <cell r="M68">
            <v>3.6270000000000002</v>
          </cell>
          <cell r="N68">
            <v>3.7170000000000005</v>
          </cell>
          <cell r="O68">
            <v>3.81</v>
          </cell>
          <cell r="P68">
            <v>3.9060000000000001</v>
          </cell>
          <cell r="Q68">
            <v>4.0020000000000007</v>
          </cell>
          <cell r="R68">
            <v>4.1040000000000001</v>
          </cell>
          <cell r="S68">
            <v>4.2059999999999995</v>
          </cell>
          <cell r="T68">
            <v>4.3109999999999999</v>
          </cell>
          <cell r="U68">
            <v>4.4190000000000005</v>
          </cell>
          <cell r="V68">
            <v>4.53</v>
          </cell>
          <cell r="W68">
            <v>4.6440000000000001</v>
          </cell>
          <cell r="X68">
            <v>4.758</v>
          </cell>
          <cell r="Y68">
            <v>4.8769499999999999</v>
          </cell>
          <cell r="Z68">
            <v>4.9988737499999996</v>
          </cell>
          <cell r="AA68">
            <v>5.1238455937499996</v>
          </cell>
          <cell r="AB68">
            <v>5.2519417335937488</v>
          </cell>
          <cell r="AC68">
            <v>5.3832402769335914</v>
          </cell>
          <cell r="AD68">
            <v>5.5178212838569305</v>
          </cell>
          <cell r="AE68">
            <v>5.6557668159533536</v>
          </cell>
          <cell r="AF68">
            <v>5.7971609863521865</v>
          </cell>
          <cell r="AG68">
            <v>5.9420900110109915</v>
          </cell>
          <cell r="AH68">
            <v>6.0906422612862663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 t="str">
            <v>Year</v>
          </cell>
          <cell r="B74">
            <v>0</v>
          </cell>
          <cell r="C74">
            <v>0</v>
          </cell>
          <cell r="D74">
            <v>2000</v>
          </cell>
          <cell r="E74">
            <v>2001</v>
          </cell>
          <cell r="F74">
            <v>2002</v>
          </cell>
          <cell r="G74">
            <v>2003</v>
          </cell>
          <cell r="H74">
            <v>2004</v>
          </cell>
          <cell r="I74">
            <v>2005</v>
          </cell>
          <cell r="J74">
            <v>2006</v>
          </cell>
          <cell r="K74">
            <v>2007</v>
          </cell>
          <cell r="L74">
            <v>2008</v>
          </cell>
          <cell r="M74">
            <v>2009</v>
          </cell>
          <cell r="N74">
            <v>2010</v>
          </cell>
          <cell r="O74">
            <v>2011</v>
          </cell>
          <cell r="P74">
            <v>2012</v>
          </cell>
          <cell r="Q74">
            <v>2013</v>
          </cell>
          <cell r="R74">
            <v>2014</v>
          </cell>
          <cell r="S74">
            <v>2015</v>
          </cell>
          <cell r="T74">
            <v>2016</v>
          </cell>
          <cell r="U74">
            <v>2017</v>
          </cell>
          <cell r="V74">
            <v>2018</v>
          </cell>
          <cell r="W74">
            <v>2019</v>
          </cell>
          <cell r="X74">
            <v>2020</v>
          </cell>
          <cell r="Y74">
            <v>2021</v>
          </cell>
          <cell r="Z74">
            <v>2022</v>
          </cell>
          <cell r="AA74">
            <v>2023</v>
          </cell>
          <cell r="AB74">
            <v>2024</v>
          </cell>
          <cell r="AC74">
            <v>2025</v>
          </cell>
          <cell r="AD74">
            <v>2026</v>
          </cell>
          <cell r="AE74">
            <v>2027</v>
          </cell>
          <cell r="AF74">
            <v>2028</v>
          </cell>
          <cell r="AG74">
            <v>2029</v>
          </cell>
          <cell r="AH74">
            <v>2030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s"/>
      <sheetName val="Time series"/>
      <sheetName val="Historic prices"/>
      <sheetName val="Gr.form vs C2-50"/>
      <sheetName val="Historic prices (3)"/>
      <sheetName val="Res nieuwe form"/>
      <sheetName val="Gr.Cash costs (3)"/>
      <sheetName val="Gr.Cash costs (2)"/>
      <sheetName val="Gr.Cash costs"/>
      <sheetName val="Gr.Prijzen"/>
      <sheetName val="ICM"/>
    </sheetNames>
    <sheetDataSet>
      <sheetData sheetId="0">
        <row r="1">
          <cell r="C1">
            <v>150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input"/>
      <sheetName val="Report"/>
      <sheetName val="Gas Calculation"/>
      <sheetName val="Gas Cost"/>
      <sheetName val="GT Performance"/>
      <sheetName val="UB Performance"/>
      <sheetName val="STG Performance"/>
      <sheetName val="HRSG Performance"/>
      <sheetName val="Cost Calculation"/>
      <sheetName val="GT Compressore Effi"/>
      <sheetName val="CPCV"/>
      <sheetName val="Z value"/>
      <sheetName val="Sheet2"/>
    </sheetNames>
    <sheetDataSet>
      <sheetData sheetId="0">
        <row r="5">
          <cell r="G5">
            <v>6.049679027494852</v>
          </cell>
        </row>
        <row r="15">
          <cell r="G15">
            <v>50.185217913864484</v>
          </cell>
        </row>
        <row r="18">
          <cell r="G18">
            <v>0.71901691501000686</v>
          </cell>
        </row>
        <row r="19">
          <cell r="G19">
            <v>8.6798612526190677</v>
          </cell>
        </row>
        <row r="23">
          <cell r="G23">
            <v>207.80444353563033</v>
          </cell>
        </row>
        <row r="25">
          <cell r="G25">
            <v>278.26921512096624</v>
          </cell>
        </row>
        <row r="26">
          <cell r="G26">
            <v>26.522781611109789</v>
          </cell>
        </row>
        <row r="29">
          <cell r="G29">
            <v>83.32932966266732</v>
          </cell>
        </row>
        <row r="33">
          <cell r="G33">
            <v>107.8296555122278</v>
          </cell>
        </row>
        <row r="37">
          <cell r="G37">
            <v>63.198306988830446</v>
          </cell>
        </row>
        <row r="38">
          <cell r="G38">
            <v>8.2058804041947457</v>
          </cell>
        </row>
        <row r="41">
          <cell r="G41">
            <v>30.286872915626134</v>
          </cell>
        </row>
        <row r="43">
          <cell r="G43">
            <v>25.110965969918517</v>
          </cell>
        </row>
        <row r="46">
          <cell r="G46">
            <v>5.3487578656621304</v>
          </cell>
        </row>
        <row r="50">
          <cell r="G50">
            <v>979.48262602159332</v>
          </cell>
        </row>
        <row r="51">
          <cell r="G51">
            <v>1.7051292845264021</v>
          </cell>
        </row>
        <row r="53">
          <cell r="G53">
            <v>11.015625</v>
          </cell>
        </row>
        <row r="54">
          <cell r="G54">
            <v>11.015625</v>
          </cell>
        </row>
        <row r="59">
          <cell r="G59">
            <v>5.0330226560076579</v>
          </cell>
        </row>
        <row r="60">
          <cell r="G60">
            <v>0.43017213402371945</v>
          </cell>
        </row>
        <row r="62">
          <cell r="G62">
            <v>84.811322922681654</v>
          </cell>
        </row>
        <row r="63">
          <cell r="G63">
            <v>577.20553898532353</v>
          </cell>
        </row>
        <row r="66">
          <cell r="G66">
            <v>183.640625</v>
          </cell>
        </row>
        <row r="67">
          <cell r="G67">
            <v>499.9375</v>
          </cell>
        </row>
        <row r="68">
          <cell r="G68">
            <v>0</v>
          </cell>
        </row>
        <row r="70">
          <cell r="G70">
            <v>308.5625</v>
          </cell>
        </row>
        <row r="71">
          <cell r="G71">
            <v>171.125</v>
          </cell>
        </row>
        <row r="74">
          <cell r="G74">
            <v>21.8671875</v>
          </cell>
        </row>
        <row r="75">
          <cell r="G75">
            <v>135.3125</v>
          </cell>
        </row>
        <row r="76">
          <cell r="G76">
            <v>2256.5</v>
          </cell>
        </row>
        <row r="78">
          <cell r="G78">
            <v>0</v>
          </cell>
        </row>
        <row r="79">
          <cell r="G79">
            <v>0</v>
          </cell>
        </row>
        <row r="81">
          <cell r="G81">
            <v>10.675937457722618</v>
          </cell>
        </row>
        <row r="82">
          <cell r="G82">
            <v>15.700060417227711</v>
          </cell>
        </row>
        <row r="83">
          <cell r="G83">
            <v>891863.93166587455</v>
          </cell>
        </row>
        <row r="85">
          <cell r="G85">
            <v>99.375</v>
          </cell>
        </row>
        <row r="86">
          <cell r="G86">
            <v>1279.12109375</v>
          </cell>
        </row>
        <row r="87">
          <cell r="G87">
            <v>0</v>
          </cell>
        </row>
        <row r="89">
          <cell r="G89">
            <v>0</v>
          </cell>
        </row>
        <row r="90">
          <cell r="G90">
            <v>0</v>
          </cell>
        </row>
        <row r="93">
          <cell r="G93">
            <v>1999.75</v>
          </cell>
        </row>
        <row r="94">
          <cell r="G94">
            <v>2087.5</v>
          </cell>
        </row>
        <row r="97">
          <cell r="G97">
            <v>15.443359375</v>
          </cell>
        </row>
        <row r="98">
          <cell r="G98">
            <v>0</v>
          </cell>
        </row>
        <row r="99">
          <cell r="G99">
            <v>50.62109375</v>
          </cell>
        </row>
        <row r="103">
          <cell r="G103">
            <v>0</v>
          </cell>
        </row>
        <row r="107">
          <cell r="G107">
            <v>0</v>
          </cell>
        </row>
        <row r="110">
          <cell r="G110">
            <v>8.30078125E-3</v>
          </cell>
        </row>
        <row r="114">
          <cell r="G114">
            <v>1474.25</v>
          </cell>
        </row>
        <row r="118">
          <cell r="G118">
            <v>63.223397135788417</v>
          </cell>
        </row>
        <row r="121">
          <cell r="G121">
            <v>-1.5565628185868836E-2</v>
          </cell>
        </row>
        <row r="127">
          <cell r="G127">
            <v>1983.125</v>
          </cell>
        </row>
        <row r="130">
          <cell r="G130">
            <v>171.14102172851563</v>
          </cell>
        </row>
        <row r="134">
          <cell r="G134">
            <v>558.26762900164056</v>
          </cell>
        </row>
        <row r="138">
          <cell r="G138">
            <v>507.81661025106865</v>
          </cell>
        </row>
        <row r="141">
          <cell r="G141">
            <v>54.722898361482862</v>
          </cell>
        </row>
        <row r="145">
          <cell r="G145">
            <v>100.70039023660273</v>
          </cell>
        </row>
        <row r="149">
          <cell r="G149">
            <v>602.02715722892526</v>
          </cell>
        </row>
        <row r="152">
          <cell r="G152">
            <v>226.6534886287813</v>
          </cell>
        </row>
        <row r="156">
          <cell r="G156">
            <v>116.81407322073028</v>
          </cell>
        </row>
        <row r="163">
          <cell r="G163">
            <v>0</v>
          </cell>
        </row>
        <row r="167">
          <cell r="G167">
            <v>-7425.6728515625</v>
          </cell>
        </row>
        <row r="171">
          <cell r="G171">
            <v>311.78695678710938</v>
          </cell>
        </row>
        <row r="175">
          <cell r="G175">
            <v>1.750413179397583</v>
          </cell>
        </row>
        <row r="179">
          <cell r="G179">
            <v>705.379150390625</v>
          </cell>
        </row>
        <row r="186">
          <cell r="G186">
            <v>1746.6201171874998</v>
          </cell>
        </row>
        <row r="190">
          <cell r="G190">
            <v>622.453125</v>
          </cell>
        </row>
        <row r="193">
          <cell r="G193">
            <v>588.109375</v>
          </cell>
        </row>
        <row r="197">
          <cell r="G197">
            <v>108.78467358330775</v>
          </cell>
        </row>
        <row r="203">
          <cell r="G203">
            <v>12.443411354902778</v>
          </cell>
        </row>
        <row r="207">
          <cell r="G207">
            <v>43.134241766782829</v>
          </cell>
        </row>
        <row r="210">
          <cell r="G210">
            <v>0.56465283155201196</v>
          </cell>
        </row>
        <row r="211">
          <cell r="G211">
            <v>61.303378845539186</v>
          </cell>
        </row>
        <row r="214">
          <cell r="G214">
            <v>0.53616774111434595</v>
          </cell>
        </row>
        <row r="218">
          <cell r="G218">
            <v>9.4097075762079232</v>
          </cell>
        </row>
        <row r="219">
          <cell r="G219">
            <v>9.3071263999340186</v>
          </cell>
        </row>
        <row r="221">
          <cell r="G221">
            <v>6.0705947689712056E-3</v>
          </cell>
        </row>
        <row r="222">
          <cell r="G222">
            <v>7.358800261950983E-3</v>
          </cell>
        </row>
        <row r="225">
          <cell r="G225">
            <v>78.883932824385894</v>
          </cell>
        </row>
        <row r="229">
          <cell r="G229">
            <v>8.6597980266409493</v>
          </cell>
        </row>
        <row r="230">
          <cell r="G230">
            <v>9.5807316667867006</v>
          </cell>
        </row>
        <row r="235">
          <cell r="G235">
            <v>106.86949474824046</v>
          </cell>
        </row>
        <row r="240">
          <cell r="G240">
            <v>0.51852252342384741</v>
          </cell>
        </row>
        <row r="243">
          <cell r="G243">
            <v>0.46167251540624804</v>
          </cell>
        </row>
        <row r="247">
          <cell r="G247">
            <v>0.57456899696627739</v>
          </cell>
        </row>
        <row r="248">
          <cell r="G248">
            <v>9.5088304527534557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F4">
            <v>5.9030351638793945</v>
          </cell>
        </row>
        <row r="6">
          <cell r="F6">
            <v>23.586503982543945</v>
          </cell>
        </row>
        <row r="8">
          <cell r="F8">
            <v>19.495491027832031</v>
          </cell>
        </row>
        <row r="9">
          <cell r="F9">
            <v>20.964153289794922</v>
          </cell>
        </row>
        <row r="10">
          <cell r="F10">
            <v>36.799888610839844</v>
          </cell>
        </row>
        <row r="11">
          <cell r="F11">
            <v>377.2100830078125</v>
          </cell>
        </row>
        <row r="12">
          <cell r="F12">
            <v>4.6651096343994141</v>
          </cell>
        </row>
        <row r="13">
          <cell r="F13">
            <v>185.12338256835938</v>
          </cell>
        </row>
        <row r="14">
          <cell r="F14">
            <v>50.589202880859375</v>
          </cell>
        </row>
        <row r="16">
          <cell r="F16">
            <v>12.672587394714355</v>
          </cell>
        </row>
        <row r="17">
          <cell r="F17">
            <v>1.0044407844543457</v>
          </cell>
        </row>
        <row r="18">
          <cell r="F18">
            <v>8.4537839889526367</v>
          </cell>
        </row>
        <row r="19">
          <cell r="F19">
            <v>5.738680362701416</v>
          </cell>
        </row>
        <row r="20">
          <cell r="F20">
            <v>106.94502258300781</v>
          </cell>
        </row>
        <row r="21">
          <cell r="F21">
            <v>488.11746215820313</v>
          </cell>
        </row>
        <row r="22">
          <cell r="F22">
            <v>192.1973876953125</v>
          </cell>
        </row>
        <row r="23">
          <cell r="F23">
            <v>16.343908309936523</v>
          </cell>
        </row>
        <row r="24">
          <cell r="F24">
            <v>285.645263671875</v>
          </cell>
        </row>
        <row r="25">
          <cell r="F25">
            <v>27.780071258544922</v>
          </cell>
        </row>
        <row r="26">
          <cell r="F26">
            <v>17.54139518737793</v>
          </cell>
        </row>
        <row r="27">
          <cell r="F27">
            <v>123.22551727294922</v>
          </cell>
        </row>
        <row r="28">
          <cell r="F28">
            <v>135.520263671875</v>
          </cell>
        </row>
        <row r="29">
          <cell r="F29">
            <v>4.1246641427278519E-2</v>
          </cell>
        </row>
        <row r="30">
          <cell r="F30">
            <v>108.45578765869141</v>
          </cell>
        </row>
        <row r="31">
          <cell r="F31">
            <v>4.8699812889099121</v>
          </cell>
        </row>
        <row r="32">
          <cell r="F32">
            <v>108.94107055664063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65.135719299316406</v>
          </cell>
        </row>
        <row r="36">
          <cell r="F36">
            <v>82.543472290039063</v>
          </cell>
        </row>
        <row r="37">
          <cell r="F37">
            <v>7.9718904495239258</v>
          </cell>
        </row>
        <row r="38">
          <cell r="F38">
            <v>23.892322540283203</v>
          </cell>
        </row>
        <row r="39">
          <cell r="F39">
            <v>56.457405090332031</v>
          </cell>
        </row>
        <row r="40">
          <cell r="F40">
            <v>24.179828643798828</v>
          </cell>
        </row>
        <row r="41">
          <cell r="F41">
            <v>140.09980773925781</v>
          </cell>
        </row>
        <row r="42">
          <cell r="F42">
            <v>-2.7468752861022949</v>
          </cell>
        </row>
        <row r="43">
          <cell r="F43">
            <v>24.93293571472168</v>
          </cell>
        </row>
        <row r="44">
          <cell r="F44">
            <v>1.4989699125289917</v>
          </cell>
        </row>
        <row r="45">
          <cell r="F45">
            <v>4.6685895919799805</v>
          </cell>
        </row>
        <row r="46">
          <cell r="F46">
            <v>56.732147216796875</v>
          </cell>
        </row>
        <row r="47">
          <cell r="F47">
            <v>5.941932201385498</v>
          </cell>
        </row>
        <row r="48">
          <cell r="F48" t="str">
            <v/>
          </cell>
        </row>
        <row r="49">
          <cell r="F49">
            <v>650.099365234375</v>
          </cell>
        </row>
        <row r="50">
          <cell r="F50">
            <v>2.4776816368103027</v>
          </cell>
        </row>
        <row r="51">
          <cell r="F51">
            <v>4.7312183380126953</v>
          </cell>
        </row>
        <row r="52">
          <cell r="F52">
            <v>310.796875</v>
          </cell>
        </row>
        <row r="53">
          <cell r="F53">
            <v>236.3125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106.39232140600733</v>
          </cell>
        </row>
        <row r="57">
          <cell r="F57">
            <v>0</v>
          </cell>
        </row>
        <row r="58">
          <cell r="F58">
            <v>4.3135035661110637</v>
          </cell>
        </row>
        <row r="59">
          <cell r="F59">
            <v>16.884293820169511</v>
          </cell>
        </row>
        <row r="60">
          <cell r="F60">
            <v>52.0234375</v>
          </cell>
        </row>
        <row r="61">
          <cell r="F61">
            <v>-5.5967881469105496</v>
          </cell>
        </row>
        <row r="62">
          <cell r="F62">
            <v>15.636707744745486</v>
          </cell>
        </row>
        <row r="63">
          <cell r="F63">
            <v>55.6875</v>
          </cell>
        </row>
        <row r="64">
          <cell r="F64">
            <v>45.59375</v>
          </cell>
        </row>
        <row r="65">
          <cell r="F65">
            <v>18.390625</v>
          </cell>
        </row>
        <row r="66">
          <cell r="F66">
            <v>0.25</v>
          </cell>
        </row>
        <row r="67">
          <cell r="F67">
            <v>0</v>
          </cell>
        </row>
        <row r="68">
          <cell r="F68">
            <v>2381.5</v>
          </cell>
        </row>
        <row r="69">
          <cell r="F69">
            <v>69.78125</v>
          </cell>
        </row>
        <row r="70">
          <cell r="F70">
            <v>94.4375</v>
          </cell>
        </row>
        <row r="71">
          <cell r="F71">
            <v>143.75</v>
          </cell>
        </row>
        <row r="72">
          <cell r="F72">
            <v>122.3125</v>
          </cell>
        </row>
        <row r="73">
          <cell r="F73">
            <v>8.96875</v>
          </cell>
        </row>
        <row r="74">
          <cell r="F74">
            <v>28.09375</v>
          </cell>
        </row>
        <row r="75">
          <cell r="F75">
            <v>571.5</v>
          </cell>
        </row>
        <row r="76">
          <cell r="F76">
            <v>912.75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37.617973576066021</v>
          </cell>
        </row>
        <row r="80">
          <cell r="F80">
            <v>9.1885692313785903</v>
          </cell>
        </row>
        <row r="81">
          <cell r="F81">
            <v>13.536252332070791</v>
          </cell>
        </row>
        <row r="82">
          <cell r="F82">
            <v>796.25</v>
          </cell>
        </row>
        <row r="83">
          <cell r="F83">
            <v>-7.2764545446062255E-3</v>
          </cell>
        </row>
        <row r="84">
          <cell r="F84">
            <v>34.625</v>
          </cell>
        </row>
        <row r="85">
          <cell r="F85">
            <v>248.7265625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320.1875</v>
          </cell>
        </row>
        <row r="89">
          <cell r="F89">
            <v>72.859375</v>
          </cell>
        </row>
        <row r="90">
          <cell r="F90">
            <v>53731.535902688513</v>
          </cell>
        </row>
        <row r="91">
          <cell r="F91">
            <v>55485.947280687666</v>
          </cell>
        </row>
        <row r="92">
          <cell r="F92">
            <v>706.75</v>
          </cell>
        </row>
        <row r="93">
          <cell r="F93">
            <v>745</v>
          </cell>
        </row>
        <row r="94">
          <cell r="F94">
            <v>80.067317985528135</v>
          </cell>
        </row>
        <row r="95">
          <cell r="F95">
            <v>175.375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4.62890625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119.625</v>
          </cell>
        </row>
        <row r="102">
          <cell r="F102">
            <v>0</v>
          </cell>
        </row>
        <row r="103">
          <cell r="F103">
            <v>0.6334228515625</v>
          </cell>
        </row>
        <row r="104">
          <cell r="F104">
            <v>119.671875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88.47482881652256</v>
          </cell>
        </row>
        <row r="108">
          <cell r="F108">
            <v>9.2734375</v>
          </cell>
        </row>
        <row r="109">
          <cell r="F109">
            <v>1.708984375E-3</v>
          </cell>
        </row>
        <row r="110">
          <cell r="F110">
            <v>7.875</v>
          </cell>
        </row>
        <row r="111">
          <cell r="F111">
            <v>67.736225902880989</v>
          </cell>
        </row>
        <row r="112">
          <cell r="F112">
            <v>500.875</v>
          </cell>
        </row>
        <row r="113">
          <cell r="F113">
            <v>412.25</v>
          </cell>
        </row>
        <row r="114">
          <cell r="F114">
            <v>7.875</v>
          </cell>
        </row>
        <row r="115">
          <cell r="F115">
            <v>0</v>
          </cell>
        </row>
        <row r="116">
          <cell r="F116">
            <v>21.578125</v>
          </cell>
        </row>
        <row r="117">
          <cell r="F117">
            <v>86.980354609812238</v>
          </cell>
        </row>
        <row r="118">
          <cell r="F118">
            <v>500.75</v>
          </cell>
        </row>
        <row r="119">
          <cell r="F119">
            <v>34.40625</v>
          </cell>
        </row>
        <row r="120">
          <cell r="F120">
            <v>0</v>
          </cell>
        </row>
        <row r="121">
          <cell r="F121">
            <v>796.25</v>
          </cell>
        </row>
        <row r="122">
          <cell r="F122">
            <v>80.067317985528135</v>
          </cell>
        </row>
        <row r="123">
          <cell r="F123">
            <v>743.125</v>
          </cell>
        </row>
        <row r="124">
          <cell r="F124">
            <v>20.5390625</v>
          </cell>
        </row>
        <row r="125">
          <cell r="F125">
            <v>1.7096620006446872</v>
          </cell>
        </row>
        <row r="126">
          <cell r="F126">
            <v>672.5</v>
          </cell>
        </row>
        <row r="128">
          <cell r="F128">
            <v>17.464780616269934</v>
          </cell>
        </row>
        <row r="129">
          <cell r="F129">
            <v>497.6662125902086</v>
          </cell>
        </row>
        <row r="130">
          <cell r="F130">
            <v>522.30545621870317</v>
          </cell>
        </row>
        <row r="131">
          <cell r="F131">
            <v>19.898229630052686</v>
          </cell>
        </row>
        <row r="132">
          <cell r="F132">
            <v>23.01161350586931</v>
          </cell>
        </row>
        <row r="133">
          <cell r="F133">
            <v>495.07773117418463</v>
          </cell>
        </row>
        <row r="134">
          <cell r="F134">
            <v>508.74219505748079</v>
          </cell>
        </row>
        <row r="135">
          <cell r="F135">
            <v>17.452667438994133</v>
          </cell>
        </row>
        <row r="136">
          <cell r="F136">
            <v>17.561142020074342</v>
          </cell>
        </row>
        <row r="137">
          <cell r="F137">
            <v>47.35081548290367</v>
          </cell>
        </row>
        <row r="138">
          <cell r="F138">
            <v>47.379829946091363</v>
          </cell>
        </row>
        <row r="139">
          <cell r="F139">
            <v>14.607285307530368</v>
          </cell>
        </row>
        <row r="140">
          <cell r="F140">
            <v>16.220196464885067</v>
          </cell>
        </row>
        <row r="141">
          <cell r="F141">
            <v>86.295774588956732</v>
          </cell>
        </row>
        <row r="142">
          <cell r="F142">
            <v>97.896478464997728</v>
          </cell>
        </row>
        <row r="143">
          <cell r="F143">
            <v>17.037736060788923</v>
          </cell>
        </row>
        <row r="144">
          <cell r="F144">
            <v>25.775012746057456</v>
          </cell>
        </row>
        <row r="145">
          <cell r="F145">
            <v>634.70891136293653</v>
          </cell>
        </row>
        <row r="146">
          <cell r="F146">
            <v>0</v>
          </cell>
        </row>
        <row r="147">
          <cell r="F147">
            <v>601.6774270548816</v>
          </cell>
        </row>
        <row r="148">
          <cell r="F148">
            <v>16.090856659994639</v>
          </cell>
        </row>
        <row r="149">
          <cell r="F149">
            <v>26.693156300391919</v>
          </cell>
        </row>
        <row r="150">
          <cell r="F150">
            <v>167.33322367141059</v>
          </cell>
        </row>
        <row r="151">
          <cell r="F151">
            <v>189.75268677594627</v>
          </cell>
        </row>
        <row r="152">
          <cell r="F152">
            <v>117.31818059743114</v>
          </cell>
        </row>
        <row r="153">
          <cell r="F153">
            <v>504.4573149824102</v>
          </cell>
        </row>
        <row r="154">
          <cell r="F154">
            <v>119.77182002913368</v>
          </cell>
        </row>
        <row r="155">
          <cell r="F155">
            <v>494.612420717058</v>
          </cell>
        </row>
        <row r="156">
          <cell r="F156">
            <v>503.31900283303537</v>
          </cell>
        </row>
        <row r="157">
          <cell r="F157">
            <v>48.087251942690969</v>
          </cell>
        </row>
        <row r="158">
          <cell r="F158">
            <v>493.3318872656082</v>
          </cell>
        </row>
        <row r="159">
          <cell r="F159">
            <v>0</v>
          </cell>
        </row>
        <row r="160">
          <cell r="F160">
            <v>32730.5</v>
          </cell>
        </row>
        <row r="161">
          <cell r="F161">
            <v>39688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126.21875</v>
          </cell>
        </row>
        <row r="187">
          <cell r="F187">
            <v>165.921875</v>
          </cell>
        </row>
        <row r="191">
          <cell r="F191">
            <v>0.15382501482963562</v>
          </cell>
        </row>
        <row r="192">
          <cell r="F192">
            <v>2.549100399017334</v>
          </cell>
        </row>
        <row r="193">
          <cell r="F193">
            <v>112.22634887695313</v>
          </cell>
        </row>
        <row r="194">
          <cell r="F194">
            <v>115.85955047607422</v>
          </cell>
        </row>
        <row r="195">
          <cell r="F195">
            <v>18.826396942138672</v>
          </cell>
        </row>
        <row r="196">
          <cell r="F196">
            <v>18.388042449951172</v>
          </cell>
        </row>
        <row r="197">
          <cell r="F197">
            <v>11.650185585021973</v>
          </cell>
        </row>
        <row r="198">
          <cell r="F198">
            <v>11.283935546875</v>
          </cell>
        </row>
        <row r="199">
          <cell r="F199" t="str">
            <v/>
          </cell>
        </row>
        <row r="200">
          <cell r="F200">
            <v>36.647899627685547</v>
          </cell>
        </row>
        <row r="201">
          <cell r="F201">
            <v>36.418991088867188</v>
          </cell>
        </row>
        <row r="202">
          <cell r="F202" t="str">
            <v/>
          </cell>
        </row>
        <row r="203">
          <cell r="F203">
            <v>0</v>
          </cell>
        </row>
        <row r="204">
          <cell r="F204">
            <v>7.3707825504243374E-3</v>
          </cell>
        </row>
        <row r="205">
          <cell r="F205">
            <v>72.517509460449219</v>
          </cell>
        </row>
        <row r="206">
          <cell r="F206">
            <v>119.12283325195313</v>
          </cell>
        </row>
        <row r="207">
          <cell r="F207">
            <v>0.99908441305160522</v>
          </cell>
        </row>
        <row r="208">
          <cell r="F208">
            <v>0.6031680703163147</v>
          </cell>
        </row>
        <row r="209">
          <cell r="F209">
            <v>0.62935495376586914</v>
          </cell>
        </row>
        <row r="210">
          <cell r="F210">
            <v>7.8598179817199707</v>
          </cell>
        </row>
        <row r="211">
          <cell r="F211">
            <v>9.8262147903442383</v>
          </cell>
        </row>
        <row r="212">
          <cell r="F212">
            <v>9.5390748977661133</v>
          </cell>
        </row>
        <row r="213">
          <cell r="F213">
            <v>9.3589706420898438</v>
          </cell>
        </row>
        <row r="214">
          <cell r="F214">
            <v>8.6435014382004738E-3</v>
          </cell>
        </row>
        <row r="215">
          <cell r="F215">
            <v>2.0326878875494003E-3</v>
          </cell>
        </row>
        <row r="216">
          <cell r="F216">
            <v>1.0602939873933792E-2</v>
          </cell>
        </row>
        <row r="217">
          <cell r="F217">
            <v>9.2615475878119469E-3</v>
          </cell>
        </row>
        <row r="218">
          <cell r="F218">
            <v>31.543285369873047</v>
          </cell>
        </row>
        <row r="219">
          <cell r="F219">
            <v>31.199926376342773</v>
          </cell>
        </row>
        <row r="220">
          <cell r="F220">
            <v>39.692348480224609</v>
          </cell>
        </row>
        <row r="221">
          <cell r="F221">
            <v>35.274459838867188</v>
          </cell>
        </row>
        <row r="222">
          <cell r="F222">
            <v>7.6015195846557617</v>
          </cell>
        </row>
        <row r="223">
          <cell r="F223">
            <v>8.0033884048461914</v>
          </cell>
        </row>
        <row r="224">
          <cell r="F224">
            <v>9.8166007995605469</v>
          </cell>
        </row>
        <row r="225">
          <cell r="F225">
            <v>9.7352018356323242</v>
          </cell>
        </row>
        <row r="227">
          <cell r="F227" t="str">
            <v/>
          </cell>
        </row>
        <row r="229">
          <cell r="F229">
            <v>106.83514404296875</v>
          </cell>
        </row>
        <row r="230">
          <cell r="F230">
            <v>8.296629786491394E-2</v>
          </cell>
        </row>
        <row r="231">
          <cell r="F231">
            <v>9.7422513961791992</v>
          </cell>
        </row>
        <row r="232">
          <cell r="F232" t="str">
            <v/>
          </cell>
        </row>
        <row r="233">
          <cell r="F233">
            <v>9.1562513262033463E-3</v>
          </cell>
        </row>
        <row r="234">
          <cell r="F234">
            <v>0.50249505043029785</v>
          </cell>
        </row>
        <row r="235">
          <cell r="F235">
            <v>9.6525201797485352</v>
          </cell>
        </row>
        <row r="236">
          <cell r="F236">
            <v>7.0855650901794434</v>
          </cell>
        </row>
        <row r="237">
          <cell r="F237">
            <v>0.9996795654296875</v>
          </cell>
        </row>
        <row r="238">
          <cell r="F238">
            <v>0</v>
          </cell>
        </row>
        <row r="239">
          <cell r="F239">
            <v>0.99940484762191772</v>
          </cell>
        </row>
        <row r="240">
          <cell r="F240">
            <v>7.0291624069213867</v>
          </cell>
        </row>
        <row r="241">
          <cell r="F241">
            <v>0.64226526021957397</v>
          </cell>
        </row>
        <row r="242">
          <cell r="F242">
            <v>9.674952507019043</v>
          </cell>
        </row>
        <row r="243">
          <cell r="F243">
            <v>18147.517578125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aterials Requirement "/>
      <sheetName val="Basis"/>
      <sheetName val="Norms"/>
      <sheetName val="Capex"/>
      <sheetName val="Opex"/>
      <sheetName val="Cashflow "/>
      <sheetName val="IRR"/>
      <sheetName val="Reference Values"/>
      <sheetName val="Interest Cal."/>
      <sheetName val="Bal sheet"/>
      <sheetName val="Depreciation"/>
      <sheetName val="Profitability"/>
      <sheetName val=" Breakeven Point"/>
      <sheetName val="DS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F10">
            <v>279.536992</v>
          </cell>
          <cell r="G10">
            <v>359.40470400000004</v>
          </cell>
          <cell r="H10">
            <v>379.37163200000003</v>
          </cell>
          <cell r="I10">
            <v>379.37163200000003</v>
          </cell>
          <cell r="J10">
            <v>379.37163200000003</v>
          </cell>
          <cell r="K10">
            <v>379.37163200000003</v>
          </cell>
          <cell r="L10">
            <v>379.37163200000003</v>
          </cell>
          <cell r="M10">
            <v>379.37163200000003</v>
          </cell>
          <cell r="N10">
            <v>379.37163200000003</v>
          </cell>
          <cell r="O10">
            <v>379.37163200000003</v>
          </cell>
          <cell r="P10">
            <v>379.37163200000003</v>
          </cell>
          <cell r="Q10">
            <v>379.37163200000003</v>
          </cell>
          <cell r="R10">
            <v>379.37163200000003</v>
          </cell>
          <cell r="S10">
            <v>379.37163200000003</v>
          </cell>
          <cell r="T10">
            <v>379.37163200000003</v>
          </cell>
        </row>
        <row r="15">
          <cell r="F15">
            <v>141.11827990837551</v>
          </cell>
          <cell r="G15">
            <v>183.99606127082183</v>
          </cell>
          <cell r="H15">
            <v>197.20902287074762</v>
          </cell>
          <cell r="I15">
            <v>200.10799550694759</v>
          </cell>
          <cell r="J15">
            <v>202.52930225258169</v>
          </cell>
          <cell r="K15">
            <v>205.24319490276628</v>
          </cell>
          <cell r="L15">
            <v>207.93188075599252</v>
          </cell>
          <cell r="M15">
            <v>210.73896114619842</v>
          </cell>
          <cell r="N15">
            <v>213.90004556339139</v>
          </cell>
          <cell r="O15">
            <v>216.12460603725063</v>
          </cell>
          <cell r="P15">
            <v>218.54520162486784</v>
          </cell>
          <cell r="Q15">
            <v>221.05847144355383</v>
          </cell>
          <cell r="R15">
            <v>223.37958539371118</v>
          </cell>
          <cell r="S15">
            <v>225.68039512326641</v>
          </cell>
          <cell r="T15">
            <v>227.98233515352371</v>
          </cell>
        </row>
        <row r="16">
          <cell r="F16">
            <v>19.436642743938869</v>
          </cell>
          <cell r="G16">
            <v>25.377313765461327</v>
          </cell>
          <cell r="H16">
            <v>27.20772301333346</v>
          </cell>
          <cell r="I16">
            <v>27.596793452424127</v>
          </cell>
          <cell r="J16">
            <v>27.983148560758064</v>
          </cell>
          <cell r="K16">
            <v>28.358122751472223</v>
          </cell>
          <cell r="L16">
            <v>28.738121596341948</v>
          </cell>
          <cell r="M16">
            <v>29.12321242573293</v>
          </cell>
          <cell r="N16">
            <v>29.513463472237756</v>
          </cell>
          <cell r="O16">
            <v>29.90894388276574</v>
          </cell>
          <cell r="P16">
            <v>30.309723730794801</v>
          </cell>
          <cell r="Q16">
            <v>30.71587402878745</v>
          </cell>
          <cell r="R16">
            <v>31.127466740773205</v>
          </cell>
          <cell r="S16">
            <v>31.544574795099567</v>
          </cell>
          <cell r="T16">
            <v>31.967272097353902</v>
          </cell>
        </row>
        <row r="76">
          <cell r="F76">
            <v>20.825751106321409</v>
          </cell>
          <cell r="G76">
            <v>20.825751106321409</v>
          </cell>
          <cell r="H76">
            <v>20.825751106321409</v>
          </cell>
          <cell r="I76">
            <v>20.825751106321409</v>
          </cell>
          <cell r="J76">
            <v>20.825751106321409</v>
          </cell>
          <cell r="K76">
            <v>20.825751106321409</v>
          </cell>
          <cell r="L76">
            <v>20.825751106321409</v>
          </cell>
          <cell r="M76">
            <v>20.825751106321409</v>
          </cell>
          <cell r="N76">
            <v>20.825751106321409</v>
          </cell>
          <cell r="O76">
            <v>20.825751106321409</v>
          </cell>
          <cell r="P76">
            <v>20.825751106321409</v>
          </cell>
          <cell r="Q76">
            <v>20.825751106321409</v>
          </cell>
          <cell r="R76">
            <v>20.825751106321409</v>
          </cell>
          <cell r="S76">
            <v>20.825751106321409</v>
          </cell>
          <cell r="T76">
            <v>20.825751106321409</v>
          </cell>
        </row>
        <row r="77">
          <cell r="F77">
            <v>63.705032308818431</v>
          </cell>
          <cell r="G77">
            <v>91.91206083541465</v>
          </cell>
          <cell r="H77">
            <v>101.49730761536435</v>
          </cell>
          <cell r="I77">
            <v>102.87095416782131</v>
          </cell>
          <cell r="J77">
            <v>104.72498194160087</v>
          </cell>
          <cell r="K77">
            <v>106.29780472844972</v>
          </cell>
          <cell r="L77">
            <v>107.89080965810135</v>
          </cell>
          <cell r="M77">
            <v>109.36032806625207</v>
          </cell>
          <cell r="N77">
            <v>110.47068223030189</v>
          </cell>
          <cell r="O77">
            <v>112.51233097366227</v>
          </cell>
          <cell r="P77">
            <v>109.69095553801597</v>
          </cell>
          <cell r="Q77">
            <v>106.77153542133735</v>
          </cell>
          <cell r="R77">
            <v>104.03882875919425</v>
          </cell>
          <cell r="S77">
            <v>101.32091097531267</v>
          </cell>
          <cell r="T77">
            <v>98.596273642801037</v>
          </cell>
        </row>
        <row r="78">
          <cell r="F78">
            <v>0</v>
          </cell>
          <cell r="G78">
            <v>0.82709569244775571</v>
          </cell>
          <cell r="H78">
            <v>29.963926122086104</v>
          </cell>
          <cell r="I78">
            <v>32.346210257673455</v>
          </cell>
          <cell r="J78">
            <v>34.612499188929881</v>
          </cell>
          <cell r="K78">
            <v>36.53909497955636</v>
          </cell>
          <cell r="L78">
            <v>38.267395303676373</v>
          </cell>
          <cell r="M78">
            <v>39.777878732917671</v>
          </cell>
          <cell r="N78">
            <v>41.014281874873717</v>
          </cell>
          <cell r="O78">
            <v>42.449731520503633</v>
          </cell>
          <cell r="P78">
            <v>42.078331176688067</v>
          </cell>
          <cell r="Q78">
            <v>41.581203745651287</v>
          </cell>
          <cell r="R78">
            <v>41.071504182430189</v>
          </cell>
          <cell r="S78">
            <v>40.500763962507861</v>
          </cell>
          <cell r="T78">
            <v>39.871341039979562</v>
          </cell>
        </row>
      </sheetData>
      <sheetData sheetId="6">
        <row r="17">
          <cell r="C17">
            <v>7.532937653997096E-2</v>
          </cell>
        </row>
        <row r="31">
          <cell r="C31">
            <v>1.0500316643806906E-2</v>
          </cell>
        </row>
      </sheetData>
      <sheetData sheetId="7" refreshError="1"/>
      <sheetData sheetId="8" refreshError="1"/>
      <sheetData sheetId="9">
        <row r="55">
          <cell r="E55">
            <v>41.930878547674446</v>
          </cell>
          <cell r="F55">
            <v>54.363984308189487</v>
          </cell>
          <cell r="G55">
            <v>57.909301960143438</v>
          </cell>
          <cell r="H55">
            <v>58.415749936614887</v>
          </cell>
          <cell r="I55">
            <v>58.847019645136925</v>
          </cell>
          <cell r="J55">
            <v>59.322581437029271</v>
          </cell>
          <cell r="K55">
            <v>59.794872138323143</v>
          </cell>
          <cell r="L55">
            <v>60.286391803628717</v>
          </cell>
          <cell r="M55">
            <v>60.834051018918359</v>
          </cell>
          <cell r="N55">
            <v>61.23573531118069</v>
          </cell>
          <cell r="O55">
            <v>61.668836656598131</v>
          </cell>
          <cell r="P55">
            <v>62.117176135302984</v>
          </cell>
          <cell r="Q55">
            <v>62.536153064554014</v>
          </cell>
          <cell r="R55">
            <v>62.952692845568293</v>
          </cell>
          <cell r="S55">
            <v>63.37016252972208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9"/>
  <sheetViews>
    <sheetView workbookViewId="0">
      <selection activeCell="B21" sqref="B21"/>
    </sheetView>
  </sheetViews>
  <sheetFormatPr defaultRowHeight="15"/>
  <cols>
    <col min="2" max="2" width="19.28515625" customWidth="1"/>
    <col min="4" max="4" width="19.140625" customWidth="1"/>
  </cols>
  <sheetData>
    <row r="3" spans="2:5">
      <c r="B3" t="s">
        <v>0</v>
      </c>
    </row>
    <row r="4" spans="2:5">
      <c r="B4" t="s">
        <v>1</v>
      </c>
      <c r="C4">
        <v>140</v>
      </c>
      <c r="D4" t="s">
        <v>2</v>
      </c>
      <c r="E4" s="1">
        <v>0.98</v>
      </c>
    </row>
    <row r="6" spans="2:5">
      <c r="B6" t="s">
        <v>4</v>
      </c>
      <c r="C6" s="3">
        <f>C4/0.98</f>
        <v>142.85714285714286</v>
      </c>
      <c r="D6" t="s">
        <v>2</v>
      </c>
    </row>
    <row r="7" spans="2:5">
      <c r="B7" t="s">
        <v>5</v>
      </c>
      <c r="C7" s="3">
        <f>C6-C4</f>
        <v>2.8571428571428612</v>
      </c>
      <c r="D7" t="s">
        <v>2</v>
      </c>
    </row>
    <row r="8" spans="2:5">
      <c r="B8" t="s">
        <v>3</v>
      </c>
      <c r="C8" s="2">
        <f>(140*1000/24)*(1/63)*(17)*(1/130)*24</f>
        <v>290.59829059829059</v>
      </c>
      <c r="D8" t="s">
        <v>6</v>
      </c>
    </row>
    <row r="9" spans="2:5">
      <c r="B9" t="s">
        <v>7</v>
      </c>
      <c r="C9">
        <f>+C8*130</f>
        <v>37777.777777777774</v>
      </c>
      <c r="D9" t="s">
        <v>8</v>
      </c>
    </row>
    <row r="10" spans="2:5">
      <c r="C10">
        <f>+C9/24</f>
        <v>1574.0740740740739</v>
      </c>
      <c r="D10" t="s">
        <v>9</v>
      </c>
    </row>
    <row r="11" spans="2:5">
      <c r="C11">
        <f>+C10/17</f>
        <v>92.592592592592581</v>
      </c>
      <c r="D11" t="s">
        <v>10</v>
      </c>
    </row>
    <row r="13" spans="2:5">
      <c r="B13" t="s">
        <v>11</v>
      </c>
      <c r="C13" s="4">
        <v>4.8611111111111112E-2</v>
      </c>
    </row>
    <row r="15" spans="2:5">
      <c r="B15" t="s">
        <v>12</v>
      </c>
      <c r="C15">
        <f>10*C11</f>
        <v>925.92592592592587</v>
      </c>
      <c r="D15" t="s">
        <v>10</v>
      </c>
    </row>
    <row r="17" spans="2:4">
      <c r="B17" t="s">
        <v>13</v>
      </c>
      <c r="C17">
        <f>(C11/0.14)-C11</f>
        <v>568.78306878306864</v>
      </c>
      <c r="D17" t="s">
        <v>14</v>
      </c>
    </row>
    <row r="18" spans="2:4">
      <c r="B18" t="s">
        <v>15</v>
      </c>
      <c r="C18">
        <f>+C17*0.21</f>
        <v>119.44444444444441</v>
      </c>
      <c r="D18" t="s">
        <v>14</v>
      </c>
    </row>
    <row r="19" spans="2:4">
      <c r="B19" t="s">
        <v>16</v>
      </c>
      <c r="C19">
        <f>C17-C18</f>
        <v>449.33862433862424</v>
      </c>
      <c r="D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259"/>
  <sheetViews>
    <sheetView topLeftCell="A29" workbookViewId="0">
      <selection activeCell="D82" sqref="D82"/>
    </sheetView>
  </sheetViews>
  <sheetFormatPr defaultRowHeight="15"/>
  <cols>
    <col min="1" max="1" width="7.140625" style="41" customWidth="1"/>
    <col min="2" max="2" width="46.7109375" bestFit="1" customWidth="1"/>
    <col min="3" max="3" width="19.140625" bestFit="1" customWidth="1"/>
    <col min="4" max="4" width="41.85546875" bestFit="1" customWidth="1"/>
    <col min="5" max="5" width="10.5703125" customWidth="1"/>
    <col min="6" max="6" width="17.28515625" customWidth="1"/>
    <col min="7" max="17" width="12.7109375" bestFit="1" customWidth="1"/>
    <col min="18" max="22" width="10" bestFit="1" customWidth="1"/>
  </cols>
  <sheetData>
    <row r="2" spans="1:12">
      <c r="B2" s="6" t="s">
        <v>17</v>
      </c>
    </row>
    <row r="3" spans="1:12">
      <c r="A3" s="41">
        <v>1</v>
      </c>
      <c r="B3" s="48" t="s">
        <v>19</v>
      </c>
      <c r="C3" s="72">
        <v>300</v>
      </c>
      <c r="D3" s="72" t="s">
        <v>18</v>
      </c>
      <c r="F3" s="265" t="s">
        <v>277</v>
      </c>
      <c r="I3" s="62"/>
      <c r="J3" s="72" t="s">
        <v>262</v>
      </c>
    </row>
    <row r="4" spans="1:12">
      <c r="B4" s="62" t="s">
        <v>275</v>
      </c>
      <c r="C4" s="8">
        <v>250</v>
      </c>
      <c r="D4" s="7" t="s">
        <v>18</v>
      </c>
      <c r="E4">
        <f>C4*C27</f>
        <v>82500</v>
      </c>
      <c r="F4" s="265">
        <f>E4-F50</f>
        <v>8547</v>
      </c>
      <c r="G4" s="67" t="s">
        <v>272</v>
      </c>
      <c r="I4" s="62" t="s">
        <v>274</v>
      </c>
      <c r="J4" s="256">
        <f>[5]IRR!C17</f>
        <v>7.532937653997096E-2</v>
      </c>
      <c r="K4" s="278"/>
      <c r="L4" s="278"/>
    </row>
    <row r="5" spans="1:12">
      <c r="B5" s="5" t="s">
        <v>448</v>
      </c>
      <c r="C5" s="8">
        <v>300</v>
      </c>
      <c r="D5" s="7" t="s">
        <v>18</v>
      </c>
      <c r="E5">
        <f>C5*C27</f>
        <v>99000</v>
      </c>
      <c r="F5" s="265">
        <f>+E5</f>
        <v>99000</v>
      </c>
      <c r="G5" s="67" t="s">
        <v>272</v>
      </c>
      <c r="I5" s="62" t="s">
        <v>50</v>
      </c>
      <c r="J5" s="256">
        <f>[5]IRR!C31</f>
        <v>1.0500316643806906E-2</v>
      </c>
    </row>
    <row r="6" spans="1:12" s="55" customFormat="1">
      <c r="B6" s="56"/>
      <c r="C6" s="27"/>
      <c r="D6" s="19"/>
      <c r="I6" s="62"/>
      <c r="J6" s="256"/>
    </row>
    <row r="7" spans="1:12" s="67" customFormat="1">
      <c r="A7" s="67">
        <v>2</v>
      </c>
      <c r="B7" s="48" t="s">
        <v>117</v>
      </c>
      <c r="C7" s="27"/>
      <c r="D7" s="19"/>
      <c r="I7" s="62"/>
      <c r="J7" s="11"/>
    </row>
    <row r="8" spans="1:12" s="55" customFormat="1">
      <c r="B8" s="62" t="s">
        <v>276</v>
      </c>
      <c r="C8" s="49">
        <v>18500</v>
      </c>
      <c r="D8" s="63" t="s">
        <v>61</v>
      </c>
      <c r="E8" s="57" t="s">
        <v>85</v>
      </c>
    </row>
    <row r="9" spans="1:12" s="55" customFormat="1">
      <c r="B9" s="59" t="s">
        <v>448</v>
      </c>
      <c r="C9" s="49">
        <v>24000</v>
      </c>
      <c r="D9" s="63" t="s">
        <v>61</v>
      </c>
      <c r="E9" s="57" t="s">
        <v>85</v>
      </c>
    </row>
    <row r="10" spans="1:12" s="67" customFormat="1">
      <c r="B10" s="81"/>
      <c r="C10" s="259"/>
      <c r="D10" s="259"/>
    </row>
    <row r="11" spans="1:12" s="44" customFormat="1">
      <c r="B11" s="81"/>
      <c r="C11" s="108"/>
      <c r="D11" s="259"/>
    </row>
    <row r="12" spans="1:12" s="57" customFormat="1">
      <c r="B12" s="48" t="s">
        <v>270</v>
      </c>
      <c r="C12" s="260">
        <v>29230</v>
      </c>
      <c r="D12" s="72" t="s">
        <v>61</v>
      </c>
    </row>
    <row r="13" spans="1:12" s="67" customFormat="1">
      <c r="B13" s="66" t="s">
        <v>86</v>
      </c>
      <c r="C13" s="8">
        <v>29230</v>
      </c>
      <c r="D13" s="63" t="s">
        <v>61</v>
      </c>
    </row>
    <row r="14" spans="1:12" s="67" customFormat="1">
      <c r="B14" s="66" t="s">
        <v>265</v>
      </c>
      <c r="C14" s="8">
        <v>286</v>
      </c>
      <c r="D14" s="374" t="s">
        <v>266</v>
      </c>
    </row>
    <row r="15" spans="1:12" s="67" customFormat="1">
      <c r="B15" s="66" t="s">
        <v>267</v>
      </c>
      <c r="C15" s="258">
        <v>5.1499999999999997E-2</v>
      </c>
      <c r="D15" s="374"/>
    </row>
    <row r="16" spans="1:12" s="67" customFormat="1">
      <c r="B16" s="66" t="s">
        <v>268</v>
      </c>
      <c r="C16" s="258">
        <v>0.18</v>
      </c>
      <c r="D16" s="374"/>
    </row>
    <row r="17" spans="1:4" s="67" customFormat="1">
      <c r="B17" s="66" t="s">
        <v>269</v>
      </c>
      <c r="C17" s="8">
        <f>(C14*(1+C15))*(1+C16)</f>
        <v>354.86022000000003</v>
      </c>
      <c r="D17" s="374" t="s">
        <v>266</v>
      </c>
    </row>
    <row r="18" spans="1:4" s="67" customFormat="1">
      <c r="B18" s="66" t="s">
        <v>375</v>
      </c>
      <c r="C18" s="8">
        <v>75</v>
      </c>
      <c r="D18" s="374" t="s">
        <v>376</v>
      </c>
    </row>
    <row r="19" spans="1:4" s="67" customFormat="1">
      <c r="B19" s="261" t="s">
        <v>374</v>
      </c>
      <c r="C19" s="262">
        <v>2200</v>
      </c>
      <c r="D19" s="267" t="s">
        <v>61</v>
      </c>
    </row>
    <row r="20" spans="1:4" s="57" customFormat="1">
      <c r="B20" s="62"/>
      <c r="C20" s="8">
        <f>C17*C18+C19</f>
        <v>28814.516500000002</v>
      </c>
      <c r="D20" s="63" t="s">
        <v>61</v>
      </c>
    </row>
    <row r="21" spans="1:4" s="67" customFormat="1">
      <c r="B21" s="58"/>
      <c r="C21" s="27"/>
      <c r="D21" s="19"/>
    </row>
    <row r="22" spans="1:4" s="44" customFormat="1">
      <c r="A22" s="44">
        <v>3</v>
      </c>
      <c r="B22" s="48" t="s">
        <v>71</v>
      </c>
      <c r="C22" s="27"/>
      <c r="D22" s="19"/>
    </row>
    <row r="23" spans="1:4" s="44" customFormat="1">
      <c r="B23" s="46" t="s">
        <v>72</v>
      </c>
      <c r="C23" s="28">
        <v>0.8</v>
      </c>
      <c r="D23" s="19"/>
    </row>
    <row r="24" spans="1:4" s="44" customFormat="1">
      <c r="B24" s="46" t="s">
        <v>73</v>
      </c>
      <c r="C24" s="28">
        <v>0.9</v>
      </c>
      <c r="D24" s="19"/>
    </row>
    <row r="25" spans="1:4" s="44" customFormat="1">
      <c r="B25" s="46" t="s">
        <v>74</v>
      </c>
      <c r="C25" s="28">
        <v>1</v>
      </c>
      <c r="D25" s="19"/>
    </row>
    <row r="26" spans="1:4">
      <c r="C26" s="9"/>
      <c r="D26" s="10"/>
    </row>
    <row r="27" spans="1:4">
      <c r="B27" s="5" t="s">
        <v>20</v>
      </c>
      <c r="C27" s="7">
        <v>330</v>
      </c>
      <c r="D27" s="7" t="s">
        <v>21</v>
      </c>
    </row>
    <row r="28" spans="1:4">
      <c r="C28" s="10"/>
      <c r="D28" s="10"/>
    </row>
    <row r="29" spans="1:4">
      <c r="B29" s="5" t="s">
        <v>22</v>
      </c>
      <c r="C29" s="95">
        <f>+'Project Cost'!I14</f>
        <v>43903.355242418358</v>
      </c>
      <c r="D29" s="7" t="s">
        <v>23</v>
      </c>
    </row>
    <row r="30" spans="1:4" s="67" customFormat="1">
      <c r="B30" s="62" t="s">
        <v>227</v>
      </c>
      <c r="C30" s="95">
        <f>+'Project Cost'!I15</f>
        <v>3314.6815624999995</v>
      </c>
      <c r="D30" s="63"/>
    </row>
    <row r="31" spans="1:4">
      <c r="B31" s="5" t="s">
        <v>24</v>
      </c>
      <c r="C31" s="8">
        <f>(C29*D31)</f>
        <v>0</v>
      </c>
      <c r="D31" s="11">
        <v>0</v>
      </c>
    </row>
    <row r="32" spans="1:4">
      <c r="A32" s="41">
        <v>4</v>
      </c>
      <c r="B32" s="31" t="s">
        <v>25</v>
      </c>
      <c r="C32" s="180">
        <f>+C29+C30+C31</f>
        <v>47218.03680491836</v>
      </c>
      <c r="D32" s="29" t="s">
        <v>23</v>
      </c>
    </row>
    <row r="33" spans="1:8" s="20" customFormat="1">
      <c r="A33" s="41"/>
      <c r="B33" s="21"/>
      <c r="C33" s="19"/>
      <c r="D33" s="19"/>
    </row>
    <row r="34" spans="1:8">
      <c r="A34" s="41">
        <v>5</v>
      </c>
      <c r="B34" s="99" t="s">
        <v>51</v>
      </c>
      <c r="C34" s="111" t="s">
        <v>52</v>
      </c>
      <c r="D34" s="111" t="s">
        <v>53</v>
      </c>
    </row>
    <row r="35" spans="1:8">
      <c r="B35" s="22" t="s">
        <v>49</v>
      </c>
      <c r="C35" s="11">
        <v>0.7</v>
      </c>
      <c r="D35" s="24">
        <f>C32*C35</f>
        <v>33052.625763442848</v>
      </c>
    </row>
    <row r="36" spans="1:8">
      <c r="B36" s="22" t="s">
        <v>50</v>
      </c>
      <c r="C36" s="11">
        <v>0.3</v>
      </c>
      <c r="D36" s="24">
        <f>C36*C32</f>
        <v>14165.411041475507</v>
      </c>
    </row>
    <row r="37" spans="1:8">
      <c r="B37" s="22" t="s">
        <v>54</v>
      </c>
      <c r="C37" s="11">
        <v>1</v>
      </c>
      <c r="D37" s="23">
        <f>SUM(D35:D36)</f>
        <v>47218.036804918353</v>
      </c>
    </row>
    <row r="39" spans="1:8">
      <c r="A39" s="41">
        <v>6</v>
      </c>
      <c r="B39" s="48" t="s">
        <v>55</v>
      </c>
      <c r="F39" s="13" t="s">
        <v>278</v>
      </c>
    </row>
    <row r="40" spans="1:8">
      <c r="B40" s="66" t="s">
        <v>449</v>
      </c>
      <c r="C40" s="263">
        <v>0.28749999999999998</v>
      </c>
      <c r="D40" s="66" t="s">
        <v>56</v>
      </c>
      <c r="F40" s="8">
        <f>+C40*$C$4*$C$27</f>
        <v>23718.75</v>
      </c>
    </row>
    <row r="41" spans="1:8" s="67" customFormat="1">
      <c r="B41" s="268" t="s">
        <v>281</v>
      </c>
      <c r="C41" s="259"/>
      <c r="D41" s="81"/>
    </row>
    <row r="42" spans="1:8" s="67" customFormat="1">
      <c r="B42" s="266" t="s">
        <v>279</v>
      </c>
      <c r="C42" s="261"/>
      <c r="D42" s="266"/>
      <c r="E42" s="261" t="s">
        <v>290</v>
      </c>
      <c r="G42" s="54"/>
    </row>
    <row r="43" spans="1:8" s="67" customFormat="1">
      <c r="B43" s="266" t="s">
        <v>280</v>
      </c>
      <c r="C43" s="267"/>
      <c r="D43" s="261"/>
      <c r="E43" s="261"/>
      <c r="G43" s="54"/>
    </row>
    <row r="44" spans="1:8">
      <c r="B44" s="261" t="s">
        <v>452</v>
      </c>
      <c r="C44" s="267">
        <v>1886</v>
      </c>
      <c r="D44" s="261" t="s">
        <v>284</v>
      </c>
      <c r="E44" s="261"/>
      <c r="G44">
        <f>150*330</f>
        <v>49500</v>
      </c>
      <c r="H44" s="54"/>
    </row>
    <row r="45" spans="1:8" s="67" customFormat="1">
      <c r="B45" s="261" t="s">
        <v>286</v>
      </c>
      <c r="C45" s="267">
        <v>8.34</v>
      </c>
      <c r="D45" s="261" t="s">
        <v>287</v>
      </c>
      <c r="E45" s="267">
        <v>3.5</v>
      </c>
      <c r="F45" s="67" t="s">
        <v>291</v>
      </c>
      <c r="G45" s="54">
        <f>F40+F49</f>
        <v>44805.75</v>
      </c>
    </row>
    <row r="46" spans="1:8" s="67" customFormat="1">
      <c r="B46" s="261" t="s">
        <v>288</v>
      </c>
      <c r="C46" s="267">
        <v>132.69999999999999</v>
      </c>
      <c r="D46" s="261" t="s">
        <v>289</v>
      </c>
      <c r="E46" s="267">
        <v>39.869999999999997</v>
      </c>
      <c r="F46" s="67" t="s">
        <v>292</v>
      </c>
    </row>
    <row r="47" spans="1:8" s="67" customFormat="1">
      <c r="B47" s="261" t="s">
        <v>453</v>
      </c>
      <c r="C47" s="267">
        <v>1.07</v>
      </c>
      <c r="D47" s="261" t="s">
        <v>56</v>
      </c>
      <c r="E47" s="267"/>
    </row>
    <row r="48" spans="1:8" s="67" customFormat="1">
      <c r="B48" s="261" t="s">
        <v>431</v>
      </c>
      <c r="C48" s="416">
        <v>-0.4</v>
      </c>
      <c r="D48" s="417" t="s">
        <v>56</v>
      </c>
      <c r="E48" s="416">
        <v>1000</v>
      </c>
      <c r="F48" s="418" t="s">
        <v>61</v>
      </c>
    </row>
    <row r="49" spans="2:6" s="67" customFormat="1">
      <c r="B49" s="425" t="s">
        <v>450</v>
      </c>
      <c r="C49" s="426">
        <v>0.21299999999999999</v>
      </c>
      <c r="D49" s="425" t="s">
        <v>56</v>
      </c>
      <c r="E49" s="426"/>
      <c r="F49" s="63">
        <f>+C49*$C$5*$C$27</f>
        <v>21087</v>
      </c>
    </row>
    <row r="50" spans="2:6" s="67" customFormat="1">
      <c r="B50" s="425" t="s">
        <v>451</v>
      </c>
      <c r="C50" s="426">
        <v>0.747</v>
      </c>
      <c r="D50" s="425" t="s">
        <v>56</v>
      </c>
      <c r="E50" s="426"/>
      <c r="F50" s="63">
        <f>+C50*$C$5*$C$27</f>
        <v>73953</v>
      </c>
    </row>
    <row r="51" spans="2:6" s="67" customFormat="1">
      <c r="B51" s="266" t="s">
        <v>448</v>
      </c>
      <c r="C51" s="261"/>
      <c r="D51" s="261"/>
      <c r="E51" s="261"/>
    </row>
    <row r="52" spans="2:6" s="67" customFormat="1">
      <c r="B52" s="261" t="s">
        <v>283</v>
      </c>
      <c r="C52" s="267">
        <v>50</v>
      </c>
      <c r="D52" s="261" t="s">
        <v>285</v>
      </c>
      <c r="E52" s="261"/>
    </row>
    <row r="53" spans="2:6" s="67" customFormat="1">
      <c r="B53" s="261" t="s">
        <v>286</v>
      </c>
      <c r="C53" s="267">
        <v>40</v>
      </c>
      <c r="D53" s="261" t="s">
        <v>287</v>
      </c>
      <c r="E53" s="267">
        <v>3.5</v>
      </c>
      <c r="F53" s="67" t="s">
        <v>291</v>
      </c>
    </row>
    <row r="54" spans="2:6" s="67" customFormat="1">
      <c r="B54" s="261" t="s">
        <v>293</v>
      </c>
      <c r="C54" s="416">
        <f>2.5*0</f>
        <v>0</v>
      </c>
      <c r="D54" s="261" t="s">
        <v>289</v>
      </c>
      <c r="E54" s="267">
        <v>37</v>
      </c>
      <c r="F54" s="67" t="s">
        <v>292</v>
      </c>
    </row>
    <row r="55" spans="2:6" s="67" customFormat="1">
      <c r="B55" s="261" t="s">
        <v>288</v>
      </c>
      <c r="C55" s="267">
        <v>0.73099999999999998</v>
      </c>
      <c r="D55" s="261" t="s">
        <v>289</v>
      </c>
      <c r="E55" s="267">
        <v>39.869999999999997</v>
      </c>
      <c r="F55" s="67" t="s">
        <v>292</v>
      </c>
    </row>
    <row r="56" spans="2:6" s="67" customFormat="1">
      <c r="B56" s="417" t="s">
        <v>432</v>
      </c>
      <c r="C56" s="416">
        <v>1.5</v>
      </c>
      <c r="D56" s="417" t="s">
        <v>56</v>
      </c>
      <c r="E56" s="416">
        <v>1000</v>
      </c>
      <c r="F56" s="67" t="s">
        <v>292</v>
      </c>
    </row>
    <row r="57" spans="2:6" s="67" customFormat="1"/>
    <row r="58" spans="2:6">
      <c r="B58" s="62" t="s">
        <v>62</v>
      </c>
      <c r="C58" s="366">
        <v>0.03</v>
      </c>
      <c r="D58" s="67" t="s">
        <v>379</v>
      </c>
    </row>
    <row r="59" spans="2:6" s="67" customFormat="1">
      <c r="B59" s="62"/>
      <c r="C59" s="366">
        <f>+C104</f>
        <v>0.03</v>
      </c>
      <c r="D59" s="81" t="s">
        <v>301</v>
      </c>
    </row>
    <row r="60" spans="2:6">
      <c r="C60" s="10"/>
    </row>
    <row r="61" spans="2:6">
      <c r="B61" s="13" t="s">
        <v>63</v>
      </c>
      <c r="C61" s="367"/>
    </row>
    <row r="62" spans="2:6" s="67" customFormat="1">
      <c r="B62" s="66" t="s">
        <v>294</v>
      </c>
      <c r="C62" s="11">
        <v>0.11</v>
      </c>
    </row>
    <row r="63" spans="2:6" s="67" customFormat="1">
      <c r="B63" s="66" t="s">
        <v>295</v>
      </c>
      <c r="C63" s="11">
        <v>0.09</v>
      </c>
    </row>
    <row r="64" spans="2:6">
      <c r="C64" s="10"/>
    </row>
    <row r="65" spans="2:4">
      <c r="B65" s="43" t="s">
        <v>64</v>
      </c>
      <c r="C65" s="368">
        <v>5.0000000000000001E-3</v>
      </c>
      <c r="D65" s="42" t="s">
        <v>65</v>
      </c>
    </row>
    <row r="66" spans="2:4" s="67" customFormat="1">
      <c r="B66" s="31" t="str">
        <f>+B199</f>
        <v>Treasury required buffer</v>
      </c>
      <c r="C66" s="180">
        <v>200</v>
      </c>
      <c r="D66" s="67" t="s">
        <v>373</v>
      </c>
    </row>
    <row r="67" spans="2:4">
      <c r="C67" s="10"/>
    </row>
    <row r="68" spans="2:4">
      <c r="B68" s="62" t="s">
        <v>66</v>
      </c>
      <c r="C68" s="8">
        <v>8</v>
      </c>
      <c r="D68" s="44" t="s">
        <v>67</v>
      </c>
    </row>
    <row r="69" spans="2:4" s="67" customFormat="1">
      <c r="B69" s="62" t="s">
        <v>296</v>
      </c>
      <c r="C69" s="28">
        <v>0.02</v>
      </c>
      <c r="D69" s="67" t="s">
        <v>297</v>
      </c>
    </row>
    <row r="70" spans="2:4" s="67" customFormat="1">
      <c r="B70" s="62" t="s">
        <v>298</v>
      </c>
      <c r="C70" s="28">
        <v>0.02</v>
      </c>
      <c r="D70" s="67" t="s">
        <v>297</v>
      </c>
    </row>
    <row r="71" spans="2:4" s="67" customFormat="1">
      <c r="B71" s="62" t="s">
        <v>299</v>
      </c>
      <c r="C71" s="28">
        <v>0.02</v>
      </c>
      <c r="D71" s="67" t="s">
        <v>300</v>
      </c>
    </row>
    <row r="72" spans="2:4" s="67" customFormat="1">
      <c r="B72" s="62" t="s">
        <v>415</v>
      </c>
      <c r="C72" s="28">
        <v>0</v>
      </c>
      <c r="D72" s="67" t="s">
        <v>297</v>
      </c>
    </row>
    <row r="73" spans="2:4" s="67" customFormat="1">
      <c r="C73" s="54"/>
    </row>
    <row r="74" spans="2:4" s="67" customFormat="1">
      <c r="B74" s="48" t="s">
        <v>118</v>
      </c>
      <c r="C74" s="54"/>
    </row>
    <row r="75" spans="2:4" s="67" customFormat="1">
      <c r="B75" s="94" t="s">
        <v>104</v>
      </c>
      <c r="C75" s="94" t="s">
        <v>105</v>
      </c>
      <c r="D75" s="94" t="s">
        <v>82</v>
      </c>
    </row>
    <row r="76" spans="2:4" s="67" customFormat="1">
      <c r="B76" s="70" t="s">
        <v>106</v>
      </c>
      <c r="C76" s="107">
        <v>1</v>
      </c>
      <c r="D76" s="80">
        <v>700000</v>
      </c>
    </row>
    <row r="77" spans="2:4" s="67" customFormat="1">
      <c r="B77" s="70" t="s">
        <v>107</v>
      </c>
      <c r="C77" s="107">
        <v>1</v>
      </c>
      <c r="D77" s="80">
        <v>400000</v>
      </c>
    </row>
    <row r="78" spans="2:4" s="67" customFormat="1">
      <c r="B78" s="70" t="s">
        <v>108</v>
      </c>
      <c r="C78" s="107">
        <v>4</v>
      </c>
      <c r="D78" s="80">
        <v>200000</v>
      </c>
    </row>
    <row r="79" spans="2:4" s="67" customFormat="1">
      <c r="B79" s="70" t="s">
        <v>109</v>
      </c>
      <c r="C79" s="107">
        <v>5</v>
      </c>
      <c r="D79" s="80">
        <v>125000</v>
      </c>
    </row>
    <row r="80" spans="2:4" s="67" customFormat="1">
      <c r="B80" s="70" t="s">
        <v>110</v>
      </c>
      <c r="C80" s="107">
        <v>15</v>
      </c>
      <c r="D80" s="80">
        <v>80000</v>
      </c>
    </row>
    <row r="81" spans="1:6" s="67" customFormat="1">
      <c r="B81" s="70" t="s">
        <v>111</v>
      </c>
      <c r="C81" s="107">
        <v>5</v>
      </c>
      <c r="D81" s="80">
        <v>30000</v>
      </c>
    </row>
    <row r="82" spans="1:6" s="67" customFormat="1">
      <c r="B82" s="73" t="s">
        <v>112</v>
      </c>
      <c r="C82" s="107">
        <v>0</v>
      </c>
      <c r="D82" s="80">
        <v>150000</v>
      </c>
    </row>
    <row r="83" spans="1:6" s="67" customFormat="1">
      <c r="B83" s="73" t="s">
        <v>113</v>
      </c>
      <c r="C83" s="107">
        <v>0</v>
      </c>
      <c r="D83" s="80">
        <v>100000</v>
      </c>
    </row>
    <row r="84" spans="1:6" s="67" customFormat="1">
      <c r="B84" s="73" t="s">
        <v>114</v>
      </c>
      <c r="C84" s="107">
        <v>0</v>
      </c>
      <c r="D84" s="80">
        <v>150000</v>
      </c>
    </row>
    <row r="85" spans="1:6" s="67" customFormat="1">
      <c r="B85" s="70" t="s">
        <v>54</v>
      </c>
      <c r="C85" s="107">
        <f>SUM(C76:C84)</f>
        <v>31</v>
      </c>
      <c r="D85" s="113">
        <f>SUMPRODUCT(C76:C84,D76:D84)</f>
        <v>3875000</v>
      </c>
    </row>
    <row r="86" spans="1:6" s="67" customFormat="1">
      <c r="B86" s="70" t="s">
        <v>115</v>
      </c>
      <c r="C86" s="93"/>
      <c r="D86" s="113">
        <f>D85/100000</f>
        <v>38.75</v>
      </c>
    </row>
    <row r="87" spans="1:6" s="67" customFormat="1">
      <c r="B87" s="70" t="s">
        <v>116</v>
      </c>
      <c r="C87" s="93"/>
      <c r="D87" s="93">
        <f>D86*12</f>
        <v>465</v>
      </c>
    </row>
    <row r="88" spans="1:6" s="53" customFormat="1">
      <c r="C88" s="54"/>
    </row>
    <row r="89" spans="1:6" s="67" customFormat="1">
      <c r="B89" s="371" t="s">
        <v>102</v>
      </c>
      <c r="C89" s="372">
        <f>(0.95/20)</f>
        <v>4.7500000000000001E-2</v>
      </c>
      <c r="D89" s="373" t="s">
        <v>377</v>
      </c>
    </row>
    <row r="90" spans="1:6" s="67" customFormat="1">
      <c r="B90" s="100" t="s">
        <v>119</v>
      </c>
      <c r="C90" s="262">
        <v>0</v>
      </c>
      <c r="D90" s="267" t="s">
        <v>61</v>
      </c>
    </row>
    <row r="91" spans="1:6" s="67" customFormat="1">
      <c r="B91" s="100" t="s">
        <v>271</v>
      </c>
      <c r="C91" s="339">
        <v>0</v>
      </c>
      <c r="D91" s="267" t="s">
        <v>61</v>
      </c>
    </row>
    <row r="92" spans="1:6" s="67" customFormat="1">
      <c r="B92" s="100" t="s">
        <v>371</v>
      </c>
      <c r="C92" s="339">
        <v>0</v>
      </c>
      <c r="D92" s="267" t="s">
        <v>61</v>
      </c>
    </row>
    <row r="93" spans="1:6" s="67" customFormat="1">
      <c r="B93" s="186"/>
      <c r="C93" s="87"/>
    </row>
    <row r="94" spans="1:6" s="67" customFormat="1">
      <c r="A94" s="85" t="s">
        <v>103</v>
      </c>
      <c r="B94" s="181" t="s">
        <v>207</v>
      </c>
      <c r="C94" s="185" t="s">
        <v>208</v>
      </c>
      <c r="D94" s="185" t="s">
        <v>209</v>
      </c>
    </row>
    <row r="95" spans="1:6" s="67" customFormat="1">
      <c r="A95" s="135">
        <v>1</v>
      </c>
      <c r="B95" s="84" t="s">
        <v>210</v>
      </c>
      <c r="C95" s="96">
        <v>0.3</v>
      </c>
      <c r="D95" s="96">
        <v>0.15</v>
      </c>
      <c r="F95" s="13"/>
    </row>
    <row r="96" spans="1:6" s="67" customFormat="1">
      <c r="A96" s="135">
        <v>2</v>
      </c>
      <c r="B96" s="84" t="s">
        <v>211</v>
      </c>
      <c r="C96" s="96">
        <v>0.12</v>
      </c>
      <c r="D96" s="96">
        <v>0.12</v>
      </c>
    </row>
    <row r="97" spans="1:22" s="67" customFormat="1">
      <c r="A97" s="135">
        <v>3</v>
      </c>
      <c r="B97" s="84" t="s">
        <v>212</v>
      </c>
      <c r="C97" s="96">
        <v>0.04</v>
      </c>
      <c r="D97" s="96">
        <v>0.04</v>
      </c>
    </row>
    <row r="98" spans="1:22" s="67" customFormat="1">
      <c r="A98" s="135">
        <v>4</v>
      </c>
      <c r="B98" s="84" t="s">
        <v>54</v>
      </c>
      <c r="C98" s="422">
        <f>+C95*(1+C96)*(1+C97)</f>
        <v>0.34944000000000003</v>
      </c>
      <c r="D98" s="422">
        <f>+D95*(1+D96)*(1+D97)</f>
        <v>0.17472000000000001</v>
      </c>
    </row>
    <row r="99" spans="1:22" s="67" customFormat="1">
      <c r="C99" s="54"/>
    </row>
    <row r="100" spans="1:22" s="53" customFormat="1">
      <c r="A100" s="53">
        <v>15</v>
      </c>
      <c r="B100" s="48" t="s">
        <v>78</v>
      </c>
      <c r="C100" s="33"/>
    </row>
    <row r="101" spans="1:22" s="53" customFormat="1">
      <c r="B101" s="66" t="s">
        <v>89</v>
      </c>
      <c r="C101" s="36">
        <v>0</v>
      </c>
    </row>
    <row r="102" spans="1:22" s="53" customFormat="1">
      <c r="B102" s="50" t="s">
        <v>79</v>
      </c>
      <c r="C102" s="36">
        <v>0</v>
      </c>
    </row>
    <row r="103" spans="1:22" s="53" customFormat="1">
      <c r="B103" s="50" t="s">
        <v>80</v>
      </c>
      <c r="C103" s="36">
        <v>0</v>
      </c>
    </row>
    <row r="104" spans="1:22" s="53" customFormat="1">
      <c r="B104" s="369" t="s">
        <v>81</v>
      </c>
      <c r="C104" s="370">
        <v>0.03</v>
      </c>
    </row>
    <row r="105" spans="1:22" s="53" customFormat="1">
      <c r="B105" s="369" t="s">
        <v>82</v>
      </c>
      <c r="C105" s="370">
        <v>0.05</v>
      </c>
    </row>
    <row r="106" spans="1:22" hidden="1">
      <c r="B106" s="50" t="s">
        <v>83</v>
      </c>
      <c r="C106" s="264">
        <v>0</v>
      </c>
    </row>
    <row r="109" spans="1:22" ht="18.75">
      <c r="A109" s="432" t="s">
        <v>68</v>
      </c>
      <c r="B109" s="433"/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33"/>
      <c r="P109" s="433"/>
      <c r="Q109" s="433"/>
      <c r="R109" s="433"/>
      <c r="S109" s="433"/>
      <c r="T109" s="433"/>
      <c r="U109" s="433"/>
      <c r="V109" s="433"/>
    </row>
    <row r="110" spans="1:22">
      <c r="A110" s="47" t="s">
        <v>69</v>
      </c>
      <c r="B110" s="40" t="s">
        <v>70</v>
      </c>
      <c r="C110" s="47">
        <v>1</v>
      </c>
      <c r="D110" s="47">
        <v>2</v>
      </c>
      <c r="E110" s="47">
        <v>3</v>
      </c>
      <c r="F110" s="47">
        <v>4</v>
      </c>
      <c r="G110" s="47">
        <v>5</v>
      </c>
      <c r="H110" s="47">
        <v>6</v>
      </c>
      <c r="I110" s="47">
        <v>7</v>
      </c>
      <c r="J110" s="47">
        <v>8</v>
      </c>
      <c r="K110" s="47">
        <v>9</v>
      </c>
      <c r="L110" s="47">
        <v>10</v>
      </c>
      <c r="M110" s="47">
        <v>11</v>
      </c>
      <c r="N110" s="47">
        <v>12</v>
      </c>
      <c r="O110" s="47">
        <v>13</v>
      </c>
      <c r="P110" s="47">
        <v>14</v>
      </c>
      <c r="Q110" s="47">
        <v>15</v>
      </c>
      <c r="R110" s="47">
        <f>+Q110+1</f>
        <v>16</v>
      </c>
      <c r="S110" s="47">
        <f t="shared" ref="S110:V110" si="0">+R110+1</f>
        <v>17</v>
      </c>
      <c r="T110" s="47">
        <f t="shared" si="0"/>
        <v>18</v>
      </c>
      <c r="U110" s="47">
        <f t="shared" si="0"/>
        <v>19</v>
      </c>
      <c r="V110" s="47">
        <f t="shared" si="0"/>
        <v>20</v>
      </c>
    </row>
    <row r="111" spans="1:22">
      <c r="A111" s="45"/>
      <c r="B111" s="45"/>
      <c r="C111" s="34">
        <f>C23</f>
        <v>0.8</v>
      </c>
      <c r="D111" s="39">
        <f>C24</f>
        <v>0.9</v>
      </c>
      <c r="E111" s="39">
        <f>$C$25</f>
        <v>1</v>
      </c>
      <c r="F111" s="39">
        <f t="shared" ref="F111:V111" si="1">$C$25</f>
        <v>1</v>
      </c>
      <c r="G111" s="39">
        <f t="shared" si="1"/>
        <v>1</v>
      </c>
      <c r="H111" s="39">
        <f t="shared" si="1"/>
        <v>1</v>
      </c>
      <c r="I111" s="39">
        <f t="shared" si="1"/>
        <v>1</v>
      </c>
      <c r="J111" s="39">
        <f t="shared" si="1"/>
        <v>1</v>
      </c>
      <c r="K111" s="39">
        <f t="shared" si="1"/>
        <v>1</v>
      </c>
      <c r="L111" s="39">
        <f t="shared" si="1"/>
        <v>1</v>
      </c>
      <c r="M111" s="39">
        <f t="shared" si="1"/>
        <v>1</v>
      </c>
      <c r="N111" s="39">
        <f t="shared" si="1"/>
        <v>1</v>
      </c>
      <c r="O111" s="39">
        <f t="shared" si="1"/>
        <v>1</v>
      </c>
      <c r="P111" s="39">
        <f t="shared" si="1"/>
        <v>1</v>
      </c>
      <c r="Q111" s="39">
        <f t="shared" si="1"/>
        <v>1</v>
      </c>
      <c r="R111" s="39">
        <f t="shared" si="1"/>
        <v>1</v>
      </c>
      <c r="S111" s="39">
        <f t="shared" si="1"/>
        <v>1</v>
      </c>
      <c r="T111" s="39">
        <f t="shared" si="1"/>
        <v>1</v>
      </c>
      <c r="U111" s="39">
        <f t="shared" si="1"/>
        <v>1</v>
      </c>
      <c r="V111" s="39">
        <f t="shared" si="1"/>
        <v>1</v>
      </c>
    </row>
    <row r="112" spans="1:22" s="67" customFormat="1">
      <c r="A112" s="62"/>
      <c r="B112" s="271" t="s">
        <v>303</v>
      </c>
      <c r="C112" s="272">
        <f>+C111*$E$4</f>
        <v>66000</v>
      </c>
      <c r="D112" s="272">
        <f t="shared" ref="D112:Q112" si="2">+D111*$E$4</f>
        <v>74250</v>
      </c>
      <c r="E112" s="272">
        <f t="shared" si="2"/>
        <v>82500</v>
      </c>
      <c r="F112" s="272">
        <f t="shared" si="2"/>
        <v>82500</v>
      </c>
      <c r="G112" s="272">
        <f t="shared" si="2"/>
        <v>82500</v>
      </c>
      <c r="H112" s="272">
        <f t="shared" si="2"/>
        <v>82500</v>
      </c>
      <c r="I112" s="272">
        <f t="shared" si="2"/>
        <v>82500</v>
      </c>
      <c r="J112" s="272">
        <f t="shared" si="2"/>
        <v>82500</v>
      </c>
      <c r="K112" s="272">
        <f t="shared" si="2"/>
        <v>82500</v>
      </c>
      <c r="L112" s="272">
        <f t="shared" si="2"/>
        <v>82500</v>
      </c>
      <c r="M112" s="272">
        <f t="shared" si="2"/>
        <v>82500</v>
      </c>
      <c r="N112" s="272">
        <f t="shared" si="2"/>
        <v>82500</v>
      </c>
      <c r="O112" s="272">
        <f t="shared" si="2"/>
        <v>82500</v>
      </c>
      <c r="P112" s="272">
        <f t="shared" si="2"/>
        <v>82500</v>
      </c>
      <c r="Q112" s="272">
        <f t="shared" si="2"/>
        <v>82500</v>
      </c>
      <c r="R112" s="272">
        <f t="shared" ref="R112:V112" si="3">+R111*$E$4</f>
        <v>82500</v>
      </c>
      <c r="S112" s="272">
        <f t="shared" si="3"/>
        <v>82500</v>
      </c>
      <c r="T112" s="272">
        <f t="shared" si="3"/>
        <v>82500</v>
      </c>
      <c r="U112" s="272">
        <f t="shared" si="3"/>
        <v>82500</v>
      </c>
      <c r="V112" s="272">
        <f t="shared" si="3"/>
        <v>82500</v>
      </c>
    </row>
    <row r="113" spans="1:22">
      <c r="A113" s="38">
        <v>1</v>
      </c>
      <c r="B113" s="30" t="s">
        <v>75</v>
      </c>
      <c r="R113" s="67"/>
      <c r="S113" s="67"/>
      <c r="T113" s="67"/>
      <c r="U113" s="67"/>
      <c r="V113" s="67"/>
    </row>
    <row r="114" spans="1:22">
      <c r="B114" s="65" t="s">
        <v>302</v>
      </c>
      <c r="C114" s="63">
        <f>+C111*$F$4</f>
        <v>6837.6</v>
      </c>
      <c r="D114" s="8">
        <f t="shared" ref="D114:Q114" si="4">+D111*$F$4</f>
        <v>7692.3</v>
      </c>
      <c r="E114" s="63">
        <f t="shared" si="4"/>
        <v>8547</v>
      </c>
      <c r="F114" s="63">
        <f t="shared" si="4"/>
        <v>8547</v>
      </c>
      <c r="G114" s="63">
        <f t="shared" si="4"/>
        <v>8547</v>
      </c>
      <c r="H114" s="63">
        <f t="shared" si="4"/>
        <v>8547</v>
      </c>
      <c r="I114" s="63">
        <f t="shared" si="4"/>
        <v>8547</v>
      </c>
      <c r="J114" s="63">
        <f t="shared" si="4"/>
        <v>8547</v>
      </c>
      <c r="K114" s="63">
        <f t="shared" si="4"/>
        <v>8547</v>
      </c>
      <c r="L114" s="63">
        <f t="shared" si="4"/>
        <v>8547</v>
      </c>
      <c r="M114" s="63">
        <f t="shared" si="4"/>
        <v>8547</v>
      </c>
      <c r="N114" s="63">
        <f t="shared" si="4"/>
        <v>8547</v>
      </c>
      <c r="O114" s="63">
        <f t="shared" si="4"/>
        <v>8547</v>
      </c>
      <c r="P114" s="63">
        <f t="shared" si="4"/>
        <v>8547</v>
      </c>
      <c r="Q114" s="63">
        <f t="shared" si="4"/>
        <v>8547</v>
      </c>
      <c r="R114" s="63">
        <f t="shared" ref="R114:V114" si="5">+R111*$F$4</f>
        <v>8547</v>
      </c>
      <c r="S114" s="63">
        <f t="shared" si="5"/>
        <v>8547</v>
      </c>
      <c r="T114" s="63">
        <f t="shared" si="5"/>
        <v>8547</v>
      </c>
      <c r="U114" s="63">
        <f t="shared" si="5"/>
        <v>8547</v>
      </c>
      <c r="V114" s="63">
        <f t="shared" si="5"/>
        <v>8547</v>
      </c>
    </row>
    <row r="115" spans="1:22">
      <c r="B115" s="65" t="s">
        <v>77</v>
      </c>
      <c r="C115" s="63">
        <f>C111*$F$5</f>
        <v>79200</v>
      </c>
      <c r="D115" s="63">
        <f t="shared" ref="D115:Q115" si="6">D111*$F$5</f>
        <v>89100</v>
      </c>
      <c r="E115" s="63">
        <f t="shared" si="6"/>
        <v>99000</v>
      </c>
      <c r="F115" s="63">
        <f t="shared" si="6"/>
        <v>99000</v>
      </c>
      <c r="G115" s="63">
        <f t="shared" si="6"/>
        <v>99000</v>
      </c>
      <c r="H115" s="63">
        <f t="shared" si="6"/>
        <v>99000</v>
      </c>
      <c r="I115" s="63">
        <f t="shared" si="6"/>
        <v>99000</v>
      </c>
      <c r="J115" s="63">
        <f t="shared" si="6"/>
        <v>99000</v>
      </c>
      <c r="K115" s="63">
        <f t="shared" si="6"/>
        <v>99000</v>
      </c>
      <c r="L115" s="63">
        <f t="shared" si="6"/>
        <v>99000</v>
      </c>
      <c r="M115" s="63">
        <f t="shared" si="6"/>
        <v>99000</v>
      </c>
      <c r="N115" s="63">
        <f t="shared" si="6"/>
        <v>99000</v>
      </c>
      <c r="O115" s="63">
        <f t="shared" si="6"/>
        <v>99000</v>
      </c>
      <c r="P115" s="63">
        <f t="shared" si="6"/>
        <v>99000</v>
      </c>
      <c r="Q115" s="63">
        <f t="shared" si="6"/>
        <v>99000</v>
      </c>
      <c r="R115" s="63">
        <f t="shared" ref="R115:V115" si="7">R111*$F$5</f>
        <v>99000</v>
      </c>
      <c r="S115" s="63">
        <f t="shared" si="7"/>
        <v>99000</v>
      </c>
      <c r="T115" s="63">
        <f t="shared" si="7"/>
        <v>99000</v>
      </c>
      <c r="U115" s="63">
        <f t="shared" si="7"/>
        <v>99000</v>
      </c>
      <c r="V115" s="63">
        <f t="shared" si="7"/>
        <v>99000</v>
      </c>
    </row>
    <row r="116" spans="1:22" s="57" customFormat="1">
      <c r="B116" s="65" t="s">
        <v>90</v>
      </c>
      <c r="C116" s="63">
        <f>SUM(C114:C115)</f>
        <v>86037.6</v>
      </c>
      <c r="D116" s="63">
        <f t="shared" ref="D116:Q116" si="8">SUM(D114:D115)</f>
        <v>96792.3</v>
      </c>
      <c r="E116" s="63">
        <f t="shared" si="8"/>
        <v>107547</v>
      </c>
      <c r="F116" s="63">
        <f t="shared" si="8"/>
        <v>107547</v>
      </c>
      <c r="G116" s="63">
        <f t="shared" si="8"/>
        <v>107547</v>
      </c>
      <c r="H116" s="63">
        <f t="shared" si="8"/>
        <v>107547</v>
      </c>
      <c r="I116" s="63">
        <f t="shared" si="8"/>
        <v>107547</v>
      </c>
      <c r="J116" s="63">
        <f t="shared" si="8"/>
        <v>107547</v>
      </c>
      <c r="K116" s="63">
        <f t="shared" si="8"/>
        <v>107547</v>
      </c>
      <c r="L116" s="63">
        <f t="shared" si="8"/>
        <v>107547</v>
      </c>
      <c r="M116" s="63">
        <f t="shared" si="8"/>
        <v>107547</v>
      </c>
      <c r="N116" s="63">
        <f t="shared" si="8"/>
        <v>107547</v>
      </c>
      <c r="O116" s="63">
        <f t="shared" si="8"/>
        <v>107547</v>
      </c>
      <c r="P116" s="63">
        <f t="shared" si="8"/>
        <v>107547</v>
      </c>
      <c r="Q116" s="63">
        <f t="shared" si="8"/>
        <v>107547</v>
      </c>
      <c r="R116" s="63">
        <f t="shared" ref="R116:V116" si="9">SUM(R114:R115)</f>
        <v>107547</v>
      </c>
      <c r="S116" s="63">
        <f t="shared" si="9"/>
        <v>107547</v>
      </c>
      <c r="T116" s="63">
        <f t="shared" si="9"/>
        <v>107547</v>
      </c>
      <c r="U116" s="63">
        <f t="shared" si="9"/>
        <v>107547</v>
      </c>
      <c r="V116" s="63">
        <f t="shared" si="9"/>
        <v>107547</v>
      </c>
    </row>
    <row r="117" spans="1:22">
      <c r="R117" s="67"/>
      <c r="S117" s="67"/>
      <c r="T117" s="67"/>
      <c r="U117" s="67"/>
      <c r="V117" s="67"/>
    </row>
    <row r="118" spans="1:22">
      <c r="A118" s="38">
        <v>2</v>
      </c>
      <c r="B118" s="60" t="s">
        <v>84</v>
      </c>
      <c r="R118" s="67"/>
      <c r="S118" s="67"/>
      <c r="T118" s="67"/>
      <c r="U118" s="67"/>
      <c r="V118" s="67"/>
    </row>
    <row r="119" spans="1:22">
      <c r="B119" s="65" t="s">
        <v>76</v>
      </c>
      <c r="C119" s="63">
        <f>$C$8</f>
        <v>18500</v>
      </c>
      <c r="D119" s="63">
        <f>$C$8*(1+$C$103)</f>
        <v>18500</v>
      </c>
      <c r="E119" s="63">
        <f>$C$8*(1+$C$103)</f>
        <v>18500</v>
      </c>
      <c r="F119" s="63">
        <f>E119*(1+$C$103)</f>
        <v>18500</v>
      </c>
      <c r="G119" s="63">
        <f t="shared" ref="G119:Q119" si="10">F119*(1+$C$103)</f>
        <v>18500</v>
      </c>
      <c r="H119" s="63">
        <f t="shared" si="10"/>
        <v>18500</v>
      </c>
      <c r="I119" s="63">
        <f t="shared" si="10"/>
        <v>18500</v>
      </c>
      <c r="J119" s="63">
        <f t="shared" si="10"/>
        <v>18500</v>
      </c>
      <c r="K119" s="63">
        <f t="shared" si="10"/>
        <v>18500</v>
      </c>
      <c r="L119" s="63">
        <f t="shared" si="10"/>
        <v>18500</v>
      </c>
      <c r="M119" s="63">
        <f t="shared" si="10"/>
        <v>18500</v>
      </c>
      <c r="N119" s="63">
        <f t="shared" si="10"/>
        <v>18500</v>
      </c>
      <c r="O119" s="63">
        <f t="shared" si="10"/>
        <v>18500</v>
      </c>
      <c r="P119" s="63">
        <f t="shared" si="10"/>
        <v>18500</v>
      </c>
      <c r="Q119" s="63">
        <f t="shared" si="10"/>
        <v>18500</v>
      </c>
      <c r="R119" s="63">
        <f t="shared" ref="R119:R120" si="11">Q119*(1+$C$103)</f>
        <v>18500</v>
      </c>
      <c r="S119" s="63">
        <f t="shared" ref="S119:S120" si="12">R119*(1+$C$103)</f>
        <v>18500</v>
      </c>
      <c r="T119" s="63">
        <f t="shared" ref="T119:T120" si="13">S119*(1+$C$103)</f>
        <v>18500</v>
      </c>
      <c r="U119" s="63">
        <f t="shared" ref="U119:U120" si="14">T119*(1+$C$103)</f>
        <v>18500</v>
      </c>
      <c r="V119" s="63">
        <f t="shared" ref="V119:V120" si="15">U119*(1+$C$103)</f>
        <v>18500</v>
      </c>
    </row>
    <row r="120" spans="1:22">
      <c r="B120" s="65" t="s">
        <v>77</v>
      </c>
      <c r="C120" s="63">
        <f>$C$9</f>
        <v>24000</v>
      </c>
      <c r="D120" s="63">
        <f>$C$9*(1+$C$103)</f>
        <v>24000</v>
      </c>
      <c r="E120" s="63">
        <f>$C$9*(1+$C$103)</f>
        <v>24000</v>
      </c>
      <c r="F120" s="63">
        <f>E120*(1+$C$103)</f>
        <v>24000</v>
      </c>
      <c r="G120" s="63">
        <f t="shared" ref="G120:Q120" si="16">F120*(1+$C$103)</f>
        <v>24000</v>
      </c>
      <c r="H120" s="63">
        <f t="shared" si="16"/>
        <v>24000</v>
      </c>
      <c r="I120" s="63">
        <f t="shared" si="16"/>
        <v>24000</v>
      </c>
      <c r="J120" s="63">
        <f t="shared" si="16"/>
        <v>24000</v>
      </c>
      <c r="K120" s="63">
        <f t="shared" si="16"/>
        <v>24000</v>
      </c>
      <c r="L120" s="63">
        <f t="shared" si="16"/>
        <v>24000</v>
      </c>
      <c r="M120" s="63">
        <f t="shared" si="16"/>
        <v>24000</v>
      </c>
      <c r="N120" s="63">
        <f t="shared" si="16"/>
        <v>24000</v>
      </c>
      <c r="O120" s="63">
        <f t="shared" si="16"/>
        <v>24000</v>
      </c>
      <c r="P120" s="63">
        <f t="shared" si="16"/>
        <v>24000</v>
      </c>
      <c r="Q120" s="63">
        <f t="shared" si="16"/>
        <v>24000</v>
      </c>
      <c r="R120" s="63">
        <f t="shared" si="11"/>
        <v>24000</v>
      </c>
      <c r="S120" s="63">
        <f t="shared" si="12"/>
        <v>24000</v>
      </c>
      <c r="T120" s="63">
        <f t="shared" si="13"/>
        <v>24000</v>
      </c>
      <c r="U120" s="63">
        <f t="shared" si="14"/>
        <v>24000</v>
      </c>
      <c r="V120" s="63">
        <f t="shared" si="15"/>
        <v>24000</v>
      </c>
    </row>
    <row r="121" spans="1:22">
      <c r="R121" s="67"/>
      <c r="S121" s="67"/>
      <c r="T121" s="67"/>
      <c r="U121" s="67"/>
      <c r="V121" s="67"/>
    </row>
    <row r="122" spans="1:22">
      <c r="A122" s="38">
        <v>3</v>
      </c>
      <c r="B122" s="60" t="s">
        <v>87</v>
      </c>
      <c r="C122" s="8">
        <f>SUMPRODUCT(C114:C115,C119:C120)/100000</f>
        <v>20272.955999999998</v>
      </c>
      <c r="D122" s="8">
        <f t="shared" ref="D122:Q122" si="17">SUMPRODUCT(D114:D115,D119:D120)/100000</f>
        <v>22807.075499999999</v>
      </c>
      <c r="E122" s="8">
        <f t="shared" si="17"/>
        <v>25341.195</v>
      </c>
      <c r="F122" s="8">
        <f t="shared" si="17"/>
        <v>25341.195</v>
      </c>
      <c r="G122" s="8">
        <f t="shared" si="17"/>
        <v>25341.195</v>
      </c>
      <c r="H122" s="8">
        <f t="shared" si="17"/>
        <v>25341.195</v>
      </c>
      <c r="I122" s="8">
        <f t="shared" si="17"/>
        <v>25341.195</v>
      </c>
      <c r="J122" s="8">
        <f t="shared" si="17"/>
        <v>25341.195</v>
      </c>
      <c r="K122" s="8">
        <f t="shared" si="17"/>
        <v>25341.195</v>
      </c>
      <c r="L122" s="8">
        <f t="shared" si="17"/>
        <v>25341.195</v>
      </c>
      <c r="M122" s="8">
        <f t="shared" si="17"/>
        <v>25341.195</v>
      </c>
      <c r="N122" s="8">
        <f t="shared" si="17"/>
        <v>25341.195</v>
      </c>
      <c r="O122" s="8">
        <f t="shared" si="17"/>
        <v>25341.195</v>
      </c>
      <c r="P122" s="8">
        <f t="shared" si="17"/>
        <v>25341.195</v>
      </c>
      <c r="Q122" s="8">
        <f t="shared" si="17"/>
        <v>25341.195</v>
      </c>
      <c r="R122" s="8">
        <f t="shared" ref="R122:V122" si="18">SUMPRODUCT(R114:R115,R119:R120)/100000</f>
        <v>25341.195</v>
      </c>
      <c r="S122" s="8">
        <f t="shared" si="18"/>
        <v>25341.195</v>
      </c>
      <c r="T122" s="8">
        <f t="shared" si="18"/>
        <v>25341.195</v>
      </c>
      <c r="U122" s="8">
        <f t="shared" si="18"/>
        <v>25341.195</v>
      </c>
      <c r="V122" s="8">
        <f t="shared" si="18"/>
        <v>25341.195</v>
      </c>
    </row>
    <row r="123" spans="1:22" s="61" customFormat="1">
      <c r="A123" s="51"/>
      <c r="B123" s="32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>
      <c r="B124" s="60" t="s">
        <v>95</v>
      </c>
      <c r="R124" s="67"/>
      <c r="S124" s="67"/>
      <c r="T124" s="67"/>
      <c r="U124" s="67"/>
      <c r="V124" s="67"/>
    </row>
    <row r="125" spans="1:22">
      <c r="A125" s="38">
        <v>4</v>
      </c>
      <c r="B125" s="30" t="s">
        <v>88</v>
      </c>
      <c r="R125" s="67"/>
      <c r="S125" s="67"/>
      <c r="T125" s="67"/>
      <c r="U125" s="67"/>
      <c r="V125" s="67"/>
    </row>
    <row r="126" spans="1:22">
      <c r="A126" s="57"/>
      <c r="B126" s="65" t="s">
        <v>89</v>
      </c>
      <c r="C126" s="8">
        <f>$C$12*$C$40*C112/100000</f>
        <v>5546.3924999999999</v>
      </c>
      <c r="D126" s="8">
        <f t="shared" ref="D126:Q126" si="19">$C$12*$C$40*D112/100000</f>
        <v>6239.6915625000001</v>
      </c>
      <c r="E126" s="8">
        <f t="shared" si="19"/>
        <v>6932.9906250000004</v>
      </c>
      <c r="F126" s="8">
        <f t="shared" si="19"/>
        <v>6932.9906250000004</v>
      </c>
      <c r="G126" s="8">
        <f t="shared" si="19"/>
        <v>6932.9906250000004</v>
      </c>
      <c r="H126" s="8">
        <f t="shared" si="19"/>
        <v>6932.9906250000004</v>
      </c>
      <c r="I126" s="8">
        <f t="shared" si="19"/>
        <v>6932.9906250000004</v>
      </c>
      <c r="J126" s="8">
        <f t="shared" si="19"/>
        <v>6932.9906250000004</v>
      </c>
      <c r="K126" s="8">
        <f t="shared" si="19"/>
        <v>6932.9906250000004</v>
      </c>
      <c r="L126" s="8">
        <f t="shared" si="19"/>
        <v>6932.9906250000004</v>
      </c>
      <c r="M126" s="8">
        <f t="shared" si="19"/>
        <v>6932.9906250000004</v>
      </c>
      <c r="N126" s="8">
        <f t="shared" si="19"/>
        <v>6932.9906250000004</v>
      </c>
      <c r="O126" s="8">
        <f t="shared" si="19"/>
        <v>6932.9906250000004</v>
      </c>
      <c r="P126" s="8">
        <f t="shared" si="19"/>
        <v>6932.9906250000004</v>
      </c>
      <c r="Q126" s="8">
        <f t="shared" si="19"/>
        <v>6932.9906250000004</v>
      </c>
      <c r="R126" s="8">
        <f t="shared" ref="R126:V126" si="20">$C$12*$C$40*R112/100000</f>
        <v>6932.9906250000004</v>
      </c>
      <c r="S126" s="8">
        <f t="shared" si="20"/>
        <v>6932.9906250000004</v>
      </c>
      <c r="T126" s="8">
        <f t="shared" si="20"/>
        <v>6932.9906250000004</v>
      </c>
      <c r="U126" s="8">
        <f t="shared" si="20"/>
        <v>6932.9906250000004</v>
      </c>
      <c r="V126" s="8">
        <f t="shared" si="20"/>
        <v>6932.9906250000004</v>
      </c>
    </row>
    <row r="127" spans="1:22" s="67" customFormat="1">
      <c r="B127" s="273" t="s">
        <v>280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s="67" customFormat="1">
      <c r="B128" s="65" t="s">
        <v>305</v>
      </c>
      <c r="C128" s="8">
        <f>+$C$44*C112/100000</f>
        <v>1244.76</v>
      </c>
      <c r="D128" s="8">
        <f t="shared" ref="D128:Q128" si="21">+$C$44*D112/100000</f>
        <v>1400.355</v>
      </c>
      <c r="E128" s="8">
        <f t="shared" si="21"/>
        <v>1555.95</v>
      </c>
      <c r="F128" s="8">
        <f t="shared" si="21"/>
        <v>1555.95</v>
      </c>
      <c r="G128" s="8">
        <f t="shared" si="21"/>
        <v>1555.95</v>
      </c>
      <c r="H128" s="8">
        <f t="shared" si="21"/>
        <v>1555.95</v>
      </c>
      <c r="I128" s="8">
        <f t="shared" si="21"/>
        <v>1555.95</v>
      </c>
      <c r="J128" s="8">
        <f t="shared" si="21"/>
        <v>1555.95</v>
      </c>
      <c r="K128" s="8">
        <f t="shared" si="21"/>
        <v>1555.95</v>
      </c>
      <c r="L128" s="8">
        <f t="shared" si="21"/>
        <v>1555.95</v>
      </c>
      <c r="M128" s="8">
        <f t="shared" si="21"/>
        <v>1555.95</v>
      </c>
      <c r="N128" s="8">
        <f t="shared" si="21"/>
        <v>1555.95</v>
      </c>
      <c r="O128" s="8">
        <f t="shared" si="21"/>
        <v>1555.95</v>
      </c>
      <c r="P128" s="8">
        <f t="shared" si="21"/>
        <v>1555.95</v>
      </c>
      <c r="Q128" s="8">
        <f t="shared" si="21"/>
        <v>1555.95</v>
      </c>
      <c r="R128" s="8">
        <f t="shared" ref="R128:V128" si="22">+$C$44*R112/100000</f>
        <v>1555.95</v>
      </c>
      <c r="S128" s="8">
        <f t="shared" si="22"/>
        <v>1555.95</v>
      </c>
      <c r="T128" s="8">
        <f t="shared" si="22"/>
        <v>1555.95</v>
      </c>
      <c r="U128" s="8">
        <f t="shared" si="22"/>
        <v>1555.95</v>
      </c>
      <c r="V128" s="8">
        <f t="shared" si="22"/>
        <v>1555.95</v>
      </c>
    </row>
    <row r="129" spans="2:22" s="67" customFormat="1">
      <c r="B129" s="65" t="s">
        <v>304</v>
      </c>
      <c r="C129" s="8">
        <f>+$C$45*$E$45*C112/100000</f>
        <v>19.265399999999996</v>
      </c>
      <c r="D129" s="8">
        <f t="shared" ref="D129:Q129" si="23">+$C$45*$E$45*D112/100000</f>
        <v>21.673575</v>
      </c>
      <c r="E129" s="8">
        <f t="shared" si="23"/>
        <v>24.08175</v>
      </c>
      <c r="F129" s="8">
        <f t="shared" si="23"/>
        <v>24.08175</v>
      </c>
      <c r="G129" s="8">
        <f t="shared" si="23"/>
        <v>24.08175</v>
      </c>
      <c r="H129" s="8">
        <f t="shared" si="23"/>
        <v>24.08175</v>
      </c>
      <c r="I129" s="8">
        <f t="shared" si="23"/>
        <v>24.08175</v>
      </c>
      <c r="J129" s="8">
        <f t="shared" si="23"/>
        <v>24.08175</v>
      </c>
      <c r="K129" s="8">
        <f t="shared" si="23"/>
        <v>24.08175</v>
      </c>
      <c r="L129" s="8">
        <f t="shared" si="23"/>
        <v>24.08175</v>
      </c>
      <c r="M129" s="8">
        <f t="shared" si="23"/>
        <v>24.08175</v>
      </c>
      <c r="N129" s="8">
        <f t="shared" si="23"/>
        <v>24.08175</v>
      </c>
      <c r="O129" s="8">
        <f t="shared" si="23"/>
        <v>24.08175</v>
      </c>
      <c r="P129" s="8">
        <f t="shared" si="23"/>
        <v>24.08175</v>
      </c>
      <c r="Q129" s="8">
        <f t="shared" si="23"/>
        <v>24.08175</v>
      </c>
      <c r="R129" s="8">
        <f t="shared" ref="R129:V129" si="24">+$C$45*$E$45*R112/100000</f>
        <v>24.08175</v>
      </c>
      <c r="S129" s="8">
        <f t="shared" si="24"/>
        <v>24.08175</v>
      </c>
      <c r="T129" s="8">
        <f t="shared" si="24"/>
        <v>24.08175</v>
      </c>
      <c r="U129" s="8">
        <f t="shared" si="24"/>
        <v>24.08175</v>
      </c>
      <c r="V129" s="8">
        <f t="shared" si="24"/>
        <v>24.08175</v>
      </c>
    </row>
    <row r="130" spans="2:22" s="67" customFormat="1">
      <c r="B130" s="65" t="s">
        <v>306</v>
      </c>
      <c r="C130" s="8">
        <f>+$C$46*$E$46*C112/100000</f>
        <v>3491.8943399999994</v>
      </c>
      <c r="D130" s="8">
        <f t="shared" ref="D130:P130" si="25">+$C$46*$E$46*D112/100000</f>
        <v>3928.3811324999992</v>
      </c>
      <c r="E130" s="8">
        <f t="shared" si="25"/>
        <v>4364.8679249999986</v>
      </c>
      <c r="F130" s="8">
        <f t="shared" si="25"/>
        <v>4364.8679249999986</v>
      </c>
      <c r="G130" s="8">
        <f t="shared" si="25"/>
        <v>4364.8679249999986</v>
      </c>
      <c r="H130" s="8">
        <f t="shared" si="25"/>
        <v>4364.8679249999986</v>
      </c>
      <c r="I130" s="8">
        <f t="shared" si="25"/>
        <v>4364.8679249999986</v>
      </c>
      <c r="J130" s="8">
        <f t="shared" si="25"/>
        <v>4364.8679249999986</v>
      </c>
      <c r="K130" s="8">
        <f t="shared" si="25"/>
        <v>4364.8679249999986</v>
      </c>
      <c r="L130" s="8">
        <f t="shared" si="25"/>
        <v>4364.8679249999986</v>
      </c>
      <c r="M130" s="8">
        <f t="shared" si="25"/>
        <v>4364.8679249999986</v>
      </c>
      <c r="N130" s="8">
        <f t="shared" si="25"/>
        <v>4364.8679249999986</v>
      </c>
      <c r="O130" s="8">
        <f t="shared" si="25"/>
        <v>4364.8679249999986</v>
      </c>
      <c r="P130" s="8">
        <f t="shared" si="25"/>
        <v>4364.8679249999986</v>
      </c>
      <c r="Q130" s="8">
        <f>+$C$46*$E$46*Q112/100000</f>
        <v>4364.8679249999986</v>
      </c>
      <c r="R130" s="8">
        <f t="shared" ref="R130:V130" si="26">+$C$46*$E$46*R112/100000</f>
        <v>4364.8679249999986</v>
      </c>
      <c r="S130" s="8">
        <f t="shared" si="26"/>
        <v>4364.8679249999986</v>
      </c>
      <c r="T130" s="8">
        <f t="shared" si="26"/>
        <v>4364.8679249999986</v>
      </c>
      <c r="U130" s="8">
        <f t="shared" si="26"/>
        <v>4364.8679249999986</v>
      </c>
      <c r="V130" s="8">
        <f t="shared" si="26"/>
        <v>4364.8679249999986</v>
      </c>
    </row>
    <row r="131" spans="2:22" s="67" customFormat="1">
      <c r="B131" s="419" t="s">
        <v>431</v>
      </c>
      <c r="C131" s="8">
        <f>$C$48*$E$48*C112/100000</f>
        <v>-264</v>
      </c>
      <c r="D131" s="8">
        <f t="shared" ref="D131:V131" si="27">$C$48*$E$48*D112/100000</f>
        <v>-297</v>
      </c>
      <c r="E131" s="8">
        <f t="shared" si="27"/>
        <v>-330</v>
      </c>
      <c r="F131" s="8">
        <f t="shared" si="27"/>
        <v>-330</v>
      </c>
      <c r="G131" s="8">
        <f t="shared" si="27"/>
        <v>-330</v>
      </c>
      <c r="H131" s="8">
        <f t="shared" si="27"/>
        <v>-330</v>
      </c>
      <c r="I131" s="8">
        <f t="shared" si="27"/>
        <v>-330</v>
      </c>
      <c r="J131" s="8">
        <f t="shared" si="27"/>
        <v>-330</v>
      </c>
      <c r="K131" s="8">
        <f t="shared" si="27"/>
        <v>-330</v>
      </c>
      <c r="L131" s="8">
        <f t="shared" si="27"/>
        <v>-330</v>
      </c>
      <c r="M131" s="8">
        <f t="shared" si="27"/>
        <v>-330</v>
      </c>
      <c r="N131" s="8">
        <f t="shared" si="27"/>
        <v>-330</v>
      </c>
      <c r="O131" s="8">
        <f t="shared" si="27"/>
        <v>-330</v>
      </c>
      <c r="P131" s="8">
        <f t="shared" si="27"/>
        <v>-330</v>
      </c>
      <c r="Q131" s="8">
        <f t="shared" si="27"/>
        <v>-330</v>
      </c>
      <c r="R131" s="8">
        <f t="shared" si="27"/>
        <v>-330</v>
      </c>
      <c r="S131" s="8">
        <f t="shared" si="27"/>
        <v>-330</v>
      </c>
      <c r="T131" s="8">
        <f t="shared" si="27"/>
        <v>-330</v>
      </c>
      <c r="U131" s="8">
        <f t="shared" si="27"/>
        <v>-330</v>
      </c>
      <c r="V131" s="8">
        <f t="shared" si="27"/>
        <v>-330</v>
      </c>
    </row>
    <row r="132" spans="2:22" s="67" customFormat="1">
      <c r="B132" s="273" t="s">
        <v>282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2:22" s="67" customFormat="1">
      <c r="B133" s="66" t="s">
        <v>283</v>
      </c>
      <c r="C133" s="8">
        <f>+$C$52*C115/100000</f>
        <v>39.6</v>
      </c>
      <c r="D133" s="8">
        <f t="shared" ref="D133:Q133" si="28">+$C$52*D115/100000</f>
        <v>44.55</v>
      </c>
      <c r="E133" s="8">
        <f t="shared" si="28"/>
        <v>49.5</v>
      </c>
      <c r="F133" s="8">
        <f t="shared" si="28"/>
        <v>49.5</v>
      </c>
      <c r="G133" s="8">
        <f t="shared" si="28"/>
        <v>49.5</v>
      </c>
      <c r="H133" s="8">
        <f t="shared" si="28"/>
        <v>49.5</v>
      </c>
      <c r="I133" s="8">
        <f t="shared" si="28"/>
        <v>49.5</v>
      </c>
      <c r="J133" s="8">
        <f t="shared" si="28"/>
        <v>49.5</v>
      </c>
      <c r="K133" s="8">
        <f t="shared" si="28"/>
        <v>49.5</v>
      </c>
      <c r="L133" s="8">
        <f t="shared" si="28"/>
        <v>49.5</v>
      </c>
      <c r="M133" s="8">
        <f t="shared" si="28"/>
        <v>49.5</v>
      </c>
      <c r="N133" s="8">
        <f t="shared" si="28"/>
        <v>49.5</v>
      </c>
      <c r="O133" s="8">
        <f t="shared" si="28"/>
        <v>49.5</v>
      </c>
      <c r="P133" s="8">
        <f t="shared" si="28"/>
        <v>49.5</v>
      </c>
      <c r="Q133" s="8">
        <f t="shared" si="28"/>
        <v>49.5</v>
      </c>
      <c r="R133" s="8">
        <f t="shared" ref="R133:V133" si="29">+$C$52*R115/100000</f>
        <v>49.5</v>
      </c>
      <c r="S133" s="8">
        <f t="shared" si="29"/>
        <v>49.5</v>
      </c>
      <c r="T133" s="8">
        <f t="shared" si="29"/>
        <v>49.5</v>
      </c>
      <c r="U133" s="8">
        <f t="shared" si="29"/>
        <v>49.5</v>
      </c>
      <c r="V133" s="8">
        <f t="shared" si="29"/>
        <v>49.5</v>
      </c>
    </row>
    <row r="134" spans="2:22" s="67" customFormat="1">
      <c r="B134" s="66" t="s">
        <v>286</v>
      </c>
      <c r="C134" s="8">
        <f>+$C$53*$E$53*C115/100000</f>
        <v>110.88</v>
      </c>
      <c r="D134" s="8">
        <f t="shared" ref="D134:Q134" si="30">+$C$53*$E$53*D115/100000</f>
        <v>124.74</v>
      </c>
      <c r="E134" s="8">
        <f t="shared" si="30"/>
        <v>138.6</v>
      </c>
      <c r="F134" s="8">
        <f t="shared" si="30"/>
        <v>138.6</v>
      </c>
      <c r="G134" s="8">
        <f t="shared" si="30"/>
        <v>138.6</v>
      </c>
      <c r="H134" s="8">
        <f t="shared" si="30"/>
        <v>138.6</v>
      </c>
      <c r="I134" s="8">
        <f t="shared" si="30"/>
        <v>138.6</v>
      </c>
      <c r="J134" s="8">
        <f t="shared" si="30"/>
        <v>138.6</v>
      </c>
      <c r="K134" s="8">
        <f t="shared" si="30"/>
        <v>138.6</v>
      </c>
      <c r="L134" s="8">
        <f t="shared" si="30"/>
        <v>138.6</v>
      </c>
      <c r="M134" s="8">
        <f t="shared" si="30"/>
        <v>138.6</v>
      </c>
      <c r="N134" s="8">
        <f t="shared" si="30"/>
        <v>138.6</v>
      </c>
      <c r="O134" s="8">
        <f t="shared" si="30"/>
        <v>138.6</v>
      </c>
      <c r="P134" s="8">
        <f t="shared" si="30"/>
        <v>138.6</v>
      </c>
      <c r="Q134" s="8">
        <f t="shared" si="30"/>
        <v>138.6</v>
      </c>
      <c r="R134" s="8">
        <f t="shared" ref="R134:V134" si="31">+$C$53*$E$53*R115/100000</f>
        <v>138.6</v>
      </c>
      <c r="S134" s="8">
        <f t="shared" si="31"/>
        <v>138.6</v>
      </c>
      <c r="T134" s="8">
        <f t="shared" si="31"/>
        <v>138.6</v>
      </c>
      <c r="U134" s="8">
        <f t="shared" si="31"/>
        <v>138.6</v>
      </c>
      <c r="V134" s="8">
        <f t="shared" si="31"/>
        <v>138.6</v>
      </c>
    </row>
    <row r="135" spans="2:22" s="67" customFormat="1">
      <c r="B135" s="66" t="s">
        <v>293</v>
      </c>
      <c r="C135" s="8">
        <f>+$C$54*$E$54*C115/100000</f>
        <v>0</v>
      </c>
      <c r="D135" s="8">
        <f t="shared" ref="D135:Q135" si="32">+$C$54*$E$54*D115/100000</f>
        <v>0</v>
      </c>
      <c r="E135" s="8">
        <f t="shared" si="32"/>
        <v>0</v>
      </c>
      <c r="F135" s="8">
        <f t="shared" si="32"/>
        <v>0</v>
      </c>
      <c r="G135" s="8">
        <f t="shared" si="32"/>
        <v>0</v>
      </c>
      <c r="H135" s="8">
        <f t="shared" si="32"/>
        <v>0</v>
      </c>
      <c r="I135" s="8">
        <f t="shared" si="32"/>
        <v>0</v>
      </c>
      <c r="J135" s="8">
        <f t="shared" si="32"/>
        <v>0</v>
      </c>
      <c r="K135" s="8">
        <f t="shared" si="32"/>
        <v>0</v>
      </c>
      <c r="L135" s="8">
        <f t="shared" si="32"/>
        <v>0</v>
      </c>
      <c r="M135" s="8">
        <f t="shared" si="32"/>
        <v>0</v>
      </c>
      <c r="N135" s="8">
        <f t="shared" si="32"/>
        <v>0</v>
      </c>
      <c r="O135" s="8">
        <f t="shared" si="32"/>
        <v>0</v>
      </c>
      <c r="P135" s="8">
        <f t="shared" si="32"/>
        <v>0</v>
      </c>
      <c r="Q135" s="8">
        <f t="shared" si="32"/>
        <v>0</v>
      </c>
      <c r="R135" s="8">
        <f t="shared" ref="R135:V135" si="33">+$C$54*$E$54*R115/100000</f>
        <v>0</v>
      </c>
      <c r="S135" s="8">
        <f t="shared" si="33"/>
        <v>0</v>
      </c>
      <c r="T135" s="8">
        <f t="shared" si="33"/>
        <v>0</v>
      </c>
      <c r="U135" s="8">
        <f t="shared" si="33"/>
        <v>0</v>
      </c>
      <c r="V135" s="8">
        <f t="shared" si="33"/>
        <v>0</v>
      </c>
    </row>
    <row r="136" spans="2:22" s="67" customFormat="1">
      <c r="B136" s="66" t="s">
        <v>288</v>
      </c>
      <c r="C136" s="8">
        <f>+$C$55*$E$55*C115/100000</f>
        <v>23.08281624</v>
      </c>
      <c r="D136" s="8">
        <f t="shared" ref="D136:Q136" si="34">+$C$55*$E$55*D115/100000</f>
        <v>25.968168269999996</v>
      </c>
      <c r="E136" s="8">
        <f t="shared" si="34"/>
        <v>28.8535203</v>
      </c>
      <c r="F136" s="8">
        <f t="shared" si="34"/>
        <v>28.8535203</v>
      </c>
      <c r="G136" s="8">
        <f t="shared" si="34"/>
        <v>28.8535203</v>
      </c>
      <c r="H136" s="8">
        <f t="shared" si="34"/>
        <v>28.8535203</v>
      </c>
      <c r="I136" s="8">
        <f t="shared" si="34"/>
        <v>28.8535203</v>
      </c>
      <c r="J136" s="8">
        <f t="shared" si="34"/>
        <v>28.8535203</v>
      </c>
      <c r="K136" s="8">
        <f t="shared" si="34"/>
        <v>28.8535203</v>
      </c>
      <c r="L136" s="8">
        <f t="shared" si="34"/>
        <v>28.8535203</v>
      </c>
      <c r="M136" s="8">
        <f t="shared" si="34"/>
        <v>28.8535203</v>
      </c>
      <c r="N136" s="8">
        <f t="shared" si="34"/>
        <v>28.8535203</v>
      </c>
      <c r="O136" s="8">
        <f t="shared" si="34"/>
        <v>28.8535203</v>
      </c>
      <c r="P136" s="8">
        <f t="shared" si="34"/>
        <v>28.8535203</v>
      </c>
      <c r="Q136" s="8">
        <f t="shared" si="34"/>
        <v>28.8535203</v>
      </c>
      <c r="R136" s="8">
        <f t="shared" ref="R136:V136" si="35">+$C$55*$E$55*R115/100000</f>
        <v>28.8535203</v>
      </c>
      <c r="S136" s="8">
        <f t="shared" si="35"/>
        <v>28.8535203</v>
      </c>
      <c r="T136" s="8">
        <f t="shared" si="35"/>
        <v>28.8535203</v>
      </c>
      <c r="U136" s="8">
        <f t="shared" si="35"/>
        <v>28.8535203</v>
      </c>
      <c r="V136" s="8">
        <f t="shared" si="35"/>
        <v>28.8535203</v>
      </c>
    </row>
    <row r="137" spans="2:22" s="67" customFormat="1">
      <c r="B137" s="419" t="s">
        <v>433</v>
      </c>
      <c r="C137" s="8">
        <f>$C$56*$E$56*C115/100000</f>
        <v>1188</v>
      </c>
      <c r="D137" s="8">
        <f t="shared" ref="D137:V137" si="36">$C$56*$E$56*D115/100000</f>
        <v>1336.5</v>
      </c>
      <c r="E137" s="8">
        <f t="shared" si="36"/>
        <v>1485</v>
      </c>
      <c r="F137" s="8">
        <f t="shared" si="36"/>
        <v>1485</v>
      </c>
      <c r="G137" s="8">
        <f t="shared" si="36"/>
        <v>1485</v>
      </c>
      <c r="H137" s="8">
        <f t="shared" si="36"/>
        <v>1485</v>
      </c>
      <c r="I137" s="8">
        <f t="shared" si="36"/>
        <v>1485</v>
      </c>
      <c r="J137" s="8">
        <f t="shared" si="36"/>
        <v>1485</v>
      </c>
      <c r="K137" s="8">
        <f t="shared" si="36"/>
        <v>1485</v>
      </c>
      <c r="L137" s="8">
        <f t="shared" si="36"/>
        <v>1485</v>
      </c>
      <c r="M137" s="8">
        <f t="shared" si="36"/>
        <v>1485</v>
      </c>
      <c r="N137" s="8">
        <f t="shared" si="36"/>
        <v>1485</v>
      </c>
      <c r="O137" s="8">
        <f t="shared" si="36"/>
        <v>1485</v>
      </c>
      <c r="P137" s="8">
        <f t="shared" si="36"/>
        <v>1485</v>
      </c>
      <c r="Q137" s="8">
        <f t="shared" si="36"/>
        <v>1485</v>
      </c>
      <c r="R137" s="8">
        <f t="shared" si="36"/>
        <v>1485</v>
      </c>
      <c r="S137" s="8">
        <f t="shared" si="36"/>
        <v>1485</v>
      </c>
      <c r="T137" s="8">
        <f t="shared" si="36"/>
        <v>1485</v>
      </c>
      <c r="U137" s="8">
        <f t="shared" si="36"/>
        <v>1485</v>
      </c>
      <c r="V137" s="8">
        <f t="shared" si="36"/>
        <v>1485</v>
      </c>
    </row>
    <row r="138" spans="2:22" hidden="1">
      <c r="B138" s="62" t="s">
        <v>57</v>
      </c>
      <c r="C138" s="8" t="e">
        <f>#REF!*#REF!*C116/100000</f>
        <v>#REF!</v>
      </c>
      <c r="D138" s="8" t="e">
        <f>#REF!*#REF!*D116*(1+$C$102)/100000</f>
        <v>#REF!</v>
      </c>
      <c r="E138" s="8" t="e">
        <f>#REF!*#REF!*E116*(1+$C$102)/100000</f>
        <v>#REF!</v>
      </c>
      <c r="F138" s="8" t="e">
        <f t="shared" ref="F138:F145" si="37">E138*(1+$C$102)</f>
        <v>#REF!</v>
      </c>
      <c r="G138" s="8" t="e">
        <f t="shared" ref="G138:Q138" si="38">F138*(1+$C$102)</f>
        <v>#REF!</v>
      </c>
      <c r="H138" s="8" t="e">
        <f t="shared" si="38"/>
        <v>#REF!</v>
      </c>
      <c r="I138" s="8" t="e">
        <f t="shared" si="38"/>
        <v>#REF!</v>
      </c>
      <c r="J138" s="8" t="e">
        <f t="shared" si="38"/>
        <v>#REF!</v>
      </c>
      <c r="K138" s="8" t="e">
        <f t="shared" si="38"/>
        <v>#REF!</v>
      </c>
      <c r="L138" s="8" t="e">
        <f t="shared" si="38"/>
        <v>#REF!</v>
      </c>
      <c r="M138" s="8" t="e">
        <f t="shared" si="38"/>
        <v>#REF!</v>
      </c>
      <c r="N138" s="8" t="e">
        <f t="shared" si="38"/>
        <v>#REF!</v>
      </c>
      <c r="O138" s="8" t="e">
        <f t="shared" si="38"/>
        <v>#REF!</v>
      </c>
      <c r="P138" s="8" t="e">
        <f t="shared" si="38"/>
        <v>#REF!</v>
      </c>
      <c r="Q138" s="8" t="e">
        <f t="shared" si="38"/>
        <v>#REF!</v>
      </c>
      <c r="R138" s="8" t="e">
        <f t="shared" ref="R138:R145" si="39">Q138*(1+$C$102)</f>
        <v>#REF!</v>
      </c>
      <c r="S138" s="8" t="e">
        <f t="shared" ref="S138:S145" si="40">R138*(1+$C$102)</f>
        <v>#REF!</v>
      </c>
      <c r="T138" s="8" t="e">
        <f t="shared" ref="T138:T145" si="41">S138*(1+$C$102)</f>
        <v>#REF!</v>
      </c>
      <c r="U138" s="8" t="e">
        <f t="shared" ref="U138:U145" si="42">T138*(1+$C$102)</f>
        <v>#REF!</v>
      </c>
      <c r="V138" s="8" t="e">
        <f t="shared" ref="V138:V145" si="43">U138*(1+$C$102)</f>
        <v>#REF!</v>
      </c>
    </row>
    <row r="139" spans="2:22" hidden="1">
      <c r="B139" s="62" t="s">
        <v>91</v>
      </c>
      <c r="C139" s="8" t="e">
        <f>#REF!*#REF!*C116/100000</f>
        <v>#REF!</v>
      </c>
      <c r="D139" s="8" t="e">
        <f>#REF!*#REF!*D116*(1+$C$102)/100000</f>
        <v>#REF!</v>
      </c>
      <c r="E139" s="8" t="e">
        <f>#REF!*#REF!*E116*(1+$C$102)/100000</f>
        <v>#REF!</v>
      </c>
      <c r="F139" s="8" t="e">
        <f t="shared" si="37"/>
        <v>#REF!</v>
      </c>
      <c r="G139" s="8" t="e">
        <f t="shared" ref="G139:Q139" si="44">F139*(1+$C$102)</f>
        <v>#REF!</v>
      </c>
      <c r="H139" s="8" t="e">
        <f t="shared" si="44"/>
        <v>#REF!</v>
      </c>
      <c r="I139" s="8" t="e">
        <f t="shared" si="44"/>
        <v>#REF!</v>
      </c>
      <c r="J139" s="8" t="e">
        <f t="shared" si="44"/>
        <v>#REF!</v>
      </c>
      <c r="K139" s="8" t="e">
        <f t="shared" si="44"/>
        <v>#REF!</v>
      </c>
      <c r="L139" s="8" t="e">
        <f t="shared" si="44"/>
        <v>#REF!</v>
      </c>
      <c r="M139" s="8" t="e">
        <f t="shared" si="44"/>
        <v>#REF!</v>
      </c>
      <c r="N139" s="8" t="e">
        <f t="shared" si="44"/>
        <v>#REF!</v>
      </c>
      <c r="O139" s="8" t="e">
        <f t="shared" si="44"/>
        <v>#REF!</v>
      </c>
      <c r="P139" s="8" t="e">
        <f t="shared" si="44"/>
        <v>#REF!</v>
      </c>
      <c r="Q139" s="8" t="e">
        <f t="shared" si="44"/>
        <v>#REF!</v>
      </c>
      <c r="R139" s="8" t="e">
        <f t="shared" si="39"/>
        <v>#REF!</v>
      </c>
      <c r="S139" s="8" t="e">
        <f t="shared" si="40"/>
        <v>#REF!</v>
      </c>
      <c r="T139" s="8" t="e">
        <f t="shared" si="41"/>
        <v>#REF!</v>
      </c>
      <c r="U139" s="8" t="e">
        <f t="shared" si="42"/>
        <v>#REF!</v>
      </c>
      <c r="V139" s="8" t="e">
        <f t="shared" si="43"/>
        <v>#REF!</v>
      </c>
    </row>
    <row r="140" spans="2:22" hidden="1">
      <c r="B140" s="66" t="s">
        <v>58</v>
      </c>
      <c r="C140" s="25" t="e">
        <f>#REF!*#REF!*24*$C$27*C111/100000</f>
        <v>#REF!</v>
      </c>
      <c r="D140" s="25" t="e">
        <f>#REF!*#REF!*24*$C$27*D111*(1+$C$102)/100000</f>
        <v>#REF!</v>
      </c>
      <c r="E140" s="25" t="e">
        <f>#REF!*#REF!*24*$C$27*E111*(1+$C$102)/100000</f>
        <v>#REF!</v>
      </c>
      <c r="F140" s="25" t="e">
        <f t="shared" si="37"/>
        <v>#REF!</v>
      </c>
      <c r="G140" s="25" t="e">
        <f t="shared" ref="G140:Q140" si="45">F140*(1+$C$102)</f>
        <v>#REF!</v>
      </c>
      <c r="H140" s="25" t="e">
        <f t="shared" si="45"/>
        <v>#REF!</v>
      </c>
      <c r="I140" s="25" t="e">
        <f t="shared" si="45"/>
        <v>#REF!</v>
      </c>
      <c r="J140" s="25" t="e">
        <f t="shared" si="45"/>
        <v>#REF!</v>
      </c>
      <c r="K140" s="25" t="e">
        <f t="shared" si="45"/>
        <v>#REF!</v>
      </c>
      <c r="L140" s="25" t="e">
        <f t="shared" si="45"/>
        <v>#REF!</v>
      </c>
      <c r="M140" s="25" t="e">
        <f t="shared" si="45"/>
        <v>#REF!</v>
      </c>
      <c r="N140" s="25" t="e">
        <f t="shared" si="45"/>
        <v>#REF!</v>
      </c>
      <c r="O140" s="25" t="e">
        <f t="shared" si="45"/>
        <v>#REF!</v>
      </c>
      <c r="P140" s="25" t="e">
        <f t="shared" si="45"/>
        <v>#REF!</v>
      </c>
      <c r="Q140" s="25" t="e">
        <f t="shared" si="45"/>
        <v>#REF!</v>
      </c>
      <c r="R140" s="25" t="e">
        <f t="shared" si="39"/>
        <v>#REF!</v>
      </c>
      <c r="S140" s="25" t="e">
        <f t="shared" si="40"/>
        <v>#REF!</v>
      </c>
      <c r="T140" s="25" t="e">
        <f t="shared" si="41"/>
        <v>#REF!</v>
      </c>
      <c r="U140" s="25" t="e">
        <f t="shared" si="42"/>
        <v>#REF!</v>
      </c>
      <c r="V140" s="25" t="e">
        <f t="shared" si="43"/>
        <v>#REF!</v>
      </c>
    </row>
    <row r="141" spans="2:22" hidden="1">
      <c r="B141" s="37" t="s">
        <v>92</v>
      </c>
      <c r="C141" s="25" t="e">
        <f>#REF!*#REF!*C115/100000</f>
        <v>#REF!</v>
      </c>
      <c r="D141" s="25" t="e">
        <f>#REF!*#REF!*D115*(1+$C$102)/100000</f>
        <v>#REF!</v>
      </c>
      <c r="E141" s="25" t="e">
        <f>#REF!*#REF!*E115*(1+$C$102)/100000</f>
        <v>#REF!</v>
      </c>
      <c r="F141" s="25" t="e">
        <f t="shared" si="37"/>
        <v>#REF!</v>
      </c>
      <c r="G141" s="25" t="e">
        <f t="shared" ref="G141:Q141" si="46">F141*(1+$C$102)</f>
        <v>#REF!</v>
      </c>
      <c r="H141" s="25" t="e">
        <f t="shared" si="46"/>
        <v>#REF!</v>
      </c>
      <c r="I141" s="25" t="e">
        <f t="shared" si="46"/>
        <v>#REF!</v>
      </c>
      <c r="J141" s="25" t="e">
        <f t="shared" si="46"/>
        <v>#REF!</v>
      </c>
      <c r="K141" s="25" t="e">
        <f t="shared" si="46"/>
        <v>#REF!</v>
      </c>
      <c r="L141" s="25" t="e">
        <f t="shared" si="46"/>
        <v>#REF!</v>
      </c>
      <c r="M141" s="25" t="e">
        <f t="shared" si="46"/>
        <v>#REF!</v>
      </c>
      <c r="N141" s="25" t="e">
        <f t="shared" si="46"/>
        <v>#REF!</v>
      </c>
      <c r="O141" s="25" t="e">
        <f t="shared" si="46"/>
        <v>#REF!</v>
      </c>
      <c r="P141" s="25" t="e">
        <f t="shared" si="46"/>
        <v>#REF!</v>
      </c>
      <c r="Q141" s="25" t="e">
        <f t="shared" si="46"/>
        <v>#REF!</v>
      </c>
      <c r="R141" s="25" t="e">
        <f t="shared" si="39"/>
        <v>#REF!</v>
      </c>
      <c r="S141" s="25" t="e">
        <f t="shared" si="40"/>
        <v>#REF!</v>
      </c>
      <c r="T141" s="25" t="e">
        <f t="shared" si="41"/>
        <v>#REF!</v>
      </c>
      <c r="U141" s="25" t="e">
        <f t="shared" si="42"/>
        <v>#REF!</v>
      </c>
      <c r="V141" s="25" t="e">
        <f t="shared" si="43"/>
        <v>#REF!</v>
      </c>
    </row>
    <row r="142" spans="2:22" hidden="1">
      <c r="B142" s="66" t="s">
        <v>93</v>
      </c>
      <c r="C142" s="25" t="e">
        <f>#REF!*#REF!*24*$C$27*C111/100000</f>
        <v>#REF!</v>
      </c>
      <c r="D142" s="25" t="e">
        <f>#REF!*#REF!*24*$C$27*D111*(1+$C$102)/100000</f>
        <v>#REF!</v>
      </c>
      <c r="E142" s="25" t="e">
        <f>#REF!*#REF!*24*$C$27*E111*(1+$C$102)/100000</f>
        <v>#REF!</v>
      </c>
      <c r="F142" s="25" t="e">
        <f t="shared" si="37"/>
        <v>#REF!</v>
      </c>
      <c r="G142" s="25" t="e">
        <f t="shared" ref="G142:Q142" si="47">F142*(1+$C$102)</f>
        <v>#REF!</v>
      </c>
      <c r="H142" s="25" t="e">
        <f t="shared" si="47"/>
        <v>#REF!</v>
      </c>
      <c r="I142" s="25" t="e">
        <f t="shared" si="47"/>
        <v>#REF!</v>
      </c>
      <c r="J142" s="25" t="e">
        <f t="shared" si="47"/>
        <v>#REF!</v>
      </c>
      <c r="K142" s="25" t="e">
        <f t="shared" si="47"/>
        <v>#REF!</v>
      </c>
      <c r="L142" s="25" t="e">
        <f t="shared" si="47"/>
        <v>#REF!</v>
      </c>
      <c r="M142" s="25" t="e">
        <f t="shared" si="47"/>
        <v>#REF!</v>
      </c>
      <c r="N142" s="25" t="e">
        <f t="shared" si="47"/>
        <v>#REF!</v>
      </c>
      <c r="O142" s="25" t="e">
        <f t="shared" si="47"/>
        <v>#REF!</v>
      </c>
      <c r="P142" s="25" t="e">
        <f t="shared" si="47"/>
        <v>#REF!</v>
      </c>
      <c r="Q142" s="25" t="e">
        <f t="shared" si="47"/>
        <v>#REF!</v>
      </c>
      <c r="R142" s="25" t="e">
        <f t="shared" si="39"/>
        <v>#REF!</v>
      </c>
      <c r="S142" s="25" t="e">
        <f t="shared" si="40"/>
        <v>#REF!</v>
      </c>
      <c r="T142" s="25" t="e">
        <f t="shared" si="41"/>
        <v>#REF!</v>
      </c>
      <c r="U142" s="25" t="e">
        <f t="shared" si="42"/>
        <v>#REF!</v>
      </c>
      <c r="V142" s="25" t="e">
        <f t="shared" si="43"/>
        <v>#REF!</v>
      </c>
    </row>
    <row r="143" spans="2:22" hidden="1">
      <c r="B143" s="66" t="s">
        <v>59</v>
      </c>
      <c r="C143" s="25" t="e">
        <f>#REF!*#REF!*24*$C$27*C111/100000</f>
        <v>#REF!</v>
      </c>
      <c r="D143" s="25" t="e">
        <f>#REF!*#REF!*24*$C$27*D111*(1+$C$102)/100000</f>
        <v>#REF!</v>
      </c>
      <c r="E143" s="25" t="e">
        <f>#REF!*#REF!*24*$C$27*E111*(1+$C$102)/100000</f>
        <v>#REF!</v>
      </c>
      <c r="F143" s="25" t="e">
        <f t="shared" si="37"/>
        <v>#REF!</v>
      </c>
      <c r="G143" s="25" t="e">
        <f t="shared" ref="G143:Q143" si="48">F143*(1+$C$102)</f>
        <v>#REF!</v>
      </c>
      <c r="H143" s="25" t="e">
        <f t="shared" si="48"/>
        <v>#REF!</v>
      </c>
      <c r="I143" s="25" t="e">
        <f t="shared" si="48"/>
        <v>#REF!</v>
      </c>
      <c r="J143" s="25" t="e">
        <f t="shared" si="48"/>
        <v>#REF!</v>
      </c>
      <c r="K143" s="25" t="e">
        <f t="shared" si="48"/>
        <v>#REF!</v>
      </c>
      <c r="L143" s="25" t="e">
        <f t="shared" si="48"/>
        <v>#REF!</v>
      </c>
      <c r="M143" s="25" t="e">
        <f t="shared" si="48"/>
        <v>#REF!</v>
      </c>
      <c r="N143" s="25" t="e">
        <f t="shared" si="48"/>
        <v>#REF!</v>
      </c>
      <c r="O143" s="25" t="e">
        <f t="shared" si="48"/>
        <v>#REF!</v>
      </c>
      <c r="P143" s="25" t="e">
        <f t="shared" si="48"/>
        <v>#REF!</v>
      </c>
      <c r="Q143" s="25" t="e">
        <f t="shared" si="48"/>
        <v>#REF!</v>
      </c>
      <c r="R143" s="25" t="e">
        <f t="shared" si="39"/>
        <v>#REF!</v>
      </c>
      <c r="S143" s="25" t="e">
        <f t="shared" si="40"/>
        <v>#REF!</v>
      </c>
      <c r="T143" s="25" t="e">
        <f t="shared" si="41"/>
        <v>#REF!</v>
      </c>
      <c r="U143" s="25" t="e">
        <f t="shared" si="42"/>
        <v>#REF!</v>
      </c>
      <c r="V143" s="25" t="e">
        <f t="shared" si="43"/>
        <v>#REF!</v>
      </c>
    </row>
    <row r="144" spans="2:22" hidden="1">
      <c r="B144" s="66" t="s">
        <v>60</v>
      </c>
      <c r="C144" s="25" t="e">
        <f>#REF!*#REF!*C116/100000</f>
        <v>#REF!</v>
      </c>
      <c r="D144" s="25" t="e">
        <f>#REF!*#REF!*D116*(1+$C$102)/100000</f>
        <v>#REF!</v>
      </c>
      <c r="E144" s="25" t="e">
        <f>#REF!*#REF!*E116*(1+$C$102)/100000</f>
        <v>#REF!</v>
      </c>
      <c r="F144" s="25" t="e">
        <f t="shared" si="37"/>
        <v>#REF!</v>
      </c>
      <c r="G144" s="25" t="e">
        <f t="shared" ref="G144:Q144" si="49">F144*(1+$C$102)</f>
        <v>#REF!</v>
      </c>
      <c r="H144" s="25" t="e">
        <f t="shared" si="49"/>
        <v>#REF!</v>
      </c>
      <c r="I144" s="25" t="e">
        <f t="shared" si="49"/>
        <v>#REF!</v>
      </c>
      <c r="J144" s="25" t="e">
        <f t="shared" si="49"/>
        <v>#REF!</v>
      </c>
      <c r="K144" s="25" t="e">
        <f t="shared" si="49"/>
        <v>#REF!</v>
      </c>
      <c r="L144" s="25" t="e">
        <f t="shared" si="49"/>
        <v>#REF!</v>
      </c>
      <c r="M144" s="25" t="e">
        <f t="shared" si="49"/>
        <v>#REF!</v>
      </c>
      <c r="N144" s="25" t="e">
        <f t="shared" si="49"/>
        <v>#REF!</v>
      </c>
      <c r="O144" s="25" t="e">
        <f t="shared" si="49"/>
        <v>#REF!</v>
      </c>
      <c r="P144" s="25" t="e">
        <f t="shared" si="49"/>
        <v>#REF!</v>
      </c>
      <c r="Q144" s="25" t="e">
        <f t="shared" si="49"/>
        <v>#REF!</v>
      </c>
      <c r="R144" s="25" t="e">
        <f t="shared" si="39"/>
        <v>#REF!</v>
      </c>
      <c r="S144" s="25" t="e">
        <f t="shared" si="40"/>
        <v>#REF!</v>
      </c>
      <c r="T144" s="25" t="e">
        <f t="shared" si="41"/>
        <v>#REF!</v>
      </c>
      <c r="U144" s="25" t="e">
        <f t="shared" si="42"/>
        <v>#REF!</v>
      </c>
      <c r="V144" s="25" t="e">
        <f t="shared" si="43"/>
        <v>#REF!</v>
      </c>
    </row>
    <row r="145" spans="1:22" hidden="1">
      <c r="B145" s="64" t="s">
        <v>94</v>
      </c>
      <c r="C145" s="25" t="e">
        <f>#REF!*#REF!*C116/100000</f>
        <v>#REF!</v>
      </c>
      <c r="D145" s="25" t="e">
        <f>#REF!*#REF!*D116*(1+$C$102)/100000</f>
        <v>#REF!</v>
      </c>
      <c r="E145" s="25" t="e">
        <f>#REF!*#REF!*E116*(1+$C$102)/100000</f>
        <v>#REF!</v>
      </c>
      <c r="F145" s="25" t="e">
        <f t="shared" si="37"/>
        <v>#REF!</v>
      </c>
      <c r="G145" s="25" t="e">
        <f t="shared" ref="G145:Q145" si="50">F145*(1+$C$102)</f>
        <v>#REF!</v>
      </c>
      <c r="H145" s="25" t="e">
        <f t="shared" si="50"/>
        <v>#REF!</v>
      </c>
      <c r="I145" s="25" t="e">
        <f t="shared" si="50"/>
        <v>#REF!</v>
      </c>
      <c r="J145" s="25" t="e">
        <f t="shared" si="50"/>
        <v>#REF!</v>
      </c>
      <c r="K145" s="25" t="e">
        <f t="shared" si="50"/>
        <v>#REF!</v>
      </c>
      <c r="L145" s="25" t="e">
        <f t="shared" si="50"/>
        <v>#REF!</v>
      </c>
      <c r="M145" s="25" t="e">
        <f t="shared" si="50"/>
        <v>#REF!</v>
      </c>
      <c r="N145" s="25" t="e">
        <f t="shared" si="50"/>
        <v>#REF!</v>
      </c>
      <c r="O145" s="25" t="e">
        <f t="shared" si="50"/>
        <v>#REF!</v>
      </c>
      <c r="P145" s="25" t="e">
        <f t="shared" si="50"/>
        <v>#REF!</v>
      </c>
      <c r="Q145" s="25" t="e">
        <f t="shared" si="50"/>
        <v>#REF!</v>
      </c>
      <c r="R145" s="25" t="e">
        <f t="shared" si="39"/>
        <v>#REF!</v>
      </c>
      <c r="S145" s="25" t="e">
        <f t="shared" si="40"/>
        <v>#REF!</v>
      </c>
      <c r="T145" s="25" t="e">
        <f t="shared" si="41"/>
        <v>#REF!</v>
      </c>
      <c r="U145" s="25" t="e">
        <f t="shared" si="42"/>
        <v>#REF!</v>
      </c>
      <c r="V145" s="25" t="e">
        <f t="shared" si="43"/>
        <v>#REF!</v>
      </c>
    </row>
    <row r="146" spans="1:22">
      <c r="R146" s="67"/>
      <c r="S146" s="67"/>
      <c r="T146" s="67"/>
      <c r="U146" s="67"/>
      <c r="V146" s="67"/>
    </row>
    <row r="147" spans="1:22">
      <c r="A147" s="38">
        <v>5</v>
      </c>
      <c r="B147" s="52" t="s">
        <v>96</v>
      </c>
      <c r="C147" s="406">
        <f>SUM(C126:C137)</f>
        <v>11399.875056239998</v>
      </c>
      <c r="D147" s="406">
        <f t="shared" ref="D147:V147" si="51">SUM(D126:D137)</f>
        <v>12824.859438269998</v>
      </c>
      <c r="E147" s="406">
        <f t="shared" si="51"/>
        <v>14249.843820299999</v>
      </c>
      <c r="F147" s="406">
        <f t="shared" si="51"/>
        <v>14249.843820299999</v>
      </c>
      <c r="G147" s="406">
        <f t="shared" si="51"/>
        <v>14249.843820299999</v>
      </c>
      <c r="H147" s="406">
        <f t="shared" si="51"/>
        <v>14249.843820299999</v>
      </c>
      <c r="I147" s="406">
        <f t="shared" si="51"/>
        <v>14249.843820299999</v>
      </c>
      <c r="J147" s="406">
        <f t="shared" si="51"/>
        <v>14249.843820299999</v>
      </c>
      <c r="K147" s="406">
        <f t="shared" si="51"/>
        <v>14249.843820299999</v>
      </c>
      <c r="L147" s="406">
        <f t="shared" si="51"/>
        <v>14249.843820299999</v>
      </c>
      <c r="M147" s="406">
        <f t="shared" si="51"/>
        <v>14249.843820299999</v>
      </c>
      <c r="N147" s="406">
        <f t="shared" si="51"/>
        <v>14249.843820299999</v>
      </c>
      <c r="O147" s="406">
        <f t="shared" si="51"/>
        <v>14249.843820299999</v>
      </c>
      <c r="P147" s="406">
        <f t="shared" si="51"/>
        <v>14249.843820299999</v>
      </c>
      <c r="Q147" s="406">
        <f t="shared" si="51"/>
        <v>14249.843820299999</v>
      </c>
      <c r="R147" s="406">
        <f t="shared" si="51"/>
        <v>14249.843820299999</v>
      </c>
      <c r="S147" s="406">
        <f t="shared" si="51"/>
        <v>14249.843820299999</v>
      </c>
      <c r="T147" s="406">
        <f t="shared" si="51"/>
        <v>14249.843820299999</v>
      </c>
      <c r="U147" s="406">
        <f t="shared" si="51"/>
        <v>14249.843820299999</v>
      </c>
      <c r="V147" s="406">
        <f t="shared" si="51"/>
        <v>14249.843820299999</v>
      </c>
    </row>
    <row r="148" spans="1:22">
      <c r="R148" s="67"/>
      <c r="S148" s="67"/>
      <c r="T148" s="67"/>
      <c r="U148" s="67"/>
      <c r="V148" s="67"/>
    </row>
    <row r="149" spans="1:22">
      <c r="A149" s="38">
        <v>6</v>
      </c>
      <c r="B149" s="35" t="s">
        <v>97</v>
      </c>
      <c r="R149" s="67"/>
      <c r="S149" s="67"/>
      <c r="T149" s="67"/>
      <c r="U149" s="67"/>
      <c r="V149" s="67"/>
    </row>
    <row r="150" spans="1:22">
      <c r="B150" s="62" t="s">
        <v>98</v>
      </c>
      <c r="C150" s="8">
        <f>$C$58*('Project Cost'!$I$8+'Project Cost'!$I$9)</f>
        <v>1034.53125</v>
      </c>
      <c r="D150" s="8">
        <f>+C150*(1+$C$59)</f>
        <v>1065.5671875</v>
      </c>
      <c r="E150" s="8">
        <f t="shared" ref="E150:Q150" si="52">+D150*(1+$C$59)</f>
        <v>1097.534203125</v>
      </c>
      <c r="F150" s="8">
        <f t="shared" si="52"/>
        <v>1130.4602292187501</v>
      </c>
      <c r="G150" s="8">
        <f t="shared" si="52"/>
        <v>1164.3740360953127</v>
      </c>
      <c r="H150" s="8">
        <f t="shared" si="52"/>
        <v>1199.305257178172</v>
      </c>
      <c r="I150" s="8">
        <f t="shared" si="52"/>
        <v>1235.2844148935171</v>
      </c>
      <c r="J150" s="8">
        <f t="shared" si="52"/>
        <v>1272.3429473403228</v>
      </c>
      <c r="K150" s="8">
        <f t="shared" si="52"/>
        <v>1310.5132357605326</v>
      </c>
      <c r="L150" s="8">
        <f t="shared" si="52"/>
        <v>1349.8286328333486</v>
      </c>
      <c r="M150" s="8">
        <f t="shared" si="52"/>
        <v>1390.3234918183491</v>
      </c>
      <c r="N150" s="8">
        <f t="shared" si="52"/>
        <v>1432.0331965728997</v>
      </c>
      <c r="O150" s="8">
        <f t="shared" si="52"/>
        <v>1474.9941924700868</v>
      </c>
      <c r="P150" s="8">
        <f t="shared" si="52"/>
        <v>1519.2440182441894</v>
      </c>
      <c r="Q150" s="8">
        <f t="shared" si="52"/>
        <v>1564.8213387915152</v>
      </c>
      <c r="R150" s="8">
        <f t="shared" ref="R150" si="53">+Q150*(1+$C$59)</f>
        <v>1611.7659789552608</v>
      </c>
      <c r="S150" s="8">
        <f t="shared" ref="S150" si="54">+R150*(1+$C$59)</f>
        <v>1660.1189583239186</v>
      </c>
      <c r="T150" s="8">
        <f t="shared" ref="T150" si="55">+S150*(1+$C$59)</f>
        <v>1709.9225270736363</v>
      </c>
      <c r="U150" s="8">
        <f t="shared" ref="U150" si="56">+T150*(1+$C$59)</f>
        <v>1761.2202028858453</v>
      </c>
      <c r="V150" s="8">
        <f t="shared" ref="V150" si="57">+U150*(1+$C$59)</f>
        <v>1814.0568089724206</v>
      </c>
    </row>
    <row r="151" spans="1:22">
      <c r="B151" s="62" t="s">
        <v>99</v>
      </c>
      <c r="C151" s="8">
        <f>+$D$87</f>
        <v>465</v>
      </c>
      <c r="D151" s="8">
        <f>+C151*(1+$C$105)</f>
        <v>488.25</v>
      </c>
      <c r="E151" s="8">
        <f t="shared" ref="E151:Q151" si="58">+D151*(1+$C$105)</f>
        <v>512.66250000000002</v>
      </c>
      <c r="F151" s="8">
        <f t="shared" si="58"/>
        <v>538.29562500000009</v>
      </c>
      <c r="G151" s="8">
        <f t="shared" si="58"/>
        <v>565.21040625000012</v>
      </c>
      <c r="H151" s="8">
        <f t="shared" si="58"/>
        <v>593.47092656250015</v>
      </c>
      <c r="I151" s="8">
        <f t="shared" si="58"/>
        <v>623.14447289062514</v>
      </c>
      <c r="J151" s="8">
        <f t="shared" si="58"/>
        <v>654.30169653515645</v>
      </c>
      <c r="K151" s="8">
        <f t="shared" si="58"/>
        <v>687.01678136191435</v>
      </c>
      <c r="L151" s="8">
        <f t="shared" si="58"/>
        <v>721.36762043001011</v>
      </c>
      <c r="M151" s="8">
        <f t="shared" si="58"/>
        <v>757.43600145151061</v>
      </c>
      <c r="N151" s="8">
        <f t="shared" si="58"/>
        <v>795.30780152408613</v>
      </c>
      <c r="O151" s="8">
        <f t="shared" si="58"/>
        <v>835.07319160029044</v>
      </c>
      <c r="P151" s="8">
        <f t="shared" si="58"/>
        <v>876.82685118030497</v>
      </c>
      <c r="Q151" s="8">
        <f t="shared" si="58"/>
        <v>920.66819373932026</v>
      </c>
      <c r="R151" s="8">
        <f t="shared" ref="R151" si="59">+Q151*(1+$C$105)</f>
        <v>966.70160342628628</v>
      </c>
      <c r="S151" s="8">
        <f t="shared" ref="S151" si="60">+R151*(1+$C$105)</f>
        <v>1015.0366835976006</v>
      </c>
      <c r="T151" s="8">
        <f t="shared" ref="T151" si="61">+S151*(1+$C$105)</f>
        <v>1065.7885177774806</v>
      </c>
      <c r="U151" s="8">
        <f t="shared" ref="U151" si="62">+T151*(1+$C$105)</f>
        <v>1119.0779436663547</v>
      </c>
      <c r="V151" s="8">
        <f t="shared" ref="V151" si="63">+U151*(1+$C$105)</f>
        <v>1175.0318408496726</v>
      </c>
    </row>
    <row r="152" spans="1:22">
      <c r="B152" s="62" t="s">
        <v>318</v>
      </c>
      <c r="C152" s="8">
        <f>+$C$70*C122</f>
        <v>405.45911999999998</v>
      </c>
      <c r="D152" s="8">
        <f t="shared" ref="D152:Q152" si="64">+$C$70*D122</f>
        <v>456.14150999999998</v>
      </c>
      <c r="E152" s="8">
        <f t="shared" si="64"/>
        <v>506.82389999999998</v>
      </c>
      <c r="F152" s="8">
        <f t="shared" si="64"/>
        <v>506.82389999999998</v>
      </c>
      <c r="G152" s="8">
        <f t="shared" si="64"/>
        <v>506.82389999999998</v>
      </c>
      <c r="H152" s="8">
        <f t="shared" si="64"/>
        <v>506.82389999999998</v>
      </c>
      <c r="I152" s="8">
        <f t="shared" si="64"/>
        <v>506.82389999999998</v>
      </c>
      <c r="J152" s="8">
        <f t="shared" si="64"/>
        <v>506.82389999999998</v>
      </c>
      <c r="K152" s="8">
        <f t="shared" si="64"/>
        <v>506.82389999999998</v>
      </c>
      <c r="L152" s="8">
        <f t="shared" si="64"/>
        <v>506.82389999999998</v>
      </c>
      <c r="M152" s="8">
        <f t="shared" si="64"/>
        <v>506.82389999999998</v>
      </c>
      <c r="N152" s="8">
        <f t="shared" si="64"/>
        <v>506.82389999999998</v>
      </c>
      <c r="O152" s="8">
        <f t="shared" si="64"/>
        <v>506.82389999999998</v>
      </c>
      <c r="P152" s="8">
        <f t="shared" si="64"/>
        <v>506.82389999999998</v>
      </c>
      <c r="Q152" s="8">
        <f t="shared" si="64"/>
        <v>506.82389999999998</v>
      </c>
      <c r="R152" s="8">
        <f t="shared" ref="R152:V152" si="65">+$C$70*R122</f>
        <v>506.82389999999998</v>
      </c>
      <c r="S152" s="8">
        <f t="shared" si="65"/>
        <v>506.82389999999998</v>
      </c>
      <c r="T152" s="8">
        <f t="shared" si="65"/>
        <v>506.82389999999998</v>
      </c>
      <c r="U152" s="8">
        <f t="shared" si="65"/>
        <v>506.82389999999998</v>
      </c>
      <c r="V152" s="8">
        <f t="shared" si="65"/>
        <v>506.82389999999998</v>
      </c>
    </row>
    <row r="153" spans="1:22" s="67" customFormat="1">
      <c r="B153" s="62" t="s">
        <v>319</v>
      </c>
      <c r="C153" s="8">
        <f>+$C$69*C122/C111</f>
        <v>506.82389999999998</v>
      </c>
      <c r="D153" s="8">
        <f t="shared" ref="D153:V153" si="66">+$C$69*D122/D111</f>
        <v>506.82389999999998</v>
      </c>
      <c r="E153" s="8">
        <f t="shared" si="66"/>
        <v>506.82389999999998</v>
      </c>
      <c r="F153" s="8">
        <f t="shared" si="66"/>
        <v>506.82389999999998</v>
      </c>
      <c r="G153" s="8">
        <f t="shared" si="66"/>
        <v>506.82389999999998</v>
      </c>
      <c r="H153" s="8">
        <f t="shared" si="66"/>
        <v>506.82389999999998</v>
      </c>
      <c r="I153" s="8">
        <f t="shared" si="66"/>
        <v>506.82389999999998</v>
      </c>
      <c r="J153" s="8">
        <f t="shared" si="66"/>
        <v>506.82389999999998</v>
      </c>
      <c r="K153" s="8">
        <f t="shared" si="66"/>
        <v>506.82389999999998</v>
      </c>
      <c r="L153" s="8">
        <f t="shared" si="66"/>
        <v>506.82389999999998</v>
      </c>
      <c r="M153" s="8">
        <f t="shared" si="66"/>
        <v>506.82389999999998</v>
      </c>
      <c r="N153" s="8">
        <f t="shared" si="66"/>
        <v>506.82389999999998</v>
      </c>
      <c r="O153" s="8">
        <f t="shared" si="66"/>
        <v>506.82389999999998</v>
      </c>
      <c r="P153" s="8">
        <f t="shared" si="66"/>
        <v>506.82389999999998</v>
      </c>
      <c r="Q153" s="8">
        <f t="shared" si="66"/>
        <v>506.82389999999998</v>
      </c>
      <c r="R153" s="8">
        <f t="shared" si="66"/>
        <v>506.82389999999998</v>
      </c>
      <c r="S153" s="8">
        <f t="shared" si="66"/>
        <v>506.82389999999998</v>
      </c>
      <c r="T153" s="8">
        <f t="shared" si="66"/>
        <v>506.82389999999998</v>
      </c>
      <c r="U153" s="8">
        <f t="shared" si="66"/>
        <v>506.82389999999998</v>
      </c>
      <c r="V153" s="8">
        <f t="shared" si="66"/>
        <v>506.82389999999998</v>
      </c>
    </row>
    <row r="154" spans="1:22" s="67" customFormat="1">
      <c r="B154" s="66" t="s">
        <v>320</v>
      </c>
      <c r="C154" s="8">
        <f>+$C$71*(C126+C128+C133)</f>
        <v>136.61505000000002</v>
      </c>
      <c r="D154" s="8">
        <f t="shared" ref="D154:Q154" si="67">+$C$71*(D126+D128+D133)</f>
        <v>153.69193125000001</v>
      </c>
      <c r="E154" s="8">
        <f t="shared" si="67"/>
        <v>170.76881250000002</v>
      </c>
      <c r="F154" s="8">
        <f t="shared" si="67"/>
        <v>170.76881250000002</v>
      </c>
      <c r="G154" s="8">
        <f t="shared" si="67"/>
        <v>170.76881250000002</v>
      </c>
      <c r="H154" s="8">
        <f t="shared" si="67"/>
        <v>170.76881250000002</v>
      </c>
      <c r="I154" s="8">
        <f t="shared" si="67"/>
        <v>170.76881250000002</v>
      </c>
      <c r="J154" s="8">
        <f t="shared" si="67"/>
        <v>170.76881250000002</v>
      </c>
      <c r="K154" s="8">
        <f t="shared" si="67"/>
        <v>170.76881250000002</v>
      </c>
      <c r="L154" s="8">
        <f t="shared" si="67"/>
        <v>170.76881250000002</v>
      </c>
      <c r="M154" s="8">
        <f t="shared" si="67"/>
        <v>170.76881250000002</v>
      </c>
      <c r="N154" s="8">
        <f t="shared" si="67"/>
        <v>170.76881250000002</v>
      </c>
      <c r="O154" s="8">
        <f t="shared" si="67"/>
        <v>170.76881250000002</v>
      </c>
      <c r="P154" s="8">
        <f t="shared" si="67"/>
        <v>170.76881250000002</v>
      </c>
      <c r="Q154" s="8">
        <f t="shared" si="67"/>
        <v>170.76881250000002</v>
      </c>
      <c r="R154" s="8">
        <f t="shared" ref="R154:V154" si="68">+$C$71*(R126+R128+R133)</f>
        <v>170.76881250000002</v>
      </c>
      <c r="S154" s="8">
        <f t="shared" si="68"/>
        <v>170.76881250000002</v>
      </c>
      <c r="T154" s="8">
        <f t="shared" si="68"/>
        <v>170.76881250000002</v>
      </c>
      <c r="U154" s="8">
        <f t="shared" si="68"/>
        <v>170.76881250000002</v>
      </c>
      <c r="V154" s="8">
        <f t="shared" si="68"/>
        <v>170.76881250000002</v>
      </c>
    </row>
    <row r="155" spans="1:22" s="67" customFormat="1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s="67" customFormat="1">
      <c r="A156" s="38">
        <v>7</v>
      </c>
      <c r="B156" s="52" t="s">
        <v>120</v>
      </c>
      <c r="C156" s="103">
        <f>SUM(C150:C154)</f>
        <v>2548.4293199999997</v>
      </c>
      <c r="D156" s="103">
        <f t="shared" ref="D156:Q156" si="69">SUM(D150:D154)</f>
        <v>2670.47452875</v>
      </c>
      <c r="E156" s="103">
        <f t="shared" si="69"/>
        <v>2794.6133156249998</v>
      </c>
      <c r="F156" s="103">
        <f t="shared" si="69"/>
        <v>2853.17246671875</v>
      </c>
      <c r="G156" s="103">
        <f t="shared" si="69"/>
        <v>2914.0010548453124</v>
      </c>
      <c r="H156" s="103">
        <f t="shared" si="69"/>
        <v>2977.1927962406721</v>
      </c>
      <c r="I156" s="103">
        <f t="shared" si="69"/>
        <v>3042.845500284142</v>
      </c>
      <c r="J156" s="103">
        <f t="shared" si="69"/>
        <v>3111.0612563754789</v>
      </c>
      <c r="K156" s="103">
        <f t="shared" si="69"/>
        <v>3181.9466296224468</v>
      </c>
      <c r="L156" s="103">
        <f t="shared" si="69"/>
        <v>3255.6128657633585</v>
      </c>
      <c r="M156" s="103">
        <f t="shared" si="69"/>
        <v>3332.1761057698595</v>
      </c>
      <c r="N156" s="103">
        <f t="shared" si="69"/>
        <v>3411.7576105969856</v>
      </c>
      <c r="O156" s="103">
        <f t="shared" si="69"/>
        <v>3494.4839965703768</v>
      </c>
      <c r="P156" s="103">
        <f t="shared" si="69"/>
        <v>3580.4874819244942</v>
      </c>
      <c r="Q156" s="103">
        <f t="shared" si="69"/>
        <v>3669.906145030835</v>
      </c>
      <c r="R156" s="103">
        <f t="shared" ref="R156:V156" si="70">SUM(R150:R154)</f>
        <v>3762.8841948815466</v>
      </c>
      <c r="S156" s="103">
        <f t="shared" si="70"/>
        <v>3859.5722544215191</v>
      </c>
      <c r="T156" s="103">
        <f t="shared" si="70"/>
        <v>3960.1276573511163</v>
      </c>
      <c r="U156" s="103">
        <f t="shared" si="70"/>
        <v>4064.7147590521995</v>
      </c>
      <c r="V156" s="103">
        <f t="shared" si="70"/>
        <v>4173.5052623220936</v>
      </c>
    </row>
    <row r="157" spans="1:22" s="75" customFormat="1">
      <c r="A157" s="90"/>
      <c r="B157" s="26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</row>
    <row r="158" spans="1:22" s="75" customFormat="1">
      <c r="A158" s="90"/>
      <c r="B158" s="26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</row>
    <row r="159" spans="1:22" s="67" customFormat="1">
      <c r="A159" s="38">
        <v>8</v>
      </c>
      <c r="B159" s="52" t="s">
        <v>122</v>
      </c>
      <c r="C159" s="103">
        <f t="shared" ref="C159:V159" si="71">C147+C156</f>
        <v>13948.304376239998</v>
      </c>
      <c r="D159" s="103">
        <f t="shared" si="71"/>
        <v>15495.333967019997</v>
      </c>
      <c r="E159" s="103">
        <f t="shared" si="71"/>
        <v>17044.457135924997</v>
      </c>
      <c r="F159" s="103">
        <f t="shared" si="71"/>
        <v>17103.016287018749</v>
      </c>
      <c r="G159" s="103">
        <f t="shared" si="71"/>
        <v>17163.844875145311</v>
      </c>
      <c r="H159" s="103">
        <f t="shared" si="71"/>
        <v>17227.03661654067</v>
      </c>
      <c r="I159" s="103">
        <f t="shared" si="71"/>
        <v>17292.689320584141</v>
      </c>
      <c r="J159" s="103">
        <f t="shared" si="71"/>
        <v>17360.905076675477</v>
      </c>
      <c r="K159" s="103">
        <f t="shared" si="71"/>
        <v>17431.790449922446</v>
      </c>
      <c r="L159" s="103">
        <f t="shared" si="71"/>
        <v>17505.456686063357</v>
      </c>
      <c r="M159" s="103">
        <f t="shared" si="71"/>
        <v>17582.019926069857</v>
      </c>
      <c r="N159" s="103">
        <f t="shared" si="71"/>
        <v>17661.601430896982</v>
      </c>
      <c r="O159" s="103">
        <f t="shared" si="71"/>
        <v>17744.327816870376</v>
      </c>
      <c r="P159" s="103">
        <f t="shared" si="71"/>
        <v>17830.331302224491</v>
      </c>
      <c r="Q159" s="103">
        <f t="shared" si="71"/>
        <v>17919.749965330833</v>
      </c>
      <c r="R159" s="103">
        <f t="shared" si="71"/>
        <v>18012.728015181547</v>
      </c>
      <c r="S159" s="103">
        <f t="shared" si="71"/>
        <v>18109.416074721517</v>
      </c>
      <c r="T159" s="103">
        <f t="shared" si="71"/>
        <v>18209.971477651114</v>
      </c>
      <c r="U159" s="103">
        <f t="shared" si="71"/>
        <v>18314.558579352197</v>
      </c>
      <c r="V159" s="103">
        <f t="shared" si="71"/>
        <v>18423.349082622091</v>
      </c>
    </row>
    <row r="160" spans="1:22" s="67" customFormat="1">
      <c r="A160" s="38"/>
      <c r="B160" s="26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4" s="67" customFormat="1">
      <c r="A161" s="38">
        <v>9</v>
      </c>
      <c r="B161" s="6" t="s">
        <v>121</v>
      </c>
      <c r="C161" s="116">
        <f>C122-C159</f>
        <v>6324.6516237600008</v>
      </c>
      <c r="D161" s="116">
        <f t="shared" ref="D161:V161" si="72">D122-D159</f>
        <v>7311.7415329800024</v>
      </c>
      <c r="E161" s="116">
        <f t="shared" si="72"/>
        <v>8296.737864075003</v>
      </c>
      <c r="F161" s="116">
        <f t="shared" si="72"/>
        <v>8238.178712981251</v>
      </c>
      <c r="G161" s="116">
        <f t="shared" si="72"/>
        <v>8177.3501248546891</v>
      </c>
      <c r="H161" s="116">
        <f t="shared" si="72"/>
        <v>8114.1583834593293</v>
      </c>
      <c r="I161" s="116">
        <f t="shared" si="72"/>
        <v>8048.505679415859</v>
      </c>
      <c r="J161" s="116">
        <f t="shared" si="72"/>
        <v>7980.2899233245225</v>
      </c>
      <c r="K161" s="116">
        <f t="shared" si="72"/>
        <v>7909.4045500775537</v>
      </c>
      <c r="L161" s="116">
        <f t="shared" si="72"/>
        <v>7835.738313936643</v>
      </c>
      <c r="M161" s="116">
        <f t="shared" si="72"/>
        <v>7759.1750739301424</v>
      </c>
      <c r="N161" s="116">
        <f t="shared" si="72"/>
        <v>7679.5935691030172</v>
      </c>
      <c r="O161" s="116">
        <f t="shared" si="72"/>
        <v>7596.8671831296233</v>
      </c>
      <c r="P161" s="116">
        <f t="shared" si="72"/>
        <v>7510.8636977755086</v>
      </c>
      <c r="Q161" s="116">
        <f t="shared" si="72"/>
        <v>7421.4450346691665</v>
      </c>
      <c r="R161" s="116">
        <f t="shared" si="72"/>
        <v>7328.4669848184531</v>
      </c>
      <c r="S161" s="116">
        <f t="shared" si="72"/>
        <v>7231.7789252784823</v>
      </c>
      <c r="T161" s="116">
        <f t="shared" si="72"/>
        <v>7131.223522348886</v>
      </c>
      <c r="U161" s="116">
        <f t="shared" si="72"/>
        <v>7026.6364206478029</v>
      </c>
      <c r="V161" s="116">
        <f t="shared" si="72"/>
        <v>6917.8459173779083</v>
      </c>
    </row>
    <row r="162" spans="1:24" s="67" customFormat="1">
      <c r="A162" s="51"/>
      <c r="B162" s="6" t="s">
        <v>258</v>
      </c>
      <c r="C162" s="116">
        <f>C159*100000/C116</f>
        <v>16211.870596390412</v>
      </c>
      <c r="D162" s="116">
        <f t="shared" ref="D162:V162" si="73">D159*100000/D116</f>
        <v>16008.849843448286</v>
      </c>
      <c r="E162" s="116">
        <f t="shared" si="73"/>
        <v>15848.379904530109</v>
      </c>
      <c r="F162" s="116">
        <f t="shared" si="73"/>
        <v>15902.829727485425</v>
      </c>
      <c r="G162" s="116">
        <f t="shared" si="73"/>
        <v>15959.389732066269</v>
      </c>
      <c r="H162" s="116">
        <f t="shared" si="73"/>
        <v>16018.147058068258</v>
      </c>
      <c r="I162" s="116">
        <f t="shared" si="73"/>
        <v>16079.192651198211</v>
      </c>
      <c r="J162" s="116">
        <f t="shared" si="73"/>
        <v>16142.621436837362</v>
      </c>
      <c r="K162" s="116">
        <f t="shared" si="73"/>
        <v>16208.532501996749</v>
      </c>
      <c r="L162" s="116">
        <f t="shared" si="73"/>
        <v>16277.029285859537</v>
      </c>
      <c r="M162" s="116">
        <f t="shared" si="73"/>
        <v>16348.219779324256</v>
      </c>
      <c r="N162" s="116">
        <f t="shared" si="73"/>
        <v>16422.216733983267</v>
      </c>
      <c r="O162" s="116">
        <f t="shared" si="73"/>
        <v>16499.137880991919</v>
      </c>
      <c r="P162" s="116">
        <f t="shared" si="73"/>
        <v>16579.106160306183</v>
      </c>
      <c r="Q162" s="116">
        <f t="shared" si="73"/>
        <v>16662.249960790014</v>
      </c>
      <c r="R162" s="116">
        <f t="shared" si="73"/>
        <v>16748.703371717991</v>
      </c>
      <c r="S162" s="116">
        <f t="shared" si="73"/>
        <v>16838.606446224923</v>
      </c>
      <c r="T162" s="116">
        <f t="shared" si="73"/>
        <v>16932.105477280737</v>
      </c>
      <c r="U162" s="116">
        <f t="shared" si="73"/>
        <v>17029.353286797585</v>
      </c>
      <c r="V162" s="116">
        <f t="shared" si="73"/>
        <v>17130.509528505761</v>
      </c>
    </row>
    <row r="163" spans="1:24" s="67" customFormat="1">
      <c r="B163" s="11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4">
      <c r="A164" s="38">
        <v>10</v>
      </c>
      <c r="B164" s="62" t="s">
        <v>100</v>
      </c>
      <c r="C164" s="8">
        <f>E189</f>
        <v>0</v>
      </c>
      <c r="D164" s="8">
        <f t="shared" ref="D164:Q164" ca="1" si="74">F189</f>
        <v>387.12591423906855</v>
      </c>
      <c r="E164" s="8">
        <f t="shared" ca="1" si="74"/>
        <v>471.84075522254</v>
      </c>
      <c r="F164" s="8">
        <f t="shared" ca="1" si="74"/>
        <v>465.46346525547727</v>
      </c>
      <c r="G164" s="8">
        <f t="shared" ca="1" si="74"/>
        <v>395.60865102858668</v>
      </c>
      <c r="H164" s="8">
        <f t="shared" ca="1" si="74"/>
        <v>291.36195637213058</v>
      </c>
      <c r="I164" s="8">
        <f t="shared" ca="1" si="74"/>
        <v>150.34595507282486</v>
      </c>
      <c r="J164" s="8">
        <f t="shared" ca="1" si="74"/>
        <v>0</v>
      </c>
      <c r="K164" s="8">
        <f t="shared" ca="1" si="74"/>
        <v>0</v>
      </c>
      <c r="L164" s="8">
        <f t="shared" ca="1" si="74"/>
        <v>0</v>
      </c>
      <c r="M164" s="8">
        <f t="shared" ca="1" si="74"/>
        <v>0</v>
      </c>
      <c r="N164" s="8">
        <f t="shared" ca="1" si="74"/>
        <v>0</v>
      </c>
      <c r="O164" s="8">
        <f t="shared" ca="1" si="74"/>
        <v>0</v>
      </c>
      <c r="P164" s="8">
        <f t="shared" ca="1" si="74"/>
        <v>0</v>
      </c>
      <c r="Q164" s="8">
        <f t="shared" ca="1" si="74"/>
        <v>0</v>
      </c>
      <c r="R164" s="8">
        <f t="shared" ref="R164" ca="1" si="75">T189</f>
        <v>0</v>
      </c>
      <c r="S164" s="8">
        <f t="shared" ref="S164" ca="1" si="76">U189</f>
        <v>0</v>
      </c>
      <c r="T164" s="8">
        <f t="shared" ref="T164" ca="1" si="77">V189</f>
        <v>0</v>
      </c>
      <c r="U164" s="8">
        <f t="shared" ref="U164" ca="1" si="78">W189</f>
        <v>0</v>
      </c>
      <c r="V164" s="8">
        <f t="shared" ref="V164" ca="1" si="79">X189</f>
        <v>0</v>
      </c>
    </row>
    <row r="165" spans="1:24">
      <c r="A165" s="38">
        <v>11</v>
      </c>
      <c r="B165" s="62" t="s">
        <v>101</v>
      </c>
      <c r="C165" s="8">
        <f t="shared" ref="C165:Q165" si="80">E222</f>
        <v>3635.7888339787132</v>
      </c>
      <c r="D165" s="8">
        <f t="shared" si="80"/>
        <v>3181.3152297313741</v>
      </c>
      <c r="E165" s="8">
        <f t="shared" si="80"/>
        <v>2726.8416254840354</v>
      </c>
      <c r="F165" s="8">
        <f t="shared" si="80"/>
        <v>2272.3680212366962</v>
      </c>
      <c r="G165" s="8">
        <f t="shared" si="80"/>
        <v>1817.8944169893575</v>
      </c>
      <c r="H165" s="8">
        <f t="shared" si="80"/>
        <v>1363.4208127420184</v>
      </c>
      <c r="I165" s="8">
        <f t="shared" si="80"/>
        <v>908.9472084946791</v>
      </c>
      <c r="J165" s="8">
        <f t="shared" si="80"/>
        <v>454.47360424733995</v>
      </c>
      <c r="K165" s="8">
        <f t="shared" si="80"/>
        <v>8.0035533756017685E-13</v>
      </c>
      <c r="L165" s="8">
        <f t="shared" si="80"/>
        <v>8.0035533756017685E-13</v>
      </c>
      <c r="M165" s="8">
        <f t="shared" si="80"/>
        <v>8.0035533756017685E-13</v>
      </c>
      <c r="N165" s="8">
        <f t="shared" si="80"/>
        <v>8.0035533756017685E-13</v>
      </c>
      <c r="O165" s="8">
        <f t="shared" si="80"/>
        <v>8.0035533756017685E-13</v>
      </c>
      <c r="P165" s="8">
        <f t="shared" si="80"/>
        <v>8.0035533756017685E-13</v>
      </c>
      <c r="Q165" s="8">
        <f t="shared" si="80"/>
        <v>8.0035533756017685E-13</v>
      </c>
      <c r="R165" s="8">
        <f t="shared" ref="R165" si="81">T222</f>
        <v>0</v>
      </c>
      <c r="S165" s="8">
        <f t="shared" ref="S165" si="82">U222</f>
        <v>0</v>
      </c>
      <c r="T165" s="8">
        <f t="shared" ref="T165" si="83">V222</f>
        <v>0</v>
      </c>
      <c r="U165" s="8">
        <f t="shared" ref="U165" si="84">W222</f>
        <v>0</v>
      </c>
      <c r="V165" s="8">
        <f t="shared" ref="V165" si="85">X222</f>
        <v>0</v>
      </c>
    </row>
    <row r="166" spans="1:24">
      <c r="A166" s="38">
        <v>12</v>
      </c>
      <c r="B166" s="62" t="s">
        <v>428</v>
      </c>
      <c r="C166" s="8">
        <f>+Depreciation!H20</f>
        <v>2161.988996302438</v>
      </c>
      <c r="D166" s="8">
        <f>+C166</f>
        <v>2161.988996302438</v>
      </c>
      <c r="E166" s="8">
        <f t="shared" ref="E166:Q166" si="86">+D166</f>
        <v>2161.988996302438</v>
      </c>
      <c r="F166" s="8">
        <f t="shared" si="86"/>
        <v>2161.988996302438</v>
      </c>
      <c r="G166" s="8">
        <f t="shared" si="86"/>
        <v>2161.988996302438</v>
      </c>
      <c r="H166" s="8">
        <f t="shared" si="86"/>
        <v>2161.988996302438</v>
      </c>
      <c r="I166" s="8">
        <f t="shared" si="86"/>
        <v>2161.988996302438</v>
      </c>
      <c r="J166" s="8">
        <f t="shared" si="86"/>
        <v>2161.988996302438</v>
      </c>
      <c r="K166" s="8">
        <f t="shared" si="86"/>
        <v>2161.988996302438</v>
      </c>
      <c r="L166" s="8">
        <f t="shared" si="86"/>
        <v>2161.988996302438</v>
      </c>
      <c r="M166" s="8">
        <f t="shared" si="86"/>
        <v>2161.988996302438</v>
      </c>
      <c r="N166" s="8">
        <f t="shared" si="86"/>
        <v>2161.988996302438</v>
      </c>
      <c r="O166" s="8">
        <f t="shared" si="86"/>
        <v>2161.988996302438</v>
      </c>
      <c r="P166" s="8">
        <f t="shared" si="86"/>
        <v>2161.988996302438</v>
      </c>
      <c r="Q166" s="8">
        <f t="shared" si="86"/>
        <v>2161.988996302438</v>
      </c>
      <c r="R166" s="8">
        <f t="shared" ref="R166" si="87">+Q166</f>
        <v>2161.988996302438</v>
      </c>
      <c r="S166" s="8">
        <f t="shared" ref="S166" si="88">+R166</f>
        <v>2161.988996302438</v>
      </c>
      <c r="T166" s="8">
        <f t="shared" ref="T166" si="89">+S166</f>
        <v>2161.988996302438</v>
      </c>
      <c r="U166" s="8">
        <f t="shared" ref="U166" si="90">+T166</f>
        <v>2161.988996302438</v>
      </c>
      <c r="V166" s="8">
        <f t="shared" ref="V166" si="91">+U166</f>
        <v>2161.988996302438</v>
      </c>
    </row>
    <row r="167" spans="1:24">
      <c r="A167" s="187">
        <v>13</v>
      </c>
      <c r="B167" s="124" t="s">
        <v>179</v>
      </c>
      <c r="C167" s="182">
        <f>C161-C164-C165-C166</f>
        <v>526.87379347884962</v>
      </c>
      <c r="D167" s="182">
        <f t="shared" ref="D167:Q167" ca="1" si="92">D161-D164-D165-D166</f>
        <v>1581.3113927071222</v>
      </c>
      <c r="E167" s="182">
        <f t="shared" ca="1" si="92"/>
        <v>2936.0664870659893</v>
      </c>
      <c r="F167" s="182">
        <f t="shared" ca="1" si="92"/>
        <v>3338.35823018664</v>
      </c>
      <c r="G167" s="182">
        <f t="shared" ca="1" si="92"/>
        <v>3801.8580605343068</v>
      </c>
      <c r="H167" s="182">
        <f t="shared" ca="1" si="92"/>
        <v>4297.3866180427431</v>
      </c>
      <c r="I167" s="182">
        <f t="shared" ca="1" si="92"/>
        <v>4827.223519545917</v>
      </c>
      <c r="J167" s="182">
        <f t="shared" ca="1" si="92"/>
        <v>5363.827322774745</v>
      </c>
      <c r="K167" s="182">
        <f t="shared" ca="1" si="92"/>
        <v>5747.4155537751149</v>
      </c>
      <c r="L167" s="182">
        <f t="shared" ca="1" si="92"/>
        <v>5673.7493176342041</v>
      </c>
      <c r="M167" s="182">
        <f t="shared" ca="1" si="92"/>
        <v>5597.1860776277035</v>
      </c>
      <c r="N167" s="182">
        <f t="shared" ca="1" si="92"/>
        <v>5517.6045728005784</v>
      </c>
      <c r="O167" s="182">
        <f t="shared" ca="1" si="92"/>
        <v>5434.8781868271844</v>
      </c>
      <c r="P167" s="182">
        <f t="shared" ca="1" si="92"/>
        <v>5348.8747014730698</v>
      </c>
      <c r="Q167" s="182">
        <f t="shared" ca="1" si="92"/>
        <v>5259.4560383667276</v>
      </c>
      <c r="R167" s="182">
        <f t="shared" ref="R167:V167" ca="1" si="93">R161-R164-R165-R166</f>
        <v>5166.4779885160151</v>
      </c>
      <c r="S167" s="182">
        <f t="shared" ca="1" si="93"/>
        <v>5069.7899289760444</v>
      </c>
      <c r="T167" s="182">
        <f t="shared" ca="1" si="93"/>
        <v>4969.2345260464481</v>
      </c>
      <c r="U167" s="182">
        <f t="shared" ca="1" si="93"/>
        <v>4864.6474243453649</v>
      </c>
      <c r="V167" s="182">
        <f t="shared" ca="1" si="93"/>
        <v>4755.8569210754704</v>
      </c>
    </row>
    <row r="168" spans="1:24">
      <c r="A168" s="90">
        <v>14</v>
      </c>
      <c r="B168" s="66" t="s">
        <v>155</v>
      </c>
      <c r="C168" s="117">
        <f ca="1">C241</f>
        <v>92.055389196624617</v>
      </c>
      <c r="D168" s="117">
        <f t="shared" ref="D168:Q168" ca="1" si="94">D241</f>
        <v>276.2867265337884</v>
      </c>
      <c r="E168" s="117">
        <f t="shared" ca="1" si="94"/>
        <v>512.9895366201697</v>
      </c>
      <c r="F168" s="117">
        <f t="shared" ca="1" si="94"/>
        <v>583.27794997820979</v>
      </c>
      <c r="G168" s="117">
        <f t="shared" ca="1" si="94"/>
        <v>664.26064033655416</v>
      </c>
      <c r="H168" s="117">
        <f t="shared" ca="1" si="94"/>
        <v>750.83938990442812</v>
      </c>
      <c r="I168" s="117">
        <f t="shared" ca="1" si="94"/>
        <v>843.41249333506266</v>
      </c>
      <c r="J168" s="117">
        <f t="shared" ca="1" si="94"/>
        <v>937.16790983520355</v>
      </c>
      <c r="K168" s="117">
        <f t="shared" ca="1" si="94"/>
        <v>1004.1884455555883</v>
      </c>
      <c r="L168" s="117">
        <f t="shared" ca="1" si="94"/>
        <v>991.31748077704833</v>
      </c>
      <c r="M168" s="117">
        <f t="shared" ca="1" si="94"/>
        <v>2242.026714238038</v>
      </c>
      <c r="N168" s="117">
        <f t="shared" ca="1" si="94"/>
        <v>2360.4844395728155</v>
      </c>
      <c r="O168" s="117">
        <f t="shared" ca="1" si="94"/>
        <v>2378.4804480571297</v>
      </c>
      <c r="P168" s="117">
        <f t="shared" ca="1" si="94"/>
        <v>2388.4514187923487</v>
      </c>
      <c r="Q168" s="117">
        <f t="shared" ca="1" si="94"/>
        <v>2391.3655149557248</v>
      </c>
      <c r="R168" s="117">
        <f t="shared" ref="R168:V168" ca="1" si="95">R241</f>
        <v>2388.0378524417083</v>
      </c>
      <c r="S168" s="117">
        <f t="shared" ca="1" si="95"/>
        <v>2379.1528809048095</v>
      </c>
      <c r="T168" s="117">
        <f t="shared" ca="1" si="95"/>
        <v>2365.2834036576519</v>
      </c>
      <c r="U168" s="117">
        <f t="shared" ca="1" si="95"/>
        <v>2346.906738104813</v>
      </c>
      <c r="V168" s="117">
        <f t="shared" ca="1" si="95"/>
        <v>2324.4184432512511</v>
      </c>
    </row>
    <row r="169" spans="1:24" s="148" customFormat="1">
      <c r="A169" s="187">
        <v>15</v>
      </c>
      <c r="B169" s="124" t="s">
        <v>213</v>
      </c>
      <c r="C169" s="182">
        <f ca="1">C167-C168</f>
        <v>434.818404282225</v>
      </c>
      <c r="D169" s="182">
        <f t="shared" ref="D169:Q169" ca="1" si="96">D167-D168</f>
        <v>1305.0246661733338</v>
      </c>
      <c r="E169" s="182">
        <f t="shared" ca="1" si="96"/>
        <v>2423.0769504458194</v>
      </c>
      <c r="F169" s="182">
        <f t="shared" ca="1" si="96"/>
        <v>2755.0802802084299</v>
      </c>
      <c r="G169" s="182">
        <f t="shared" ca="1" si="96"/>
        <v>3137.5974201977524</v>
      </c>
      <c r="H169" s="182">
        <f t="shared" ca="1" si="96"/>
        <v>3546.5472281383149</v>
      </c>
      <c r="I169" s="182">
        <f t="shared" ca="1" si="96"/>
        <v>3983.8110262108544</v>
      </c>
      <c r="J169" s="182">
        <f t="shared" ca="1" si="96"/>
        <v>4426.6594129395417</v>
      </c>
      <c r="K169" s="182">
        <f t="shared" ca="1" si="96"/>
        <v>4743.2271082195266</v>
      </c>
      <c r="L169" s="182">
        <f t="shared" ca="1" si="96"/>
        <v>4682.4318368571558</v>
      </c>
      <c r="M169" s="182">
        <f t="shared" ca="1" si="96"/>
        <v>3355.1593633896655</v>
      </c>
      <c r="N169" s="182">
        <f t="shared" ca="1" si="96"/>
        <v>3157.1201332277628</v>
      </c>
      <c r="O169" s="182">
        <f t="shared" ca="1" si="96"/>
        <v>3056.3977387700547</v>
      </c>
      <c r="P169" s="182">
        <f t="shared" ca="1" si="96"/>
        <v>2960.4232826807211</v>
      </c>
      <c r="Q169" s="182">
        <f t="shared" ca="1" si="96"/>
        <v>2868.0905234110028</v>
      </c>
      <c r="R169" s="182">
        <f t="shared" ref="R169:V169" ca="1" si="97">R167-R168</f>
        <v>2778.4401360743068</v>
      </c>
      <c r="S169" s="182">
        <f t="shared" ca="1" si="97"/>
        <v>2690.6370480712349</v>
      </c>
      <c r="T169" s="182">
        <f t="shared" ca="1" si="97"/>
        <v>2603.9511223887962</v>
      </c>
      <c r="U169" s="182">
        <f t="shared" ca="1" si="97"/>
        <v>2517.7406862405519</v>
      </c>
      <c r="V169" s="182">
        <f t="shared" ca="1" si="97"/>
        <v>2431.4384778242193</v>
      </c>
    </row>
    <row r="170" spans="1:24">
      <c r="A170" s="90">
        <v>16</v>
      </c>
      <c r="B170" s="66" t="s">
        <v>214</v>
      </c>
      <c r="C170" s="8">
        <f ca="1">C169</f>
        <v>0</v>
      </c>
      <c r="D170" s="8">
        <f ca="1">D169+C170</f>
        <v>1739.8430704555587</v>
      </c>
      <c r="E170" s="8">
        <f t="shared" ref="E170:F170" ca="1" si="98">E169+D170</f>
        <v>4162.9200209013779</v>
      </c>
      <c r="F170" s="8">
        <f t="shared" ca="1" si="98"/>
        <v>6918.0003011098079</v>
      </c>
      <c r="G170" s="8">
        <f t="shared" ref="G170" ca="1" si="99">G169+F170</f>
        <v>10055.59772130756</v>
      </c>
      <c r="H170" s="8">
        <f t="shared" ref="H170" ca="1" si="100">H169+G170</f>
        <v>13602.144949445876</v>
      </c>
      <c r="I170" s="8">
        <f t="shared" ref="I170" ca="1" si="101">I169+H170</f>
        <v>17585.955975656729</v>
      </c>
      <c r="J170" s="8">
        <f t="shared" ref="J170" ca="1" si="102">J169+I170</f>
        <v>22012.61538859627</v>
      </c>
      <c r="K170" s="8">
        <f t="shared" ref="K170" ca="1" si="103">K169+J170</f>
        <v>26755.842496815796</v>
      </c>
      <c r="L170" s="8">
        <f t="shared" ref="L170" ca="1" si="104">L169+K170</f>
        <v>31438.274333672951</v>
      </c>
      <c r="M170" s="8">
        <f t="shared" ref="M170" ca="1" si="105">M169+L170</f>
        <v>34793.433697062617</v>
      </c>
      <c r="N170" s="8">
        <f t="shared" ref="N170" ca="1" si="106">N169+M170</f>
        <v>37950.553830290381</v>
      </c>
      <c r="O170" s="8">
        <f t="shared" ref="O170" ca="1" si="107">O169+N170</f>
        <v>41006.951569060438</v>
      </c>
      <c r="P170" s="8">
        <f t="shared" ref="P170" ca="1" si="108">P169+O170</f>
        <v>43967.374851741159</v>
      </c>
      <c r="Q170" s="8">
        <f t="shared" ref="Q170" ca="1" si="109">Q169+P170</f>
        <v>46835.465375152162</v>
      </c>
      <c r="R170" s="8">
        <f t="shared" ref="R170" ca="1" si="110">R169+Q170</f>
        <v>49613.905511226469</v>
      </c>
      <c r="S170" s="8">
        <f t="shared" ref="S170" ca="1" si="111">S169+R170</f>
        <v>52304.542559297704</v>
      </c>
      <c r="T170" s="8">
        <f t="shared" ref="T170" ca="1" si="112">T169+S170</f>
        <v>54908.493681686501</v>
      </c>
      <c r="U170" s="8">
        <f t="shared" ref="U170" ca="1" si="113">U169+T170</f>
        <v>57426.234367927056</v>
      </c>
      <c r="V170" s="8">
        <f t="shared" ref="V170" ca="1" si="114">V169+U170</f>
        <v>59857.672845751273</v>
      </c>
    </row>
    <row r="171" spans="1:24" s="67" customFormat="1">
      <c r="A171" s="79"/>
      <c r="B171" s="345" t="s">
        <v>380</v>
      </c>
      <c r="C171" s="346">
        <f t="shared" ref="C171:V171" si="115">C161/C122</f>
        <v>0.31197481135755445</v>
      </c>
      <c r="D171" s="346">
        <f t="shared" si="115"/>
        <v>0.32059092946748052</v>
      </c>
      <c r="E171" s="346">
        <f t="shared" si="115"/>
        <v>0.32740120835165837</v>
      </c>
      <c r="F171" s="346">
        <f t="shared" si="115"/>
        <v>0.32509038003066748</v>
      </c>
      <c r="G171" s="346">
        <f t="shared" si="115"/>
        <v>0.32268999646049401</v>
      </c>
      <c r="H171" s="346">
        <f t="shared" si="115"/>
        <v>0.32019635946368469</v>
      </c>
      <c r="I171" s="346">
        <f t="shared" si="115"/>
        <v>0.31760560934146392</v>
      </c>
      <c r="J171" s="346">
        <f t="shared" si="115"/>
        <v>0.31491371749929403</v>
      </c>
      <c r="K171" s="346">
        <f t="shared" si="115"/>
        <v>0.31211647872476234</v>
      </c>
      <c r="L171" s="346">
        <f t="shared" si="115"/>
        <v>0.30920950310104328</v>
      </c>
      <c r="M171" s="346">
        <f t="shared" si="115"/>
        <v>0.30618820753836362</v>
      </c>
      <c r="N171" s="346">
        <f t="shared" si="115"/>
        <v>0.30304780690504207</v>
      </c>
      <c r="O171" s="346">
        <f t="shared" si="115"/>
        <v>0.29978330473877113</v>
      </c>
      <c r="P171" s="346">
        <f t="shared" si="115"/>
        <v>0.2963894835178652</v>
      </c>
      <c r="Q171" s="346">
        <f t="shared" si="115"/>
        <v>0.29286089447120256</v>
      </c>
      <c r="R171" s="346">
        <f t="shared" si="115"/>
        <v>0.28919184690455413</v>
      </c>
      <c r="S171" s="346">
        <f t="shared" si="115"/>
        <v>0.2853763970198912</v>
      </c>
      <c r="T171" s="346">
        <f t="shared" si="115"/>
        <v>0.28140833620312244</v>
      </c>
      <c r="U171" s="346">
        <f t="shared" si="115"/>
        <v>0.27728117875450636</v>
      </c>
      <c r="V171" s="346">
        <f t="shared" si="115"/>
        <v>0.2729881490347203</v>
      </c>
    </row>
    <row r="172" spans="1:24">
      <c r="B172" s="81"/>
      <c r="C172" s="54"/>
      <c r="D172" s="54"/>
      <c r="E172" s="54"/>
      <c r="F172" s="54"/>
      <c r="G172" s="54"/>
      <c r="H172" s="270"/>
      <c r="I172" s="54"/>
      <c r="J172" s="54"/>
      <c r="K172" s="270"/>
      <c r="L172" s="54"/>
    </row>
    <row r="173" spans="1:24" ht="18.75">
      <c r="A173" s="437" t="s">
        <v>123</v>
      </c>
      <c r="B173" s="438"/>
      <c r="C173" s="438"/>
      <c r="D173" s="438"/>
      <c r="E173" s="438"/>
      <c r="F173" s="438"/>
      <c r="G173" s="438"/>
      <c r="H173" s="438"/>
      <c r="I173" s="438"/>
      <c r="J173" s="438"/>
      <c r="K173" s="438"/>
      <c r="L173" s="438"/>
      <c r="M173" s="438"/>
      <c r="N173" s="438"/>
      <c r="O173" s="438"/>
      <c r="P173" s="438"/>
      <c r="Q173" s="438"/>
      <c r="R173" s="438"/>
      <c r="S173" s="439"/>
    </row>
    <row r="174" spans="1:24">
      <c r="C174" s="440" t="s">
        <v>366</v>
      </c>
      <c r="D174" s="441"/>
      <c r="S174" s="397"/>
      <c r="T174" s="397"/>
      <c r="U174" s="397"/>
      <c r="V174" s="397"/>
      <c r="W174" s="397"/>
      <c r="X174" s="397"/>
    </row>
    <row r="175" spans="1:24" s="67" customFormat="1">
      <c r="A175" s="129" t="s">
        <v>69</v>
      </c>
      <c r="B175" s="130" t="s">
        <v>70</v>
      </c>
      <c r="C175" s="72">
        <v>-2</v>
      </c>
      <c r="D175" s="72">
        <v>-1</v>
      </c>
      <c r="E175" s="340" t="s">
        <v>125</v>
      </c>
      <c r="F175" s="340" t="s">
        <v>126</v>
      </c>
      <c r="G175" s="340" t="s">
        <v>127</v>
      </c>
      <c r="H175" s="340" t="s">
        <v>128</v>
      </c>
      <c r="I175" s="340" t="s">
        <v>129</v>
      </c>
      <c r="J175" s="340" t="s">
        <v>130</v>
      </c>
      <c r="K175" s="340" t="s">
        <v>131</v>
      </c>
      <c r="L175" s="340" t="s">
        <v>132</v>
      </c>
      <c r="M175" s="340" t="s">
        <v>133</v>
      </c>
      <c r="N175" s="340" t="s">
        <v>134</v>
      </c>
      <c r="O175" s="340" t="s">
        <v>135</v>
      </c>
      <c r="P175" s="340" t="s">
        <v>136</v>
      </c>
      <c r="Q175" s="340" t="s">
        <v>137</v>
      </c>
      <c r="R175" s="340" t="s">
        <v>138</v>
      </c>
      <c r="S175" s="340" t="s">
        <v>139</v>
      </c>
      <c r="T175" s="397">
        <f>+S175+1</f>
        <v>16</v>
      </c>
      <c r="U175" s="397">
        <f t="shared" ref="U175:X175" si="116">+T175+1</f>
        <v>17</v>
      </c>
      <c r="V175" s="397">
        <f t="shared" si="116"/>
        <v>18</v>
      </c>
      <c r="W175" s="397">
        <f t="shared" si="116"/>
        <v>19</v>
      </c>
      <c r="X175" s="397">
        <f t="shared" si="116"/>
        <v>20</v>
      </c>
    </row>
    <row r="176" spans="1:24">
      <c r="B176" s="127" t="s">
        <v>124</v>
      </c>
      <c r="C176" s="62"/>
      <c r="D176" s="62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</row>
    <row r="177" spans="1:24">
      <c r="A177" s="63">
        <v>1.1000000000000001</v>
      </c>
      <c r="B177" s="296" t="s">
        <v>121</v>
      </c>
      <c r="C177" s="63">
        <v>0</v>
      </c>
      <c r="D177" s="63">
        <v>0</v>
      </c>
      <c r="E177" s="306">
        <f>C161</f>
        <v>6324.6516237600008</v>
      </c>
      <c r="F177" s="8">
        <f t="shared" ref="F177:S177" si="117">D161</f>
        <v>7311.7415329800024</v>
      </c>
      <c r="G177" s="8">
        <f t="shared" si="117"/>
        <v>8296.737864075003</v>
      </c>
      <c r="H177" s="8">
        <f t="shared" si="117"/>
        <v>8238.178712981251</v>
      </c>
      <c r="I177" s="8">
        <f t="shared" si="117"/>
        <v>8177.3501248546891</v>
      </c>
      <c r="J177" s="8">
        <f t="shared" si="117"/>
        <v>8114.1583834593293</v>
      </c>
      <c r="K177" s="8">
        <f t="shared" si="117"/>
        <v>8048.505679415859</v>
      </c>
      <c r="L177" s="8">
        <f t="shared" si="117"/>
        <v>7980.2899233245225</v>
      </c>
      <c r="M177" s="8">
        <f t="shared" si="117"/>
        <v>7909.4045500775537</v>
      </c>
      <c r="N177" s="8">
        <f t="shared" si="117"/>
        <v>7835.738313936643</v>
      </c>
      <c r="O177" s="8">
        <f t="shared" si="117"/>
        <v>7759.1750739301424</v>
      </c>
      <c r="P177" s="8">
        <f t="shared" si="117"/>
        <v>7679.5935691030172</v>
      </c>
      <c r="Q177" s="8">
        <f t="shared" si="117"/>
        <v>7596.8671831296233</v>
      </c>
      <c r="R177" s="8">
        <f t="shared" si="117"/>
        <v>7510.8636977755086</v>
      </c>
      <c r="S177" s="8">
        <f t="shared" si="117"/>
        <v>7421.4450346691665</v>
      </c>
      <c r="T177" s="8">
        <f t="shared" ref="T177" si="118">R161</f>
        <v>7328.4669848184531</v>
      </c>
      <c r="U177" s="8">
        <f t="shared" ref="U177" si="119">S161</f>
        <v>7231.7789252784823</v>
      </c>
      <c r="V177" s="8">
        <f t="shared" ref="V177" si="120">T161</f>
        <v>7131.223522348886</v>
      </c>
      <c r="W177" s="8">
        <f t="shared" ref="W177" si="121">U161</f>
        <v>7026.6364206478029</v>
      </c>
      <c r="X177" s="8">
        <f t="shared" ref="X177" si="122">V161</f>
        <v>6917.8459173779083</v>
      </c>
    </row>
    <row r="178" spans="1:24">
      <c r="A178" s="91">
        <v>2</v>
      </c>
      <c r="B178" s="297" t="s">
        <v>140</v>
      </c>
      <c r="C178" s="63">
        <v>0</v>
      </c>
      <c r="D178" s="63">
        <v>0</v>
      </c>
      <c r="E178" s="306">
        <f ca="1">-E202</f>
        <v>4301.3990471007619</v>
      </c>
      <c r="F178" s="8">
        <f t="shared" ref="F178:S178" ca="1" si="123">-F202</f>
        <v>941.27601092746045</v>
      </c>
      <c r="G178" s="8">
        <f t="shared" ca="1" si="123"/>
        <v>0</v>
      </c>
      <c r="H178" s="8">
        <f t="shared" ca="1" si="123"/>
        <v>0</v>
      </c>
      <c r="I178" s="8">
        <f t="shared" ca="1" si="123"/>
        <v>0</v>
      </c>
      <c r="J178" s="8">
        <f t="shared" ca="1" si="123"/>
        <v>0</v>
      </c>
      <c r="K178" s="8">
        <f t="shared" ca="1" si="123"/>
        <v>0</v>
      </c>
      <c r="L178" s="8">
        <f t="shared" ca="1" si="123"/>
        <v>0</v>
      </c>
      <c r="M178" s="8">
        <f t="shared" ca="1" si="123"/>
        <v>0</v>
      </c>
      <c r="N178" s="8">
        <f t="shared" ca="1" si="123"/>
        <v>0</v>
      </c>
      <c r="O178" s="8">
        <f t="shared" ca="1" si="123"/>
        <v>0</v>
      </c>
      <c r="P178" s="8">
        <f t="shared" ca="1" si="123"/>
        <v>0</v>
      </c>
      <c r="Q178" s="8">
        <f t="shared" ca="1" si="123"/>
        <v>0</v>
      </c>
      <c r="R178" s="8">
        <f t="shared" ca="1" si="123"/>
        <v>0</v>
      </c>
      <c r="S178" s="8">
        <f t="shared" ca="1" si="123"/>
        <v>0</v>
      </c>
      <c r="T178" s="8">
        <f t="shared" ref="T178:X178" ca="1" si="124">-T202</f>
        <v>0</v>
      </c>
      <c r="U178" s="8">
        <f t="shared" ca="1" si="124"/>
        <v>0</v>
      </c>
      <c r="V178" s="8">
        <f t="shared" ca="1" si="124"/>
        <v>0</v>
      </c>
      <c r="W178" s="8">
        <f t="shared" ca="1" si="124"/>
        <v>0</v>
      </c>
      <c r="X178" s="8">
        <f t="shared" ca="1" si="124"/>
        <v>0</v>
      </c>
    </row>
    <row r="179" spans="1:24">
      <c r="A179" s="89">
        <v>3</v>
      </c>
      <c r="B179" s="298" t="s">
        <v>141</v>
      </c>
      <c r="C179" s="63">
        <v>0</v>
      </c>
      <c r="D179" s="343">
        <f>+'bal sheet'!D45+'Project Cost'!I15*0</f>
        <v>32197.083021024493</v>
      </c>
      <c r="E179" s="344">
        <f>'Project Cost'!I13</f>
        <v>855.54274241835606</v>
      </c>
      <c r="F179" s="63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63">
        <v>0</v>
      </c>
      <c r="Q179" s="63">
        <v>0</v>
      </c>
      <c r="R179" s="63">
        <v>0</v>
      </c>
      <c r="S179" s="63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</row>
    <row r="180" spans="1:24">
      <c r="A180" s="102">
        <v>4</v>
      </c>
      <c r="B180" s="299" t="s">
        <v>142</v>
      </c>
      <c r="C180" s="117">
        <f>+'bal sheet'!C46</f>
        <v>14165.411041475507</v>
      </c>
      <c r="D180" s="63">
        <v>0</v>
      </c>
      <c r="E180" s="306">
        <v>0</v>
      </c>
      <c r="F180" s="306">
        <v>0</v>
      </c>
      <c r="G180" s="306">
        <v>0</v>
      </c>
      <c r="H180" s="306">
        <v>0</v>
      </c>
      <c r="I180" s="306">
        <v>0</v>
      </c>
      <c r="J180" s="306">
        <v>0</v>
      </c>
      <c r="K180" s="306">
        <v>0</v>
      </c>
      <c r="L180" s="306">
        <v>0</v>
      </c>
      <c r="M180" s="306">
        <v>0</v>
      </c>
      <c r="N180" s="306">
        <v>0</v>
      </c>
      <c r="O180" s="306">
        <v>0</v>
      </c>
      <c r="P180" s="306">
        <v>0</v>
      </c>
      <c r="Q180" s="306">
        <v>0</v>
      </c>
      <c r="R180" s="306">
        <v>0</v>
      </c>
      <c r="S180" s="306">
        <v>0</v>
      </c>
      <c r="T180" s="306">
        <v>0</v>
      </c>
      <c r="U180" s="306">
        <v>0</v>
      </c>
      <c r="V180" s="306">
        <v>0</v>
      </c>
      <c r="W180" s="306">
        <v>0</v>
      </c>
      <c r="X180" s="306">
        <v>0</v>
      </c>
    </row>
    <row r="181" spans="1:24">
      <c r="A181" s="102">
        <v>5</v>
      </c>
      <c r="B181" s="76" t="s">
        <v>143</v>
      </c>
      <c r="C181" s="308">
        <f>+'bal sheet'!C43</f>
        <v>41.896701369863017</v>
      </c>
      <c r="D181" s="308">
        <f>+'bal sheet'!D43-'bal sheet'!C43</f>
        <v>37.979235616438352</v>
      </c>
      <c r="E181" s="308">
        <f>+'bal sheet'!E43</f>
        <v>605.06100000000004</v>
      </c>
      <c r="F181" s="8">
        <f>+IF('bal sheet'!F43-'bal sheet'!E43&lt;0,0,'bal sheet'!F43-'bal sheet'!E43)</f>
        <v>75.632624999999962</v>
      </c>
      <c r="G181" s="8">
        <f>+IF('bal sheet'!G43-'bal sheet'!F43&lt;0,0,'bal sheet'!G43-'bal sheet'!F43)</f>
        <v>75.632624999999962</v>
      </c>
      <c r="H181" s="8">
        <f>+IF('bal sheet'!H43-'bal sheet'!G43&lt;0,0,'bal sheet'!H43-'bal sheet'!G43)</f>
        <v>0</v>
      </c>
      <c r="I181" s="8">
        <f>+IF('bal sheet'!I43-'bal sheet'!H43&lt;0,0,'bal sheet'!I43-'bal sheet'!H43)</f>
        <v>0</v>
      </c>
      <c r="J181" s="8">
        <f>+IF('bal sheet'!J43-'bal sheet'!I43&lt;0,0,'bal sheet'!J43-'bal sheet'!I43)</f>
        <v>0</v>
      </c>
      <c r="K181" s="8">
        <f>+IF('bal sheet'!K43-'bal sheet'!J43&lt;0,0,'bal sheet'!K43-'bal sheet'!J43)</f>
        <v>0</v>
      </c>
      <c r="L181" s="8">
        <f>+IF('bal sheet'!L43-'bal sheet'!K43&lt;0,0,'bal sheet'!L43-'bal sheet'!K43)</f>
        <v>0</v>
      </c>
      <c r="M181" s="8">
        <f>+IF('bal sheet'!M43-'bal sheet'!L43&lt;0,0,'bal sheet'!M43-'bal sheet'!L43)</f>
        <v>0</v>
      </c>
      <c r="N181" s="8">
        <f>+IF('bal sheet'!N43-'bal sheet'!M43&lt;0,0,'bal sheet'!N43-'bal sheet'!M43)</f>
        <v>0</v>
      </c>
      <c r="O181" s="8">
        <f>+IF('bal sheet'!O43-'bal sheet'!N43&lt;0,0,'bal sheet'!O43-'bal sheet'!N43)</f>
        <v>0</v>
      </c>
      <c r="P181" s="8">
        <f>+IF('bal sheet'!P43-'bal sheet'!O43&lt;0,0,'bal sheet'!P43-'bal sheet'!O43)</f>
        <v>0</v>
      </c>
      <c r="Q181" s="8">
        <f>+IF('bal sheet'!Q43-'bal sheet'!P43&lt;0,0,'bal sheet'!Q43-'bal sheet'!P43)</f>
        <v>0</v>
      </c>
      <c r="R181" s="8">
        <f>+IF('bal sheet'!R43-'bal sheet'!Q43&lt;0,0,'bal sheet'!R43-'bal sheet'!Q43)</f>
        <v>0</v>
      </c>
      <c r="S181" s="8">
        <f>+IF('bal sheet'!S43-'bal sheet'!R43&lt;0,0,'bal sheet'!S43-'bal sheet'!R43)</f>
        <v>0</v>
      </c>
      <c r="T181" s="8">
        <f>+IF('bal sheet'!T43-'bal sheet'!S43&lt;0,0,'bal sheet'!T43-'bal sheet'!S43)</f>
        <v>0</v>
      </c>
      <c r="U181" s="8">
        <f>+IF('bal sheet'!U43-'bal sheet'!T43&lt;0,0,'bal sheet'!U43-'bal sheet'!T43)</f>
        <v>0</v>
      </c>
      <c r="V181" s="8">
        <f>+IF('bal sheet'!V43-'bal sheet'!U43&lt;0,0,'bal sheet'!V43-'bal sheet'!U43)</f>
        <v>0</v>
      </c>
      <c r="W181" s="8">
        <f>+IF('bal sheet'!W43-'bal sheet'!V43&lt;0,0,'bal sheet'!W43-'bal sheet'!V43)</f>
        <v>0</v>
      </c>
      <c r="X181" s="8">
        <f>+IF('bal sheet'!X43-'bal sheet'!W43&lt;0,0,'bal sheet'!X43-'bal sheet'!W43)</f>
        <v>0</v>
      </c>
    </row>
    <row r="182" spans="1:24">
      <c r="A182" s="102">
        <v>6</v>
      </c>
      <c r="B182" s="300" t="s">
        <v>144</v>
      </c>
      <c r="C182" s="63">
        <v>0</v>
      </c>
      <c r="D182" s="63">
        <v>0</v>
      </c>
      <c r="E182" s="307">
        <v>0</v>
      </c>
      <c r="F182" s="63">
        <f>+IF('bal sheet'!F32-'bal sheet'!E32&gt;0,0,-('bal sheet'!F32-'bal sheet'!E32))</f>
        <v>0</v>
      </c>
      <c r="G182" s="63">
        <f>+IF('bal sheet'!G32-'bal sheet'!F32&gt;0,0,-('bal sheet'!G32-'bal sheet'!F32))</f>
        <v>0</v>
      </c>
      <c r="H182" s="63">
        <f>+IF('bal sheet'!H32-'bal sheet'!G32&gt;0,0,-('bal sheet'!H32-'bal sheet'!G32))</f>
        <v>0</v>
      </c>
      <c r="I182" s="63">
        <f>+IF('bal sheet'!I32-'bal sheet'!H32&gt;0,0,-('bal sheet'!I32-'bal sheet'!H32))</f>
        <v>0</v>
      </c>
      <c r="J182" s="63">
        <f>+IF('bal sheet'!J32-'bal sheet'!I32&gt;0,0,-('bal sheet'!J32-'bal sheet'!I32))</f>
        <v>0</v>
      </c>
      <c r="K182" s="63">
        <f>+IF('bal sheet'!K32-'bal sheet'!J32&gt;0,0,-('bal sheet'!K32-'bal sheet'!J32))</f>
        <v>0</v>
      </c>
      <c r="L182" s="63">
        <f>+IF('bal sheet'!L32-'bal sheet'!K32&gt;0,0,-('bal sheet'!L32-'bal sheet'!K32))</f>
        <v>0</v>
      </c>
      <c r="M182" s="63">
        <f>+IF('bal sheet'!M32-'bal sheet'!L32&gt;0,0,-('bal sheet'!M32-'bal sheet'!L32))</f>
        <v>0</v>
      </c>
      <c r="N182" s="63">
        <f>+IF('bal sheet'!N32-'bal sheet'!M32&gt;0,0,-('bal sheet'!N32-'bal sheet'!M32))</f>
        <v>0</v>
      </c>
      <c r="O182" s="63">
        <f>+IF('bal sheet'!O32-'bal sheet'!N32&gt;0,0,-('bal sheet'!O32-'bal sheet'!N32))</f>
        <v>0</v>
      </c>
      <c r="P182" s="63">
        <f>+IF('bal sheet'!P32-'bal sheet'!O32&gt;0,0,-('bal sheet'!P32-'bal sheet'!O32))</f>
        <v>0</v>
      </c>
      <c r="Q182" s="63">
        <f>+IF('bal sheet'!Q32-'bal sheet'!P32&gt;0,0,-('bal sheet'!Q32-'bal sheet'!P32))</f>
        <v>0</v>
      </c>
      <c r="R182" s="63">
        <f>+IF('bal sheet'!R32-'bal sheet'!Q32&gt;0,0,-('bal sheet'!R32-'bal sheet'!Q32))</f>
        <v>0</v>
      </c>
      <c r="S182" s="63">
        <f>+IF('bal sheet'!S32-'bal sheet'!R32&gt;0,0,-('bal sheet'!S32-'bal sheet'!R32))</f>
        <v>0</v>
      </c>
      <c r="T182" s="63">
        <f>+IF('bal sheet'!T32-'bal sheet'!S32&gt;0,0,-('bal sheet'!T32-'bal sheet'!S32))</f>
        <v>0</v>
      </c>
      <c r="U182" s="63">
        <f>+IF('bal sheet'!U32-'bal sheet'!T32&gt;0,0,-('bal sheet'!U32-'bal sheet'!T32))</f>
        <v>0</v>
      </c>
      <c r="V182" s="63">
        <f>+IF('bal sheet'!V32-'bal sheet'!U32&gt;0,0,-('bal sheet'!V32-'bal sheet'!U32))</f>
        <v>0</v>
      </c>
      <c r="W182" s="63">
        <f>+IF('bal sheet'!W32-'bal sheet'!V32&gt;0,0,-('bal sheet'!W32-'bal sheet'!V32))</f>
        <v>0</v>
      </c>
      <c r="X182" s="63">
        <f>+IF('bal sheet'!X32-'bal sheet'!W32&gt;0,0,-('bal sheet'!X32-'bal sheet'!W32))</f>
        <v>0</v>
      </c>
    </row>
    <row r="183" spans="1:24">
      <c r="A183" s="112"/>
      <c r="B183" s="114" t="s">
        <v>145</v>
      </c>
      <c r="C183" s="306">
        <f>SUM(C177:C182)</f>
        <v>14207.307742845371</v>
      </c>
      <c r="D183" s="306">
        <f t="shared" ref="D183" si="125">SUM(D177:D182)</f>
        <v>32235.062256640933</v>
      </c>
      <c r="E183" s="306">
        <f ca="1">SUM(E177:E182)</f>
        <v>12086.654413279119</v>
      </c>
      <c r="F183" s="8">
        <f ca="1">SUM(F177:F182)</f>
        <v>8328.650168907463</v>
      </c>
      <c r="G183" s="8">
        <f t="shared" ref="G183:S183" ca="1" si="126">SUM(G177:G182)</f>
        <v>8372.3704890750032</v>
      </c>
      <c r="H183" s="8">
        <f t="shared" ca="1" si="126"/>
        <v>8238.178712981251</v>
      </c>
      <c r="I183" s="8">
        <f t="shared" ca="1" si="126"/>
        <v>8177.3501248546891</v>
      </c>
      <c r="J183" s="8">
        <f t="shared" ca="1" si="126"/>
        <v>8114.1583834593293</v>
      </c>
      <c r="K183" s="8">
        <f t="shared" ca="1" si="126"/>
        <v>8048.505679415859</v>
      </c>
      <c r="L183" s="8">
        <f t="shared" ca="1" si="126"/>
        <v>7980.2899233245225</v>
      </c>
      <c r="M183" s="8">
        <f t="shared" ca="1" si="126"/>
        <v>7909.4045500775537</v>
      </c>
      <c r="N183" s="8">
        <f t="shared" ca="1" si="126"/>
        <v>7835.738313936643</v>
      </c>
      <c r="O183" s="8">
        <f t="shared" ca="1" si="126"/>
        <v>7759.1750739301424</v>
      </c>
      <c r="P183" s="8">
        <f t="shared" ca="1" si="126"/>
        <v>7679.5935691030172</v>
      </c>
      <c r="Q183" s="8">
        <f t="shared" ca="1" si="126"/>
        <v>7596.8671831296233</v>
      </c>
      <c r="R183" s="8">
        <f t="shared" ca="1" si="126"/>
        <v>7510.8636977755086</v>
      </c>
      <c r="S183" s="8">
        <f t="shared" ca="1" si="126"/>
        <v>7421.4450346691665</v>
      </c>
      <c r="T183" s="8">
        <f t="shared" ref="T183:X183" ca="1" si="127">SUM(T177:T182)</f>
        <v>7328.4669848184531</v>
      </c>
      <c r="U183" s="8">
        <f t="shared" ca="1" si="127"/>
        <v>7231.7789252784823</v>
      </c>
      <c r="V183" s="8">
        <f t="shared" ca="1" si="127"/>
        <v>7131.223522348886</v>
      </c>
      <c r="W183" s="8">
        <f t="shared" ca="1" si="127"/>
        <v>7026.6364206478029</v>
      </c>
      <c r="X183" s="8">
        <f t="shared" ca="1" si="127"/>
        <v>6917.8459173779083</v>
      </c>
    </row>
    <row r="184" spans="1:24">
      <c r="A184" s="112"/>
      <c r="B184" s="302" t="s">
        <v>146</v>
      </c>
      <c r="C184" s="63"/>
      <c r="D184" s="63"/>
      <c r="E184" s="306">
        <f>SUM(E177,E180:E182)</f>
        <v>6929.7126237600005</v>
      </c>
      <c r="F184" s="306">
        <f t="shared" ref="F184:S184" si="128">SUM(F177,F180:F182)</f>
        <v>7387.3741579800026</v>
      </c>
      <c r="G184" s="306">
        <f t="shared" si="128"/>
        <v>8372.3704890750032</v>
      </c>
      <c r="H184" s="306">
        <f t="shared" si="128"/>
        <v>8238.178712981251</v>
      </c>
      <c r="I184" s="306">
        <f t="shared" si="128"/>
        <v>8177.3501248546891</v>
      </c>
      <c r="J184" s="306">
        <f t="shared" si="128"/>
        <v>8114.1583834593293</v>
      </c>
      <c r="K184" s="306">
        <f t="shared" si="128"/>
        <v>8048.505679415859</v>
      </c>
      <c r="L184" s="306">
        <f t="shared" si="128"/>
        <v>7980.2899233245225</v>
      </c>
      <c r="M184" s="306">
        <f t="shared" si="128"/>
        <v>7909.4045500775537</v>
      </c>
      <c r="N184" s="306">
        <f t="shared" si="128"/>
        <v>7835.738313936643</v>
      </c>
      <c r="O184" s="306">
        <f t="shared" si="128"/>
        <v>7759.1750739301424</v>
      </c>
      <c r="P184" s="306">
        <f t="shared" si="128"/>
        <v>7679.5935691030172</v>
      </c>
      <c r="Q184" s="306">
        <f t="shared" si="128"/>
        <v>7596.8671831296233</v>
      </c>
      <c r="R184" s="306">
        <f t="shared" si="128"/>
        <v>7510.8636977755086</v>
      </c>
      <c r="S184" s="306">
        <f t="shared" si="128"/>
        <v>7421.4450346691665</v>
      </c>
      <c r="T184" s="306">
        <f t="shared" ref="T184:X184" si="129">SUM(T177,T180:T182)</f>
        <v>7328.4669848184531</v>
      </c>
      <c r="U184" s="306">
        <f t="shared" si="129"/>
        <v>7231.7789252784823</v>
      </c>
      <c r="V184" s="306">
        <f t="shared" si="129"/>
        <v>7131.223522348886</v>
      </c>
      <c r="W184" s="306">
        <f t="shared" si="129"/>
        <v>7026.6364206478029</v>
      </c>
      <c r="X184" s="306">
        <f t="shared" si="129"/>
        <v>6917.8459173779083</v>
      </c>
    </row>
    <row r="185" spans="1:24">
      <c r="A185" s="109" t="s">
        <v>42</v>
      </c>
      <c r="B185" s="303" t="s">
        <v>147</v>
      </c>
      <c r="C185" s="63"/>
      <c r="D185" s="63"/>
      <c r="E185" s="307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spans="1:24">
      <c r="A186" s="102">
        <v>1</v>
      </c>
      <c r="B186" s="299" t="s">
        <v>148</v>
      </c>
      <c r="C186" s="117">
        <f>+'bal sheet'!C35</f>
        <v>14165.411041475507</v>
      </c>
      <c r="D186" s="343">
        <f>+'bal sheet'!D45-'Project Cost'!I15</f>
        <v>28882.401458524495</v>
      </c>
      <c r="E186" s="307">
        <v>0</v>
      </c>
      <c r="F186" s="63">
        <v>0</v>
      </c>
      <c r="G186" s="63">
        <v>0</v>
      </c>
      <c r="H186" s="63">
        <v>0</v>
      </c>
      <c r="I186" s="63">
        <v>0</v>
      </c>
      <c r="J186" s="63">
        <v>0</v>
      </c>
      <c r="K186" s="63">
        <v>0</v>
      </c>
      <c r="L186" s="63">
        <v>0</v>
      </c>
      <c r="M186" s="63">
        <v>0</v>
      </c>
      <c r="N186" s="63">
        <v>0</v>
      </c>
      <c r="O186" s="63">
        <v>0</v>
      </c>
      <c r="P186" s="63">
        <v>0</v>
      </c>
      <c r="Q186" s="63">
        <v>0</v>
      </c>
      <c r="R186" s="63">
        <v>0</v>
      </c>
      <c r="S186" s="63">
        <v>0</v>
      </c>
      <c r="T186" s="63">
        <v>1</v>
      </c>
      <c r="U186" s="63">
        <v>2</v>
      </c>
      <c r="V186" s="63">
        <v>3</v>
      </c>
      <c r="W186" s="63">
        <v>4</v>
      </c>
      <c r="X186" s="63">
        <v>5</v>
      </c>
    </row>
    <row r="187" spans="1:24">
      <c r="A187" s="102">
        <v>2</v>
      </c>
      <c r="B187" s="300" t="s">
        <v>149</v>
      </c>
      <c r="C187" s="63">
        <v>0</v>
      </c>
      <c r="D187" s="63">
        <v>0</v>
      </c>
      <c r="E187" s="307">
        <v>0</v>
      </c>
      <c r="F187" s="8">
        <f>+IF('bal sheet'!F43-'bal sheet'!E43&gt;0,0,-('bal sheet'!F43-'bal sheet'!E43))</f>
        <v>0</v>
      </c>
      <c r="G187" s="63">
        <f>+IF('bal sheet'!G43-'bal sheet'!F43&gt;0,0,-('bal sheet'!G43-'bal sheet'!F43))</f>
        <v>0</v>
      </c>
      <c r="H187" s="63">
        <f>+IF('bal sheet'!H43-'bal sheet'!G43&gt;0,0,-('bal sheet'!H43-'bal sheet'!G43))</f>
        <v>0</v>
      </c>
      <c r="I187" s="63">
        <f>+IF('bal sheet'!I43-'bal sheet'!H43&gt;0,0,-('bal sheet'!I43-'bal sheet'!H43))</f>
        <v>0</v>
      </c>
      <c r="J187" s="63">
        <f>+IF('bal sheet'!J43-'bal sheet'!I43&gt;0,0,-('bal sheet'!J43-'bal sheet'!I43))</f>
        <v>0</v>
      </c>
      <c r="K187" s="63">
        <f>+IF('bal sheet'!K43-'bal sheet'!J43&gt;0,0,-('bal sheet'!K43-'bal sheet'!J43))</f>
        <v>0</v>
      </c>
      <c r="L187" s="63">
        <f>+IF('bal sheet'!L43-'bal sheet'!K43&gt;0,0,-('bal sheet'!L43-'bal sheet'!K43))</f>
        <v>0</v>
      </c>
      <c r="M187" s="63">
        <f>+IF('bal sheet'!M43-'bal sheet'!L43&gt;0,0,-('bal sheet'!M43-'bal sheet'!L43))</f>
        <v>0</v>
      </c>
      <c r="N187" s="63">
        <f>+IF('bal sheet'!N43-'bal sheet'!M43&gt;0,0,-('bal sheet'!N43-'bal sheet'!M43))</f>
        <v>0</v>
      </c>
      <c r="O187" s="63">
        <f>+IF('bal sheet'!O43-'bal sheet'!N43&gt;0,0,-('bal sheet'!O43-'bal sheet'!N43))</f>
        <v>0</v>
      </c>
      <c r="P187" s="63">
        <f>+IF('bal sheet'!P43-'bal sheet'!O43&gt;0,0,-('bal sheet'!P43-'bal sheet'!O43))</f>
        <v>0</v>
      </c>
      <c r="Q187" s="63">
        <f>+IF('bal sheet'!Q43-'bal sheet'!P43&gt;0,0,-('bal sheet'!Q43-'bal sheet'!P43))</f>
        <v>0</v>
      </c>
      <c r="R187" s="63">
        <f>+IF('bal sheet'!R43-'bal sheet'!Q43&gt;0,0,-('bal sheet'!R43-'bal sheet'!Q43))</f>
        <v>0</v>
      </c>
      <c r="S187" s="63">
        <f>+IF('bal sheet'!S43-'bal sheet'!R43&gt;0,0,-('bal sheet'!S43-'bal sheet'!R43))</f>
        <v>0</v>
      </c>
      <c r="T187" s="63">
        <f>+IF('bal sheet'!T43-'bal sheet'!S43&gt;0,0,-('bal sheet'!T43-'bal sheet'!S43))</f>
        <v>0</v>
      </c>
      <c r="U187" s="63">
        <f>+IF('bal sheet'!U43-'bal sheet'!T43&gt;0,0,-('bal sheet'!U43-'bal sheet'!T43))</f>
        <v>0</v>
      </c>
      <c r="V187" s="63">
        <f>+IF('bal sheet'!V43-'bal sheet'!U43&gt;0,0,-('bal sheet'!V43-'bal sheet'!U43))</f>
        <v>0</v>
      </c>
      <c r="W187" s="63">
        <f>+IF('bal sheet'!W43-'bal sheet'!V43&gt;0,0,-('bal sheet'!W43-'bal sheet'!V43))</f>
        <v>0</v>
      </c>
      <c r="X187" s="63">
        <f>+IF('bal sheet'!X43-'bal sheet'!W43&gt;0,0,-('bal sheet'!X43-'bal sheet'!W43))</f>
        <v>0</v>
      </c>
    </row>
    <row r="188" spans="1:24">
      <c r="A188" s="102">
        <v>3</v>
      </c>
      <c r="B188" s="300" t="s">
        <v>150</v>
      </c>
      <c r="C188" s="306">
        <f>+'bal sheet'!C32</f>
        <v>41.896701369863017</v>
      </c>
      <c r="D188" s="306">
        <f>+'bal sheet'!D32-'bal sheet'!C32</f>
        <v>37.979235616438352</v>
      </c>
      <c r="E188" s="306">
        <f>+'bal sheet'!E32-'Project Cost'!I13</f>
        <v>3171.6892272550685</v>
      </c>
      <c r="F188" s="8">
        <f>+IF('bal sheet'!F32-'bal sheet'!E32&lt;0,0,'bal sheet'!F32-'bal sheet'!E32)</f>
        <v>352.34407797287668</v>
      </c>
      <c r="G188" s="8">
        <f>+IF('bal sheet'!G32-'bal sheet'!F32&lt;0,0,'bal sheet'!G32-'bal sheet'!F32)</f>
        <v>458.26157390609569</v>
      </c>
      <c r="H188" s="8">
        <f>+IF('bal sheet'!H32-'bal sheet'!G32&lt;0,0,'bal sheet'!H32-'bal sheet'!G32)</f>
        <v>9.3264535595044435</v>
      </c>
      <c r="I188" s="8">
        <f>+IF('bal sheet'!I32-'bal sheet'!H32&lt;0,0,'bal sheet'!I32-'bal sheet'!H32)</f>
        <v>9.7115887758773169</v>
      </c>
      <c r="J188" s="8">
        <f>+IF('bal sheet'!J32-'bal sheet'!I32&lt;0,0,'bal sheet'!J32-'bal sheet'!I32)</f>
        <v>10.113545129221166</v>
      </c>
      <c r="K188" s="8">
        <f>+IF('bal sheet'!K32-'bal sheet'!J32&lt;0,0,'bal sheet'!K32-'bal sheet'!J32)</f>
        <v>10.53309060767242</v>
      </c>
      <c r="L188" s="8">
        <f>+IF('bal sheet'!L32-'bal sheet'!K32&lt;0,0,'bal sheet'!L32-'bal sheet'!K32)</f>
        <v>10.971029406700836</v>
      </c>
      <c r="M188" s="8">
        <f>+IF('bal sheet'!M32-'bal sheet'!L32&lt;0,0,'bal sheet'!M32-'bal sheet'!L32)</f>
        <v>11.428203673744065</v>
      </c>
      <c r="N188" s="8">
        <f>+IF('bal sheet'!N32-'bal sheet'!M32&lt;0,0,'bal sheet'!N32-'bal sheet'!M32)</f>
        <v>11.905495338037326</v>
      </c>
      <c r="O188" s="8">
        <f>+IF('bal sheet'!O32-'bal sheet'!N32&lt;0,0,'bal sheet'!O32-'bal sheet'!N32)</f>
        <v>12.403828029965553</v>
      </c>
      <c r="P188" s="8">
        <f>+IF('bal sheet'!P32-'bal sheet'!O32&lt;0,0,'bal sheet'!P32-'bal sheet'!O32)</f>
        <v>12.924169094241734</v>
      </c>
      <c r="Q188" s="8">
        <f>+IF('bal sheet'!Q32-'bal sheet'!P32&lt;0,0,'bal sheet'!Q32-'bal sheet'!P32)</f>
        <v>13.467531701613552</v>
      </c>
      <c r="R188" s="8">
        <f>+IF('bal sheet'!R32-'bal sheet'!Q32&lt;0,0,'bal sheet'!R32-'bal sheet'!Q32)</f>
        <v>14.034977063932274</v>
      </c>
      <c r="S188" s="8">
        <f>+IF('bal sheet'!S32-'bal sheet'!R32&lt;0,0,'bal sheet'!S32-'bal sheet'!R32)</f>
        <v>14.627616757687974</v>
      </c>
      <c r="T188" s="8">
        <f>+IF('bal sheet'!T32-'bal sheet'!S32&lt;0,0,'bal sheet'!T32-'bal sheet'!S32)</f>
        <v>15.246615161345289</v>
      </c>
      <c r="U188" s="8">
        <f>+IF('bal sheet'!U32-'bal sheet'!T32&lt;0,0,'bal sheet'!U32-'bal sheet'!T32)</f>
        <v>15.893192012158579</v>
      </c>
      <c r="V188" s="8">
        <f>+IF('bal sheet'!V32-'bal sheet'!U32&lt;0,0,'bal sheet'!V32-'bal sheet'!U32)</f>
        <v>16.568625088297267</v>
      </c>
      <c r="W188" s="8">
        <f>+IF('bal sheet'!W32-'bal sheet'!V32&lt;0,0,'bal sheet'!W32-'bal sheet'!V32)</f>
        <v>17.274253022505945</v>
      </c>
      <c r="X188" s="8">
        <f>+IF('bal sheet'!X32-'bal sheet'!W32&lt;0,0,'bal sheet'!X32-'bal sheet'!W32)</f>
        <v>18.011478253822133</v>
      </c>
    </row>
    <row r="189" spans="1:24">
      <c r="A189" s="91">
        <v>4</v>
      </c>
      <c r="B189" s="297" t="s">
        <v>151</v>
      </c>
      <c r="C189" s="63">
        <v>0</v>
      </c>
      <c r="D189" s="63">
        <v>0</v>
      </c>
      <c r="E189" s="306">
        <v>0</v>
      </c>
      <c r="F189" s="8">
        <f ca="1">E205*$C$63</f>
        <v>387.12591423906855</v>
      </c>
      <c r="G189" s="8">
        <f t="shared" ref="G189:S189" ca="1" si="130">F205*$C$63</f>
        <v>471.84075522254</v>
      </c>
      <c r="H189" s="8">
        <f t="shared" ca="1" si="130"/>
        <v>465.46346525547727</v>
      </c>
      <c r="I189" s="8">
        <f t="shared" ca="1" si="130"/>
        <v>395.60865102858668</v>
      </c>
      <c r="J189" s="8">
        <f t="shared" ca="1" si="130"/>
        <v>291.36195637213058</v>
      </c>
      <c r="K189" s="8">
        <f t="shared" ca="1" si="130"/>
        <v>150.34595507282486</v>
      </c>
      <c r="L189" s="8">
        <f t="shared" ca="1" si="130"/>
        <v>0</v>
      </c>
      <c r="M189" s="8">
        <f t="shared" ca="1" si="130"/>
        <v>0</v>
      </c>
      <c r="N189" s="8">
        <f t="shared" ca="1" si="130"/>
        <v>0</v>
      </c>
      <c r="O189" s="8">
        <f t="shared" ca="1" si="130"/>
        <v>0</v>
      </c>
      <c r="P189" s="8">
        <f t="shared" ca="1" si="130"/>
        <v>0</v>
      </c>
      <c r="Q189" s="8">
        <f t="shared" ca="1" si="130"/>
        <v>0</v>
      </c>
      <c r="R189" s="8">
        <f t="shared" ca="1" si="130"/>
        <v>0</v>
      </c>
      <c r="S189" s="8">
        <f t="shared" ca="1" si="130"/>
        <v>0</v>
      </c>
      <c r="T189" s="8">
        <f t="shared" ref="T189" ca="1" si="131">S205*$C$63</f>
        <v>0</v>
      </c>
      <c r="U189" s="8">
        <f t="shared" ref="U189" ca="1" si="132">T205*$C$63</f>
        <v>0</v>
      </c>
      <c r="V189" s="8">
        <f t="shared" ref="V189" ca="1" si="133">U205*$C$63</f>
        <v>0</v>
      </c>
      <c r="W189" s="8">
        <f t="shared" ref="W189" ca="1" si="134">V205*$C$63</f>
        <v>0</v>
      </c>
      <c r="X189" s="8">
        <f t="shared" ref="X189" ca="1" si="135">W205*$C$63</f>
        <v>0</v>
      </c>
    </row>
    <row r="190" spans="1:24">
      <c r="A190" s="89">
        <v>5</v>
      </c>
      <c r="B190" s="298" t="s">
        <v>152</v>
      </c>
      <c r="C190" s="63">
        <v>0</v>
      </c>
      <c r="D190" s="8">
        <f>+D222</f>
        <v>3314.6815624999995</v>
      </c>
      <c r="E190" s="306">
        <f t="shared" ref="E190:S190" si="136">E222</f>
        <v>3635.7888339787132</v>
      </c>
      <c r="F190" s="8">
        <f t="shared" si="136"/>
        <v>3181.3152297313741</v>
      </c>
      <c r="G190" s="8">
        <f t="shared" si="136"/>
        <v>2726.8416254840354</v>
      </c>
      <c r="H190" s="8">
        <f t="shared" si="136"/>
        <v>2272.3680212366962</v>
      </c>
      <c r="I190" s="8">
        <f t="shared" si="136"/>
        <v>1817.8944169893575</v>
      </c>
      <c r="J190" s="8">
        <f t="shared" si="136"/>
        <v>1363.4208127420184</v>
      </c>
      <c r="K190" s="8">
        <f t="shared" si="136"/>
        <v>908.9472084946791</v>
      </c>
      <c r="L190" s="8">
        <f t="shared" si="136"/>
        <v>454.47360424733995</v>
      </c>
      <c r="M190" s="8">
        <f t="shared" si="136"/>
        <v>8.0035533756017685E-13</v>
      </c>
      <c r="N190" s="8">
        <f t="shared" si="136"/>
        <v>8.0035533756017685E-13</v>
      </c>
      <c r="O190" s="8">
        <f t="shared" si="136"/>
        <v>8.0035533756017685E-13</v>
      </c>
      <c r="P190" s="8">
        <f t="shared" si="136"/>
        <v>8.0035533756017685E-13</v>
      </c>
      <c r="Q190" s="8">
        <f t="shared" si="136"/>
        <v>8.0035533756017685E-13</v>
      </c>
      <c r="R190" s="8">
        <f t="shared" si="136"/>
        <v>8.0035533756017685E-13</v>
      </c>
      <c r="S190" s="8">
        <f t="shared" si="136"/>
        <v>8.0035533756017685E-13</v>
      </c>
      <c r="T190" s="8">
        <f t="shared" ref="T190:X190" si="137">T222</f>
        <v>0</v>
      </c>
      <c r="U190" s="8">
        <f t="shared" si="137"/>
        <v>0</v>
      </c>
      <c r="V190" s="8">
        <f t="shared" si="137"/>
        <v>0</v>
      </c>
      <c r="W190" s="8">
        <f t="shared" si="137"/>
        <v>0</v>
      </c>
      <c r="X190" s="8">
        <f t="shared" si="137"/>
        <v>0</v>
      </c>
    </row>
    <row r="191" spans="1:24">
      <c r="A191" s="91">
        <v>6</v>
      </c>
      <c r="B191" s="304" t="s">
        <v>153</v>
      </c>
      <c r="C191" s="63">
        <v>0</v>
      </c>
      <c r="D191" s="63">
        <v>0</v>
      </c>
      <c r="E191" s="306">
        <f ca="1">E203</f>
        <v>0</v>
      </c>
      <c r="F191" s="8">
        <f t="shared" ref="F191:S191" ca="1" si="138">F203</f>
        <v>0</v>
      </c>
      <c r="G191" s="8">
        <f t="shared" ca="1" si="138"/>
        <v>70.85877741180775</v>
      </c>
      <c r="H191" s="8">
        <f t="shared" ca="1" si="138"/>
        <v>776.1646025210066</v>
      </c>
      <c r="I191" s="8">
        <f t="shared" ca="1" si="138"/>
        <v>1158.2966072939571</v>
      </c>
      <c r="J191" s="8">
        <f t="shared" ca="1" si="138"/>
        <v>1566.8444588811744</v>
      </c>
      <c r="K191" s="8">
        <f t="shared" ca="1" si="138"/>
        <v>1670.5106119202765</v>
      </c>
      <c r="L191" s="8">
        <f t="shared" ca="1" si="138"/>
        <v>0</v>
      </c>
      <c r="M191" s="8">
        <f t="shared" ca="1" si="138"/>
        <v>0</v>
      </c>
      <c r="N191" s="8">
        <f t="shared" ca="1" si="138"/>
        <v>0</v>
      </c>
      <c r="O191" s="8">
        <f t="shared" ca="1" si="138"/>
        <v>0</v>
      </c>
      <c r="P191" s="8">
        <f t="shared" ca="1" si="138"/>
        <v>0</v>
      </c>
      <c r="Q191" s="8">
        <f t="shared" ca="1" si="138"/>
        <v>0</v>
      </c>
      <c r="R191" s="8">
        <f t="shared" ca="1" si="138"/>
        <v>0</v>
      </c>
      <c r="S191" s="8">
        <f t="shared" ca="1" si="138"/>
        <v>0</v>
      </c>
      <c r="T191" s="8">
        <f t="shared" ref="T191:X191" ca="1" si="139">T203</f>
        <v>0</v>
      </c>
      <c r="U191" s="8">
        <f t="shared" ca="1" si="139"/>
        <v>0</v>
      </c>
      <c r="V191" s="8">
        <f t="shared" ca="1" si="139"/>
        <v>0</v>
      </c>
      <c r="W191" s="8">
        <f t="shared" ca="1" si="139"/>
        <v>0</v>
      </c>
      <c r="X191" s="8">
        <f t="shared" ca="1" si="139"/>
        <v>0</v>
      </c>
    </row>
    <row r="192" spans="1:24">
      <c r="A192" s="89">
        <v>7</v>
      </c>
      <c r="B192" s="298" t="s">
        <v>154</v>
      </c>
      <c r="C192" s="63">
        <v>0</v>
      </c>
      <c r="D192" s="63">
        <v>0</v>
      </c>
      <c r="E192" s="306">
        <f t="shared" ref="E192:S192" si="140">E220</f>
        <v>4131.5782204303559</v>
      </c>
      <c r="F192" s="8">
        <f t="shared" si="140"/>
        <v>4131.5782204303559</v>
      </c>
      <c r="G192" s="8">
        <f t="shared" si="140"/>
        <v>4131.5782204303559</v>
      </c>
      <c r="H192" s="8">
        <f t="shared" si="140"/>
        <v>4131.5782204303559</v>
      </c>
      <c r="I192" s="8">
        <f t="shared" si="140"/>
        <v>4131.5782204303559</v>
      </c>
      <c r="J192" s="8">
        <f t="shared" si="140"/>
        <v>4131.5782204303559</v>
      </c>
      <c r="K192" s="8">
        <f t="shared" si="140"/>
        <v>4131.5782204303559</v>
      </c>
      <c r="L192" s="8">
        <f t="shared" si="140"/>
        <v>4131.5782204303559</v>
      </c>
      <c r="M192" s="8">
        <f t="shared" si="140"/>
        <v>0</v>
      </c>
      <c r="N192" s="8">
        <f t="shared" si="140"/>
        <v>0</v>
      </c>
      <c r="O192" s="8">
        <f t="shared" si="140"/>
        <v>0</v>
      </c>
      <c r="P192" s="8">
        <f t="shared" si="140"/>
        <v>0</v>
      </c>
      <c r="Q192" s="8">
        <f t="shared" si="140"/>
        <v>0</v>
      </c>
      <c r="R192" s="8">
        <f t="shared" si="140"/>
        <v>0</v>
      </c>
      <c r="S192" s="8">
        <f t="shared" si="140"/>
        <v>0</v>
      </c>
      <c r="T192" s="8">
        <f t="shared" ref="T192:X192" si="141">T220</f>
        <v>0</v>
      </c>
      <c r="U192" s="8">
        <f t="shared" si="141"/>
        <v>0</v>
      </c>
      <c r="V192" s="8">
        <f t="shared" si="141"/>
        <v>0</v>
      </c>
      <c r="W192" s="8">
        <f t="shared" si="141"/>
        <v>0</v>
      </c>
      <c r="X192" s="8">
        <f t="shared" si="141"/>
        <v>0</v>
      </c>
    </row>
    <row r="193" spans="1:24">
      <c r="A193" s="102">
        <v>8</v>
      </c>
      <c r="B193" s="299" t="s">
        <v>155</v>
      </c>
      <c r="C193" s="63">
        <v>0</v>
      </c>
      <c r="D193" s="63">
        <v>0</v>
      </c>
      <c r="E193" s="308">
        <f t="shared" ref="E193:S193" ca="1" si="142">C168</f>
        <v>92.055389196624617</v>
      </c>
      <c r="F193" s="117">
        <f t="shared" ca="1" si="142"/>
        <v>276.2867265337884</v>
      </c>
      <c r="G193" s="117">
        <f t="shared" ca="1" si="142"/>
        <v>512.9895366201697</v>
      </c>
      <c r="H193" s="117">
        <f t="shared" ca="1" si="142"/>
        <v>583.27794997820979</v>
      </c>
      <c r="I193" s="117">
        <f t="shared" ca="1" si="142"/>
        <v>664.26064033655416</v>
      </c>
      <c r="J193" s="117">
        <f t="shared" ca="1" si="142"/>
        <v>750.83938990442812</v>
      </c>
      <c r="K193" s="117">
        <f t="shared" ca="1" si="142"/>
        <v>843.41249333506266</v>
      </c>
      <c r="L193" s="117">
        <f t="shared" ca="1" si="142"/>
        <v>937.16790983520355</v>
      </c>
      <c r="M193" s="117">
        <f t="shared" ca="1" si="142"/>
        <v>1004.1884455555883</v>
      </c>
      <c r="N193" s="117">
        <f t="shared" ca="1" si="142"/>
        <v>991.31748077704833</v>
      </c>
      <c r="O193" s="117">
        <f t="shared" ca="1" si="142"/>
        <v>2242.026714238038</v>
      </c>
      <c r="P193" s="117">
        <f t="shared" ca="1" si="142"/>
        <v>2360.4844395728155</v>
      </c>
      <c r="Q193" s="117">
        <f t="shared" ca="1" si="142"/>
        <v>2378.4804480571297</v>
      </c>
      <c r="R193" s="117">
        <f t="shared" ca="1" si="142"/>
        <v>2388.4514187923487</v>
      </c>
      <c r="S193" s="117">
        <f t="shared" ca="1" si="142"/>
        <v>2391.3655149557248</v>
      </c>
      <c r="T193" s="117">
        <f t="shared" ref="T193" ca="1" si="143">R168</f>
        <v>2388.0378524417083</v>
      </c>
      <c r="U193" s="117">
        <f t="shared" ref="U193" ca="1" si="144">S168</f>
        <v>2379.1528809048095</v>
      </c>
      <c r="V193" s="117">
        <f t="shared" ref="V193" ca="1" si="145">T168</f>
        <v>2365.2834036576519</v>
      </c>
      <c r="W193" s="117">
        <f t="shared" ref="W193" ca="1" si="146">U168</f>
        <v>2346.906738104813</v>
      </c>
      <c r="X193" s="117">
        <f t="shared" ref="X193" ca="1" si="147">V168</f>
        <v>2324.4184432512511</v>
      </c>
    </row>
    <row r="194" spans="1:24">
      <c r="A194" s="112"/>
      <c r="B194" s="301" t="s">
        <v>156</v>
      </c>
      <c r="C194" s="306">
        <f>SUM(C186:C193)</f>
        <v>14207.307742845371</v>
      </c>
      <c r="D194" s="306">
        <f t="shared" ref="D194" si="148">SUM(D186:D193)</f>
        <v>32235.062256640933</v>
      </c>
      <c r="E194" s="306">
        <f ca="1">SUM(E186:E193)</f>
        <v>11031.111670860762</v>
      </c>
      <c r="F194" s="8">
        <f t="shared" ref="F194:S194" ca="1" si="149">SUM(F186:F193)</f>
        <v>8328.650168907463</v>
      </c>
      <c r="G194" s="8">
        <f t="shared" ca="1" si="149"/>
        <v>8372.3704890750032</v>
      </c>
      <c r="H194" s="8">
        <f t="shared" ca="1" si="149"/>
        <v>8238.178712981251</v>
      </c>
      <c r="I194" s="8">
        <f t="shared" ca="1" si="149"/>
        <v>8177.3501248546891</v>
      </c>
      <c r="J194" s="8">
        <f t="shared" ca="1" si="149"/>
        <v>8114.1583834593293</v>
      </c>
      <c r="K194" s="8">
        <f t="shared" ca="1" si="149"/>
        <v>7715.327579860872</v>
      </c>
      <c r="L194" s="8">
        <f t="shared" ca="1" si="149"/>
        <v>5534.1907639195997</v>
      </c>
      <c r="M194" s="8">
        <f t="shared" ca="1" si="149"/>
        <v>1015.6166492293331</v>
      </c>
      <c r="N194" s="8">
        <f t="shared" ca="1" si="149"/>
        <v>1003.2229761150865</v>
      </c>
      <c r="O194" s="8">
        <f t="shared" ca="1" si="149"/>
        <v>2254.4305422680045</v>
      </c>
      <c r="P194" s="8">
        <f t="shared" ca="1" si="149"/>
        <v>2373.4086086670582</v>
      </c>
      <c r="Q194" s="8">
        <f t="shared" ca="1" si="149"/>
        <v>2391.9479797587442</v>
      </c>
      <c r="R194" s="8">
        <f t="shared" ca="1" si="149"/>
        <v>2402.4863958562819</v>
      </c>
      <c r="S194" s="8">
        <f t="shared" ca="1" si="149"/>
        <v>2405.9931317134137</v>
      </c>
      <c r="T194" s="8">
        <f t="shared" ref="T194:X194" ca="1" si="150">SUM(T186:T193)</f>
        <v>2404.2844676030536</v>
      </c>
      <c r="U194" s="8">
        <f t="shared" ca="1" si="150"/>
        <v>2397.0460729169681</v>
      </c>
      <c r="V194" s="8">
        <f t="shared" ca="1" si="150"/>
        <v>2384.8520287459492</v>
      </c>
      <c r="W194" s="8">
        <f t="shared" ca="1" si="150"/>
        <v>2368.180991127319</v>
      </c>
      <c r="X194" s="8">
        <f t="shared" ca="1" si="150"/>
        <v>2347.4299215050733</v>
      </c>
    </row>
    <row r="195" spans="1:24">
      <c r="A195" s="112"/>
      <c r="B195" s="302" t="s">
        <v>157</v>
      </c>
      <c r="C195" s="63"/>
      <c r="D195" s="63"/>
      <c r="E195" s="306">
        <f ca="1">SUM(E186:E190,E192:E193)</f>
        <v>11031.111670860762</v>
      </c>
      <c r="F195" s="8">
        <f t="shared" ref="F195:S195" ca="1" si="151">SUM(F186:F190,F192:F193)</f>
        <v>8328.650168907463</v>
      </c>
      <c r="G195" s="8">
        <f t="shared" ca="1" si="151"/>
        <v>8301.5117116631955</v>
      </c>
      <c r="H195" s="8">
        <f t="shared" ca="1" si="151"/>
        <v>7462.0141104602444</v>
      </c>
      <c r="I195" s="8">
        <f t="shared" ca="1" si="151"/>
        <v>7019.053517560732</v>
      </c>
      <c r="J195" s="8">
        <f t="shared" ca="1" si="151"/>
        <v>6547.3139245781549</v>
      </c>
      <c r="K195" s="8">
        <f t="shared" ca="1" si="151"/>
        <v>6044.8169679405946</v>
      </c>
      <c r="L195" s="8">
        <f t="shared" ca="1" si="151"/>
        <v>5534.1907639195997</v>
      </c>
      <c r="M195" s="8">
        <f t="shared" ca="1" si="151"/>
        <v>1015.6166492293331</v>
      </c>
      <c r="N195" s="8">
        <f t="shared" ca="1" si="151"/>
        <v>1003.2229761150865</v>
      </c>
      <c r="O195" s="8">
        <f t="shared" ca="1" si="151"/>
        <v>2254.4305422680045</v>
      </c>
      <c r="P195" s="8">
        <f t="shared" ca="1" si="151"/>
        <v>2373.4086086670582</v>
      </c>
      <c r="Q195" s="8">
        <f t="shared" ca="1" si="151"/>
        <v>2391.9479797587442</v>
      </c>
      <c r="R195" s="8">
        <f t="shared" ca="1" si="151"/>
        <v>2402.4863958562819</v>
      </c>
      <c r="S195" s="8">
        <f t="shared" ca="1" si="151"/>
        <v>2405.9931317134137</v>
      </c>
      <c r="T195" s="8">
        <f t="shared" ref="T195:X195" ca="1" si="152">SUM(T186:T190,T192:T193)</f>
        <v>2404.2844676030536</v>
      </c>
      <c r="U195" s="8">
        <f t="shared" ca="1" si="152"/>
        <v>2397.0460729169681</v>
      </c>
      <c r="V195" s="8">
        <f t="shared" ca="1" si="152"/>
        <v>2384.8520287459492</v>
      </c>
      <c r="W195" s="8">
        <f t="shared" ca="1" si="152"/>
        <v>2368.180991127319</v>
      </c>
      <c r="X195" s="8">
        <f t="shared" ca="1" si="152"/>
        <v>2347.4299215050733</v>
      </c>
    </row>
    <row r="196" spans="1:24">
      <c r="A196" s="112"/>
      <c r="B196" s="302" t="s">
        <v>158</v>
      </c>
      <c r="C196" s="63"/>
      <c r="D196" s="63"/>
      <c r="E196" s="309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spans="1:24">
      <c r="A197" s="112"/>
      <c r="B197" s="302" t="s">
        <v>159</v>
      </c>
      <c r="C197" s="63"/>
      <c r="D197" s="63"/>
      <c r="E197" s="306">
        <f ca="1">E184-E195-E196</f>
        <v>-4101.3990471007619</v>
      </c>
      <c r="F197" s="8">
        <f ca="1">F184-F195-F196-E202</f>
        <v>3360.1230361733014</v>
      </c>
      <c r="G197" s="8">
        <f t="shared" ref="G197:S197" ca="1" si="153">G184-G195-G196-F202</f>
        <v>1012.1347883392682</v>
      </c>
      <c r="H197" s="8">
        <f t="shared" ca="1" si="153"/>
        <v>776.1646025210066</v>
      </c>
      <c r="I197" s="8">
        <f t="shared" ca="1" si="153"/>
        <v>1158.2966072939571</v>
      </c>
      <c r="J197" s="8">
        <f t="shared" ca="1" si="153"/>
        <v>1566.8444588811744</v>
      </c>
      <c r="K197" s="8">
        <f t="shared" ca="1" si="153"/>
        <v>2003.6887114752644</v>
      </c>
      <c r="L197" s="8">
        <f t="shared" ca="1" si="153"/>
        <v>2446.0991594049228</v>
      </c>
      <c r="M197" s="8">
        <f t="shared" ca="1" si="153"/>
        <v>6893.7879008482205</v>
      </c>
      <c r="N197" s="8">
        <f t="shared" ca="1" si="153"/>
        <v>6832.5153378215564</v>
      </c>
      <c r="O197" s="8">
        <f t="shared" ca="1" si="153"/>
        <v>5504.7445316621379</v>
      </c>
      <c r="P197" s="8">
        <f t="shared" ca="1" si="153"/>
        <v>5306.1849604359595</v>
      </c>
      <c r="Q197" s="8">
        <f t="shared" ca="1" si="153"/>
        <v>5204.9192033708787</v>
      </c>
      <c r="R197" s="8">
        <f t="shared" ca="1" si="153"/>
        <v>5108.3773019192267</v>
      </c>
      <c r="S197" s="8">
        <f t="shared" ca="1" si="153"/>
        <v>5015.4519029557523</v>
      </c>
      <c r="T197" s="8">
        <f t="shared" ref="T197" ca="1" si="154">T184-T195-T196-S202</f>
        <v>4924.1825172153995</v>
      </c>
      <c r="U197" s="8">
        <f t="shared" ref="U197" ca="1" si="155">U184-U195-U196-T202</f>
        <v>4834.7328523615142</v>
      </c>
      <c r="V197" s="8">
        <f t="shared" ref="V197" ca="1" si="156">V184-V195-V196-U202</f>
        <v>4746.3714936029373</v>
      </c>
      <c r="W197" s="8">
        <f t="shared" ref="W197" ca="1" si="157">W184-W195-W196-V202</f>
        <v>4658.4554295204834</v>
      </c>
      <c r="X197" s="8">
        <f t="shared" ref="X197" ca="1" si="158">X184-X195-X196-W202</f>
        <v>4570.4159958728351</v>
      </c>
    </row>
    <row r="198" spans="1:24">
      <c r="A198" s="112"/>
      <c r="B198" s="302" t="s">
        <v>160</v>
      </c>
      <c r="C198" s="63"/>
      <c r="D198" s="63"/>
      <c r="E198" s="306">
        <f ca="1">0+E197-0</f>
        <v>-4101.3990471007619</v>
      </c>
      <c r="F198" s="8">
        <f ca="1">E198+F197-E203</f>
        <v>-741.27601092746045</v>
      </c>
      <c r="G198" s="8">
        <f t="shared" ref="G198:S198" ca="1" si="159">F198+G197-F203</f>
        <v>270.85877741180775</v>
      </c>
      <c r="H198" s="8">
        <f t="shared" ca="1" si="159"/>
        <v>976.1646025210066</v>
      </c>
      <c r="I198" s="8">
        <f t="shared" ca="1" si="159"/>
        <v>1358.2966072939571</v>
      </c>
      <c r="J198" s="8">
        <f t="shared" ca="1" si="159"/>
        <v>1766.8444588811744</v>
      </c>
      <c r="K198" s="8">
        <f t="shared" ca="1" si="159"/>
        <v>2203.6887114752644</v>
      </c>
      <c r="L198" s="8">
        <f t="shared" ca="1" si="159"/>
        <v>2979.2772589599108</v>
      </c>
      <c r="M198" s="8">
        <f t="shared" ca="1" si="159"/>
        <v>9873.0651598081313</v>
      </c>
      <c r="N198" s="8">
        <f t="shared" ca="1" si="159"/>
        <v>16705.580497629686</v>
      </c>
      <c r="O198" s="8">
        <f t="shared" ca="1" si="159"/>
        <v>22210.325029291824</v>
      </c>
      <c r="P198" s="8">
        <f t="shared" ca="1" si="159"/>
        <v>27516.509989727783</v>
      </c>
      <c r="Q198" s="8">
        <f t="shared" ca="1" si="159"/>
        <v>32721.429193098662</v>
      </c>
      <c r="R198" s="8">
        <f t="shared" ca="1" si="159"/>
        <v>37829.806495017889</v>
      </c>
      <c r="S198" s="8">
        <f t="shared" ca="1" si="159"/>
        <v>42845.258397973637</v>
      </c>
      <c r="T198" s="8">
        <f t="shared" ref="T198" ca="1" si="160">S198+T197-S203</f>
        <v>47769.440915189036</v>
      </c>
      <c r="U198" s="8">
        <f t="shared" ref="U198" ca="1" si="161">T198+U197-T203</f>
        <v>52604.17376755055</v>
      </c>
      <c r="V198" s="8">
        <f t="shared" ref="V198" ca="1" si="162">U198+V197-U203</f>
        <v>57350.545261153486</v>
      </c>
      <c r="W198" s="8">
        <f t="shared" ref="W198" ca="1" si="163">V198+W197-V203</f>
        <v>62009.000690673973</v>
      </c>
      <c r="X198" s="8">
        <f t="shared" ref="X198" ca="1" si="164">W198+X197-W203</f>
        <v>66579.416686546814</v>
      </c>
    </row>
    <row r="199" spans="1:24">
      <c r="A199" s="112"/>
      <c r="B199" s="302" t="s">
        <v>161</v>
      </c>
      <c r="C199" s="63"/>
      <c r="D199" s="63"/>
      <c r="E199" s="306">
        <f>+$C$66</f>
        <v>200</v>
      </c>
      <c r="F199" s="306">
        <f t="shared" ref="F199:X199" si="165">+$C$66</f>
        <v>200</v>
      </c>
      <c r="G199" s="306">
        <f t="shared" si="165"/>
        <v>200</v>
      </c>
      <c r="H199" s="306">
        <f t="shared" si="165"/>
        <v>200</v>
      </c>
      <c r="I199" s="306">
        <f t="shared" si="165"/>
        <v>200</v>
      </c>
      <c r="J199" s="306">
        <f t="shared" si="165"/>
        <v>200</v>
      </c>
      <c r="K199" s="306">
        <f t="shared" si="165"/>
        <v>200</v>
      </c>
      <c r="L199" s="306">
        <f t="shared" si="165"/>
        <v>200</v>
      </c>
      <c r="M199" s="306">
        <f t="shared" si="165"/>
        <v>200</v>
      </c>
      <c r="N199" s="306">
        <f t="shared" si="165"/>
        <v>200</v>
      </c>
      <c r="O199" s="306">
        <f t="shared" si="165"/>
        <v>200</v>
      </c>
      <c r="P199" s="306">
        <f t="shared" si="165"/>
        <v>200</v>
      </c>
      <c r="Q199" s="306">
        <f t="shared" si="165"/>
        <v>200</v>
      </c>
      <c r="R199" s="306">
        <f t="shared" si="165"/>
        <v>200</v>
      </c>
      <c r="S199" s="306">
        <f t="shared" si="165"/>
        <v>200</v>
      </c>
      <c r="T199" s="306">
        <f t="shared" si="165"/>
        <v>200</v>
      </c>
      <c r="U199" s="306">
        <f t="shared" si="165"/>
        <v>200</v>
      </c>
      <c r="V199" s="306">
        <f t="shared" si="165"/>
        <v>200</v>
      </c>
      <c r="W199" s="306">
        <f t="shared" si="165"/>
        <v>200</v>
      </c>
      <c r="X199" s="306">
        <f t="shared" si="165"/>
        <v>200</v>
      </c>
    </row>
    <row r="200" spans="1:24">
      <c r="A200" s="112"/>
      <c r="B200" s="302" t="s">
        <v>162</v>
      </c>
      <c r="C200" s="63"/>
      <c r="D200" s="63"/>
      <c r="E200" s="306">
        <f ca="1">E198-E199</f>
        <v>-4301.3990471007619</v>
      </c>
      <c r="F200" s="8">
        <f t="shared" ref="F200:S200" ca="1" si="166">F198-F199</f>
        <v>-941.27601092746045</v>
      </c>
      <c r="G200" s="8">
        <f t="shared" ca="1" si="166"/>
        <v>70.85877741180775</v>
      </c>
      <c r="H200" s="8">
        <f t="shared" ca="1" si="166"/>
        <v>776.1646025210066</v>
      </c>
      <c r="I200" s="8">
        <f t="shared" ca="1" si="166"/>
        <v>1158.2966072939571</v>
      </c>
      <c r="J200" s="8">
        <f t="shared" ca="1" si="166"/>
        <v>1566.8444588811744</v>
      </c>
      <c r="K200" s="8">
        <f t="shared" ca="1" si="166"/>
        <v>2003.6887114752644</v>
      </c>
      <c r="L200" s="8">
        <f t="shared" ca="1" si="166"/>
        <v>2779.2772589599108</v>
      </c>
      <c r="M200" s="8">
        <f t="shared" ca="1" si="166"/>
        <v>9673.0651598081313</v>
      </c>
      <c r="N200" s="8">
        <f t="shared" ca="1" si="166"/>
        <v>16505.580497629686</v>
      </c>
      <c r="O200" s="8">
        <f t="shared" ca="1" si="166"/>
        <v>22010.325029291824</v>
      </c>
      <c r="P200" s="8">
        <f t="shared" ca="1" si="166"/>
        <v>27316.509989727783</v>
      </c>
      <c r="Q200" s="8">
        <f t="shared" ca="1" si="166"/>
        <v>32521.429193098662</v>
      </c>
      <c r="R200" s="8">
        <f t="shared" ca="1" si="166"/>
        <v>37629.806495017889</v>
      </c>
      <c r="S200" s="8">
        <f t="shared" ca="1" si="166"/>
        <v>42645.258397973637</v>
      </c>
      <c r="T200" s="8">
        <f t="shared" ref="T200:X200" ca="1" si="167">T198-T199</f>
        <v>47569.440915189036</v>
      </c>
      <c r="U200" s="8">
        <f t="shared" ca="1" si="167"/>
        <v>52404.17376755055</v>
      </c>
      <c r="V200" s="8">
        <f t="shared" ca="1" si="167"/>
        <v>57150.545261153486</v>
      </c>
      <c r="W200" s="8">
        <f t="shared" ca="1" si="167"/>
        <v>61809.000690673973</v>
      </c>
      <c r="X200" s="8">
        <f t="shared" ca="1" si="167"/>
        <v>66379.416686546814</v>
      </c>
    </row>
    <row r="201" spans="1:24">
      <c r="A201" s="112"/>
      <c r="B201" s="302"/>
      <c r="C201" s="63"/>
      <c r="D201" s="63"/>
      <c r="E201" s="307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spans="1:24">
      <c r="A202" s="112"/>
      <c r="B202" s="302" t="s">
        <v>140</v>
      </c>
      <c r="C202" s="63"/>
      <c r="D202" s="63"/>
      <c r="E202" s="306">
        <f ca="1">MIN(E200,0)</f>
        <v>-4301.3990471007619</v>
      </c>
      <c r="F202" s="8">
        <f t="shared" ref="F202:S202" ca="1" si="168">MIN(F200,0)</f>
        <v>-941.27601092746045</v>
      </c>
      <c r="G202" s="8">
        <f t="shared" ca="1" si="168"/>
        <v>0</v>
      </c>
      <c r="H202" s="8">
        <f t="shared" ca="1" si="168"/>
        <v>0</v>
      </c>
      <c r="I202" s="8">
        <f t="shared" ca="1" si="168"/>
        <v>0</v>
      </c>
      <c r="J202" s="8">
        <f t="shared" ca="1" si="168"/>
        <v>0</v>
      </c>
      <c r="K202" s="8">
        <f t="shared" ca="1" si="168"/>
        <v>0</v>
      </c>
      <c r="L202" s="8">
        <f t="shared" ca="1" si="168"/>
        <v>0</v>
      </c>
      <c r="M202" s="8">
        <f t="shared" ca="1" si="168"/>
        <v>0</v>
      </c>
      <c r="N202" s="8">
        <f t="shared" ca="1" si="168"/>
        <v>0</v>
      </c>
      <c r="O202" s="8">
        <f t="shared" ca="1" si="168"/>
        <v>0</v>
      </c>
      <c r="P202" s="8">
        <f t="shared" ca="1" si="168"/>
        <v>0</v>
      </c>
      <c r="Q202" s="8">
        <f t="shared" ca="1" si="168"/>
        <v>0</v>
      </c>
      <c r="R202" s="8">
        <f t="shared" ca="1" si="168"/>
        <v>0</v>
      </c>
      <c r="S202" s="8">
        <f t="shared" ca="1" si="168"/>
        <v>0</v>
      </c>
      <c r="T202" s="8">
        <f t="shared" ref="T202:X202" ca="1" si="169">MIN(T200,0)</f>
        <v>0</v>
      </c>
      <c r="U202" s="8">
        <f t="shared" ca="1" si="169"/>
        <v>0</v>
      </c>
      <c r="V202" s="8">
        <f t="shared" ca="1" si="169"/>
        <v>0</v>
      </c>
      <c r="W202" s="8">
        <f t="shared" ca="1" si="169"/>
        <v>0</v>
      </c>
      <c r="X202" s="8">
        <f t="shared" ca="1" si="169"/>
        <v>0</v>
      </c>
    </row>
    <row r="203" spans="1:24">
      <c r="A203" s="112"/>
      <c r="B203" s="302" t="s">
        <v>163</v>
      </c>
      <c r="C203" s="63"/>
      <c r="D203" s="63"/>
      <c r="E203" s="306">
        <f ca="1">IF(E200&gt;0,MIN(E200,B205),0)</f>
        <v>0</v>
      </c>
      <c r="F203" s="8">
        <f t="shared" ref="F203:S203" ca="1" si="170">IF(F200&gt;0,MIN(F200,E205),0)</f>
        <v>0</v>
      </c>
      <c r="G203" s="8">
        <f t="shared" ca="1" si="170"/>
        <v>70.85877741180775</v>
      </c>
      <c r="H203" s="8">
        <f t="shared" ca="1" si="170"/>
        <v>776.1646025210066</v>
      </c>
      <c r="I203" s="8">
        <f t="shared" ca="1" si="170"/>
        <v>1158.2966072939571</v>
      </c>
      <c r="J203" s="8">
        <f t="shared" ca="1" si="170"/>
        <v>1566.8444588811744</v>
      </c>
      <c r="K203" s="8">
        <f t="shared" ca="1" si="170"/>
        <v>1670.5106119202765</v>
      </c>
      <c r="L203" s="8">
        <f t="shared" ca="1" si="170"/>
        <v>0</v>
      </c>
      <c r="M203" s="8">
        <f t="shared" ca="1" si="170"/>
        <v>0</v>
      </c>
      <c r="N203" s="8">
        <f t="shared" ca="1" si="170"/>
        <v>0</v>
      </c>
      <c r="O203" s="8">
        <f t="shared" ca="1" si="170"/>
        <v>0</v>
      </c>
      <c r="P203" s="8">
        <f t="shared" ca="1" si="170"/>
        <v>0</v>
      </c>
      <c r="Q203" s="8">
        <f t="shared" ca="1" si="170"/>
        <v>0</v>
      </c>
      <c r="R203" s="8">
        <f t="shared" ca="1" si="170"/>
        <v>0</v>
      </c>
      <c r="S203" s="8">
        <f t="shared" ca="1" si="170"/>
        <v>0</v>
      </c>
      <c r="T203" s="8">
        <f t="shared" ref="T203" ca="1" si="171">IF(T200&gt;0,MIN(T200,S205),0)</f>
        <v>0</v>
      </c>
      <c r="U203" s="8">
        <f t="shared" ref="U203" ca="1" si="172">IF(U200&gt;0,MIN(U200,T205),0)</f>
        <v>0</v>
      </c>
      <c r="V203" s="8">
        <f t="shared" ref="V203" ca="1" si="173">IF(V200&gt;0,MIN(V200,U205),0)</f>
        <v>0</v>
      </c>
      <c r="W203" s="8">
        <f t="shared" ref="W203" ca="1" si="174">IF(W200&gt;0,MIN(W200,V205),0)</f>
        <v>0</v>
      </c>
      <c r="X203" s="8">
        <f t="shared" ref="X203" ca="1" si="175">IF(X200&gt;0,MIN(X200,W205),0)</f>
        <v>0</v>
      </c>
    </row>
    <row r="204" spans="1:24">
      <c r="A204" s="112"/>
      <c r="B204" s="305" t="s">
        <v>164</v>
      </c>
      <c r="C204" s="63"/>
      <c r="D204" s="63"/>
      <c r="E204" s="307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spans="1:24">
      <c r="A205" s="112"/>
      <c r="B205" s="302" t="s">
        <v>165</v>
      </c>
      <c r="C205" s="63"/>
      <c r="D205" s="63"/>
      <c r="E205" s="306">
        <f ca="1">-E203-E202</f>
        <v>4301.3990471007619</v>
      </c>
      <c r="F205" s="8">
        <f ca="1">E205-F202-F203</f>
        <v>5242.6750580282223</v>
      </c>
      <c r="G205" s="8">
        <f t="shared" ref="G205:S205" ca="1" si="176">F205-G202-G203</f>
        <v>5171.8162806164146</v>
      </c>
      <c r="H205" s="8">
        <f t="shared" ca="1" si="176"/>
        <v>4395.651678095408</v>
      </c>
      <c r="I205" s="8">
        <f t="shared" ca="1" si="176"/>
        <v>3237.3550708014509</v>
      </c>
      <c r="J205" s="8">
        <f t="shared" ca="1" si="176"/>
        <v>1670.5106119202765</v>
      </c>
      <c r="K205" s="8">
        <f t="shared" ca="1" si="176"/>
        <v>0</v>
      </c>
      <c r="L205" s="8">
        <f t="shared" ca="1" si="176"/>
        <v>0</v>
      </c>
      <c r="M205" s="8">
        <f t="shared" ca="1" si="176"/>
        <v>0</v>
      </c>
      <c r="N205" s="8">
        <f t="shared" ca="1" si="176"/>
        <v>0</v>
      </c>
      <c r="O205" s="8">
        <f t="shared" ca="1" si="176"/>
        <v>0</v>
      </c>
      <c r="P205" s="8">
        <f t="shared" ca="1" si="176"/>
        <v>0</v>
      </c>
      <c r="Q205" s="8">
        <f t="shared" ca="1" si="176"/>
        <v>0</v>
      </c>
      <c r="R205" s="8">
        <f t="shared" ca="1" si="176"/>
        <v>0</v>
      </c>
      <c r="S205" s="8">
        <f t="shared" ca="1" si="176"/>
        <v>0</v>
      </c>
      <c r="T205" s="8">
        <f t="shared" ref="T205" ca="1" si="177">S205-T202-T203</f>
        <v>0</v>
      </c>
      <c r="U205" s="8">
        <f t="shared" ref="U205" ca="1" si="178">T205-U202-U203</f>
        <v>0</v>
      </c>
      <c r="V205" s="8">
        <f t="shared" ref="V205" ca="1" si="179">U205-V202-V203</f>
        <v>0</v>
      </c>
      <c r="W205" s="8">
        <f t="shared" ref="W205" ca="1" si="180">V205-W202-W203</f>
        <v>0</v>
      </c>
      <c r="X205" s="8">
        <f t="shared" ref="X205" ca="1" si="181">W205-X202-X203</f>
        <v>0</v>
      </c>
    </row>
    <row r="206" spans="1:24">
      <c r="A206" s="112"/>
      <c r="B206" s="302"/>
      <c r="C206" s="63"/>
      <c r="D206" s="63"/>
      <c r="E206" s="307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spans="1:24">
      <c r="A207" s="109" t="s">
        <v>166</v>
      </c>
      <c r="B207" s="301" t="s">
        <v>167</v>
      </c>
      <c r="C207" s="63"/>
      <c r="D207" s="63"/>
      <c r="E207" s="306">
        <f ca="1">E183-E194-E179</f>
        <v>200.00000000000023</v>
      </c>
      <c r="F207" s="306">
        <f t="shared" ref="F207:S207" ca="1" si="182">F183-F194-F179</f>
        <v>0</v>
      </c>
      <c r="G207" s="306">
        <f t="shared" ca="1" si="182"/>
        <v>0</v>
      </c>
      <c r="H207" s="306">
        <f t="shared" ca="1" si="182"/>
        <v>0</v>
      </c>
      <c r="I207" s="306">
        <f t="shared" ca="1" si="182"/>
        <v>0</v>
      </c>
      <c r="J207" s="306">
        <f t="shared" ca="1" si="182"/>
        <v>0</v>
      </c>
      <c r="K207" s="306">
        <f t="shared" ca="1" si="182"/>
        <v>333.17809955498706</v>
      </c>
      <c r="L207" s="306">
        <f t="shared" ca="1" si="182"/>
        <v>2446.0991594049228</v>
      </c>
      <c r="M207" s="306">
        <f t="shared" ca="1" si="182"/>
        <v>6893.7879008482205</v>
      </c>
      <c r="N207" s="306">
        <f t="shared" ca="1" si="182"/>
        <v>6832.5153378215564</v>
      </c>
      <c r="O207" s="306">
        <f t="shared" ca="1" si="182"/>
        <v>5504.7445316621379</v>
      </c>
      <c r="P207" s="306">
        <f t="shared" ca="1" si="182"/>
        <v>5306.1849604359595</v>
      </c>
      <c r="Q207" s="306">
        <f t="shared" ca="1" si="182"/>
        <v>5204.9192033708787</v>
      </c>
      <c r="R207" s="306">
        <f t="shared" ca="1" si="182"/>
        <v>5108.3773019192267</v>
      </c>
      <c r="S207" s="306">
        <f t="shared" ca="1" si="182"/>
        <v>5015.4519029557523</v>
      </c>
      <c r="T207" s="306">
        <f t="shared" ref="T207:X207" ca="1" si="183">T183-T194-T179</f>
        <v>4924.1825172153995</v>
      </c>
      <c r="U207" s="306">
        <f t="shared" ca="1" si="183"/>
        <v>4834.7328523615142</v>
      </c>
      <c r="V207" s="306">
        <f t="shared" ca="1" si="183"/>
        <v>4746.3714936029373</v>
      </c>
      <c r="W207" s="306">
        <f t="shared" ca="1" si="183"/>
        <v>4658.4554295204834</v>
      </c>
      <c r="X207" s="306">
        <f t="shared" ca="1" si="183"/>
        <v>4570.4159958728351</v>
      </c>
    </row>
    <row r="208" spans="1:24">
      <c r="A208" s="109" t="s">
        <v>168</v>
      </c>
      <c r="B208" s="301" t="s">
        <v>169</v>
      </c>
      <c r="C208" s="63"/>
      <c r="D208" s="63"/>
      <c r="E208" s="306">
        <f ca="1">E207</f>
        <v>200.00000000000023</v>
      </c>
      <c r="F208" s="8">
        <f ca="1">F207+E208</f>
        <v>200.00000000000023</v>
      </c>
      <c r="G208" s="8">
        <f t="shared" ref="G208:S208" ca="1" si="184">G207+F208</f>
        <v>200.00000000000023</v>
      </c>
      <c r="H208" s="8">
        <f t="shared" ca="1" si="184"/>
        <v>200.00000000000023</v>
      </c>
      <c r="I208" s="8">
        <f t="shared" ca="1" si="184"/>
        <v>200.00000000000023</v>
      </c>
      <c r="J208" s="8">
        <f t="shared" ca="1" si="184"/>
        <v>200.00000000000023</v>
      </c>
      <c r="K208" s="8">
        <f t="shared" ca="1" si="184"/>
        <v>533.17809955498728</v>
      </c>
      <c r="L208" s="8">
        <f t="shared" ca="1" si="184"/>
        <v>2979.2772589599099</v>
      </c>
      <c r="M208" s="8">
        <f t="shared" ca="1" si="184"/>
        <v>9873.0651598081313</v>
      </c>
      <c r="N208" s="8">
        <f t="shared" ca="1" si="184"/>
        <v>16705.580497629686</v>
      </c>
      <c r="O208" s="8">
        <f t="shared" ca="1" si="184"/>
        <v>22210.325029291824</v>
      </c>
      <c r="P208" s="8">
        <f t="shared" ca="1" si="184"/>
        <v>27516.509989727783</v>
      </c>
      <c r="Q208" s="8">
        <f t="shared" ca="1" si="184"/>
        <v>32721.429193098662</v>
      </c>
      <c r="R208" s="8">
        <f t="shared" ca="1" si="184"/>
        <v>37829.806495017889</v>
      </c>
      <c r="S208" s="8">
        <f t="shared" ca="1" si="184"/>
        <v>42845.258397973637</v>
      </c>
      <c r="T208" s="8">
        <f t="shared" ref="T208" ca="1" si="185">T207+S208</f>
        <v>47769.440915189036</v>
      </c>
      <c r="U208" s="8">
        <f t="shared" ref="U208" ca="1" si="186">U207+T208</f>
        <v>52604.17376755055</v>
      </c>
      <c r="V208" s="8">
        <f t="shared" ref="V208" ca="1" si="187">V207+U208</f>
        <v>57350.545261153486</v>
      </c>
      <c r="W208" s="8">
        <f t="shared" ref="W208" ca="1" si="188">W207+V208</f>
        <v>62009.000690673973</v>
      </c>
      <c r="X208" s="8">
        <f t="shared" ref="X208" ca="1" si="189">X207+W208</f>
        <v>66579.416686546814</v>
      </c>
    </row>
    <row r="209" spans="1:19">
      <c r="E209" s="9">
        <f ca="1">+IF(E205-D205&gt;0,E205-D205,0)</f>
        <v>4301.3990471007619</v>
      </c>
      <c r="F209" s="9">
        <f t="shared" ref="F209:S209" ca="1" si="190">+IF(F205-E205&gt;0,F205-E205,0)</f>
        <v>941.27601092746045</v>
      </c>
      <c r="G209" s="9">
        <f t="shared" ca="1" si="190"/>
        <v>0</v>
      </c>
      <c r="H209" s="9">
        <f t="shared" ca="1" si="190"/>
        <v>0</v>
      </c>
      <c r="I209" s="9">
        <f t="shared" ca="1" si="190"/>
        <v>0</v>
      </c>
      <c r="J209" s="9">
        <f t="shared" ca="1" si="190"/>
        <v>0</v>
      </c>
      <c r="K209" s="9">
        <f t="shared" ca="1" si="190"/>
        <v>0</v>
      </c>
      <c r="L209" s="9">
        <f t="shared" ca="1" si="190"/>
        <v>0</v>
      </c>
      <c r="M209" s="9">
        <f t="shared" ca="1" si="190"/>
        <v>0</v>
      </c>
      <c r="N209" s="9">
        <f t="shared" ca="1" si="190"/>
        <v>0</v>
      </c>
      <c r="O209" s="9">
        <f t="shared" ca="1" si="190"/>
        <v>0</v>
      </c>
      <c r="P209" s="9">
        <f t="shared" ca="1" si="190"/>
        <v>0</v>
      </c>
      <c r="Q209" s="9">
        <f t="shared" ca="1" si="190"/>
        <v>0</v>
      </c>
      <c r="R209" s="9">
        <f t="shared" ca="1" si="190"/>
        <v>0</v>
      </c>
      <c r="S209" s="9">
        <f t="shared" ca="1" si="190"/>
        <v>0</v>
      </c>
    </row>
    <row r="210" spans="1:19">
      <c r="F210" s="54"/>
    </row>
    <row r="211" spans="1:19">
      <c r="A211" s="184" t="s">
        <v>170</v>
      </c>
      <c r="B211" s="128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</row>
    <row r="212" spans="1:19" s="67" customFormat="1">
      <c r="A212" s="97"/>
      <c r="B212" s="10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</row>
    <row r="213" spans="1:19">
      <c r="A213" s="141"/>
      <c r="B213" s="179" t="s">
        <v>171</v>
      </c>
      <c r="C213" s="140">
        <v>1</v>
      </c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</row>
    <row r="214" spans="1:19">
      <c r="A214" s="141"/>
      <c r="B214" s="142" t="s">
        <v>172</v>
      </c>
      <c r="C214" s="143">
        <f>+C68</f>
        <v>8</v>
      </c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</row>
    <row r="215" spans="1:19">
      <c r="A215" s="141"/>
      <c r="B215" s="142" t="s">
        <v>173</v>
      </c>
      <c r="C215" s="144">
        <f>+C62</f>
        <v>0.11</v>
      </c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</row>
    <row r="216" spans="1:19">
      <c r="A216" s="141"/>
      <c r="B216" s="142" t="s">
        <v>174</v>
      </c>
      <c r="C216" s="139">
        <f>D35</f>
        <v>33052.625763442848</v>
      </c>
      <c r="D216" s="145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</row>
    <row r="217" spans="1:19">
      <c r="A217" s="141"/>
      <c r="B217" s="142" t="s">
        <v>175</v>
      </c>
      <c r="C217" s="139">
        <f>C216/C214</f>
        <v>4131.5782204303559</v>
      </c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</row>
    <row r="218" spans="1:19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</row>
    <row r="219" spans="1:19">
      <c r="A219" s="146"/>
      <c r="B219" s="146"/>
      <c r="C219" s="338" t="s">
        <v>370</v>
      </c>
      <c r="D219" s="147">
        <v>-1</v>
      </c>
      <c r="E219" s="147">
        <v>1</v>
      </c>
      <c r="F219" s="147">
        <v>2</v>
      </c>
      <c r="G219" s="147">
        <v>3</v>
      </c>
      <c r="H219" s="147">
        <v>4</v>
      </c>
      <c r="I219" s="147">
        <v>5</v>
      </c>
      <c r="J219" s="147">
        <v>6</v>
      </c>
      <c r="K219" s="147">
        <v>7</v>
      </c>
      <c r="L219" s="147">
        <v>8</v>
      </c>
      <c r="M219" s="147">
        <v>9</v>
      </c>
      <c r="N219" s="147">
        <v>10</v>
      </c>
      <c r="O219" s="147">
        <v>11</v>
      </c>
      <c r="P219" s="147">
        <v>12</v>
      </c>
      <c r="Q219" s="147">
        <v>13</v>
      </c>
      <c r="R219" s="147">
        <v>14</v>
      </c>
      <c r="S219" s="147">
        <v>15</v>
      </c>
    </row>
    <row r="220" spans="1:19">
      <c r="A220" s="142"/>
      <c r="B220" s="142" t="s">
        <v>176</v>
      </c>
      <c r="C220" s="140"/>
      <c r="D220" s="140"/>
      <c r="E220" s="143">
        <f>IF(E219&lt;=$C$214,$C$217,0)</f>
        <v>4131.5782204303559</v>
      </c>
      <c r="F220" s="143">
        <f t="shared" ref="F220:S220" si="191">IF(F219&lt;=$C$214,$C$217,0)</f>
        <v>4131.5782204303559</v>
      </c>
      <c r="G220" s="143">
        <f t="shared" si="191"/>
        <v>4131.5782204303559</v>
      </c>
      <c r="H220" s="143">
        <f t="shared" si="191"/>
        <v>4131.5782204303559</v>
      </c>
      <c r="I220" s="143">
        <f t="shared" si="191"/>
        <v>4131.5782204303559</v>
      </c>
      <c r="J220" s="143">
        <f t="shared" si="191"/>
        <v>4131.5782204303559</v>
      </c>
      <c r="K220" s="143">
        <f t="shared" si="191"/>
        <v>4131.5782204303559</v>
      </c>
      <c r="L220" s="143">
        <f t="shared" si="191"/>
        <v>4131.5782204303559</v>
      </c>
      <c r="M220" s="143">
        <f t="shared" si="191"/>
        <v>0</v>
      </c>
      <c r="N220" s="143">
        <f t="shared" si="191"/>
        <v>0</v>
      </c>
      <c r="O220" s="143">
        <f t="shared" si="191"/>
        <v>0</v>
      </c>
      <c r="P220" s="143">
        <f t="shared" si="191"/>
        <v>0</v>
      </c>
      <c r="Q220" s="143">
        <f t="shared" si="191"/>
        <v>0</v>
      </c>
      <c r="R220" s="143">
        <f t="shared" si="191"/>
        <v>0</v>
      </c>
      <c r="S220" s="143">
        <f t="shared" si="191"/>
        <v>0</v>
      </c>
    </row>
    <row r="221" spans="1:19">
      <c r="A221" s="142"/>
      <c r="B221" s="142" t="s">
        <v>177</v>
      </c>
      <c r="C221" s="139">
        <v>0</v>
      </c>
      <c r="D221" s="139">
        <f>(SUM('Project Cost'!I7:I12)*'Nitric Acid'!C35)</f>
        <v>30133.468749999996</v>
      </c>
      <c r="E221" s="139">
        <f>C216</f>
        <v>33052.625763442848</v>
      </c>
      <c r="F221" s="139">
        <f>E221-E220</f>
        <v>28921.047543012493</v>
      </c>
      <c r="G221" s="139">
        <f t="shared" ref="G221:S221" si="192">F221-F220</f>
        <v>24789.469322582139</v>
      </c>
      <c r="H221" s="139">
        <f t="shared" si="192"/>
        <v>20657.891102151785</v>
      </c>
      <c r="I221" s="139">
        <f t="shared" si="192"/>
        <v>16526.312881721431</v>
      </c>
      <c r="J221" s="139">
        <f t="shared" si="192"/>
        <v>12394.734661291075</v>
      </c>
      <c r="K221" s="139">
        <f t="shared" si="192"/>
        <v>8263.1564408607192</v>
      </c>
      <c r="L221" s="139">
        <f t="shared" si="192"/>
        <v>4131.5782204303632</v>
      </c>
      <c r="M221" s="139">
        <f t="shared" si="192"/>
        <v>7.2759576141834259E-12</v>
      </c>
      <c r="N221" s="139">
        <f t="shared" si="192"/>
        <v>7.2759576141834259E-12</v>
      </c>
      <c r="O221" s="139">
        <f t="shared" si="192"/>
        <v>7.2759576141834259E-12</v>
      </c>
      <c r="P221" s="139">
        <f t="shared" si="192"/>
        <v>7.2759576141834259E-12</v>
      </c>
      <c r="Q221" s="139">
        <f t="shared" si="192"/>
        <v>7.2759576141834259E-12</v>
      </c>
      <c r="R221" s="139">
        <f t="shared" si="192"/>
        <v>7.2759576141834259E-12</v>
      </c>
      <c r="S221" s="139">
        <f t="shared" si="192"/>
        <v>7.2759576141834259E-12</v>
      </c>
    </row>
    <row r="222" spans="1:19">
      <c r="A222" s="142"/>
      <c r="B222" s="142" t="s">
        <v>173</v>
      </c>
      <c r="C222" s="143">
        <v>0</v>
      </c>
      <c r="D222" s="143">
        <f>D221*$C$215</f>
        <v>3314.6815624999995</v>
      </c>
      <c r="E222" s="143">
        <f t="shared" ref="E222:S222" si="193">E221*$C$215</f>
        <v>3635.7888339787132</v>
      </c>
      <c r="F222" s="143">
        <f t="shared" si="193"/>
        <v>3181.3152297313741</v>
      </c>
      <c r="G222" s="143">
        <f t="shared" si="193"/>
        <v>2726.8416254840354</v>
      </c>
      <c r="H222" s="143">
        <f t="shared" si="193"/>
        <v>2272.3680212366962</v>
      </c>
      <c r="I222" s="143">
        <f t="shared" si="193"/>
        <v>1817.8944169893575</v>
      </c>
      <c r="J222" s="143">
        <f t="shared" si="193"/>
        <v>1363.4208127420184</v>
      </c>
      <c r="K222" s="143">
        <f t="shared" si="193"/>
        <v>908.9472084946791</v>
      </c>
      <c r="L222" s="143">
        <f t="shared" si="193"/>
        <v>454.47360424733995</v>
      </c>
      <c r="M222" s="143">
        <f t="shared" si="193"/>
        <v>8.0035533756017685E-13</v>
      </c>
      <c r="N222" s="143">
        <f t="shared" si="193"/>
        <v>8.0035533756017685E-13</v>
      </c>
      <c r="O222" s="143">
        <f t="shared" si="193"/>
        <v>8.0035533756017685E-13</v>
      </c>
      <c r="P222" s="143">
        <f t="shared" si="193"/>
        <v>8.0035533756017685E-13</v>
      </c>
      <c r="Q222" s="143">
        <f t="shared" si="193"/>
        <v>8.0035533756017685E-13</v>
      </c>
      <c r="R222" s="143">
        <f t="shared" si="193"/>
        <v>8.0035533756017685E-13</v>
      </c>
      <c r="S222" s="143">
        <f t="shared" si="193"/>
        <v>8.0035533756017685E-13</v>
      </c>
    </row>
    <row r="225" spans="1:22" ht="18.75">
      <c r="A225" s="436" t="s">
        <v>180</v>
      </c>
      <c r="B225" s="436"/>
      <c r="C225" s="436"/>
      <c r="D225" s="436"/>
      <c r="E225" s="436"/>
      <c r="F225" s="436"/>
      <c r="G225" s="436"/>
      <c r="H225" s="436"/>
      <c r="I225" s="436"/>
      <c r="J225" s="436"/>
      <c r="K225" s="436"/>
      <c r="L225" s="436"/>
      <c r="M225" s="436"/>
      <c r="N225" s="436"/>
      <c r="O225" s="436"/>
      <c r="P225" s="436"/>
      <c r="Q225" s="436"/>
    </row>
    <row r="226" spans="1:22">
      <c r="A226" s="435" t="s">
        <v>181</v>
      </c>
      <c r="B226" s="435"/>
      <c r="C226" s="435"/>
      <c r="D226" s="435"/>
      <c r="E226" s="435"/>
      <c r="F226" s="435"/>
      <c r="G226" s="435"/>
      <c r="H226" s="435"/>
      <c r="I226" s="435"/>
      <c r="J226" s="435"/>
      <c r="K226" s="435"/>
      <c r="L226" s="435"/>
      <c r="M226" s="435"/>
      <c r="N226" s="435"/>
      <c r="O226" s="435"/>
      <c r="P226" s="435"/>
      <c r="Q226" s="435"/>
    </row>
    <row r="227" spans="1:22">
      <c r="A227" s="167"/>
      <c r="B227" s="168"/>
      <c r="C227" s="169"/>
      <c r="D227" s="166"/>
      <c r="E227" s="166"/>
      <c r="F227" s="166"/>
      <c r="G227" s="166"/>
      <c r="H227" s="166"/>
      <c r="I227" s="166"/>
      <c r="J227" s="166"/>
      <c r="K227" s="166"/>
      <c r="L227" s="166"/>
      <c r="M227" s="169"/>
      <c r="N227" s="169"/>
      <c r="O227" s="169"/>
      <c r="P227" s="165"/>
      <c r="Q227" s="170"/>
    </row>
    <row r="228" spans="1:22">
      <c r="A228" s="156" t="s">
        <v>182</v>
      </c>
      <c r="B228" s="155" t="s">
        <v>70</v>
      </c>
      <c r="C228" s="162" t="s">
        <v>125</v>
      </c>
      <c r="D228" s="162" t="s">
        <v>126</v>
      </c>
      <c r="E228" s="162" t="s">
        <v>127</v>
      </c>
      <c r="F228" s="162" t="s">
        <v>128</v>
      </c>
      <c r="G228" s="162" t="s">
        <v>129</v>
      </c>
      <c r="H228" s="162" t="s">
        <v>130</v>
      </c>
      <c r="I228" s="162" t="s">
        <v>131</v>
      </c>
      <c r="J228" s="162" t="s">
        <v>132</v>
      </c>
      <c r="K228" s="162" t="s">
        <v>133</v>
      </c>
      <c r="L228" s="162" t="s">
        <v>134</v>
      </c>
      <c r="M228" s="162">
        <v>11</v>
      </c>
      <c r="N228" s="162" t="s">
        <v>136</v>
      </c>
      <c r="O228" s="162" t="s">
        <v>137</v>
      </c>
      <c r="P228" s="162" t="s">
        <v>138</v>
      </c>
      <c r="Q228" s="163" t="s">
        <v>139</v>
      </c>
      <c r="R228" s="163" t="s">
        <v>417</v>
      </c>
      <c r="S228" s="163" t="s">
        <v>418</v>
      </c>
      <c r="T228" s="163" t="s">
        <v>419</v>
      </c>
      <c r="U228" s="163" t="s">
        <v>420</v>
      </c>
      <c r="V228" s="163" t="s">
        <v>421</v>
      </c>
    </row>
    <row r="229" spans="1:22">
      <c r="A229" s="157" t="s">
        <v>183</v>
      </c>
      <c r="B229" s="161"/>
      <c r="C229" s="159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60"/>
      <c r="R229" s="160"/>
      <c r="S229" s="160"/>
      <c r="T229" s="160"/>
      <c r="U229" s="160"/>
      <c r="V229" s="160"/>
    </row>
    <row r="230" spans="1:22">
      <c r="A230" s="71">
        <v>1</v>
      </c>
      <c r="B230" s="121" t="s">
        <v>184</v>
      </c>
      <c r="C230" s="86">
        <f>C167</f>
        <v>526.87379347884962</v>
      </c>
      <c r="D230" s="86">
        <f t="shared" ref="D230:Q230" ca="1" si="194">D167</f>
        <v>1581.3113927071222</v>
      </c>
      <c r="E230" s="86">
        <f t="shared" ca="1" si="194"/>
        <v>2936.0664870659893</v>
      </c>
      <c r="F230" s="86">
        <f t="shared" ca="1" si="194"/>
        <v>3338.35823018664</v>
      </c>
      <c r="G230" s="86">
        <f t="shared" ca="1" si="194"/>
        <v>3801.8580605343068</v>
      </c>
      <c r="H230" s="86">
        <f t="shared" ca="1" si="194"/>
        <v>4297.3866180427431</v>
      </c>
      <c r="I230" s="86">
        <f t="shared" ca="1" si="194"/>
        <v>4827.223519545917</v>
      </c>
      <c r="J230" s="86">
        <f t="shared" ca="1" si="194"/>
        <v>5363.827322774745</v>
      </c>
      <c r="K230" s="86">
        <f t="shared" ca="1" si="194"/>
        <v>5747.4155537751149</v>
      </c>
      <c r="L230" s="86">
        <f t="shared" ca="1" si="194"/>
        <v>5673.7493176342041</v>
      </c>
      <c r="M230" s="86">
        <f t="shared" ca="1" si="194"/>
        <v>5597.1860776277035</v>
      </c>
      <c r="N230" s="86">
        <f t="shared" ca="1" si="194"/>
        <v>5517.6045728005784</v>
      </c>
      <c r="O230" s="86">
        <f t="shared" ca="1" si="194"/>
        <v>5434.8781868271844</v>
      </c>
      <c r="P230" s="86">
        <f t="shared" ca="1" si="194"/>
        <v>5348.8747014730698</v>
      </c>
      <c r="Q230" s="92">
        <f t="shared" ca="1" si="194"/>
        <v>5259.4560383667276</v>
      </c>
      <c r="R230" s="92">
        <f t="shared" ref="R230:V230" ca="1" si="195">R167</f>
        <v>5166.4779885160151</v>
      </c>
      <c r="S230" s="92">
        <f t="shared" ca="1" si="195"/>
        <v>5069.7899289760444</v>
      </c>
      <c r="T230" s="92">
        <f t="shared" ca="1" si="195"/>
        <v>4969.2345260464481</v>
      </c>
      <c r="U230" s="92">
        <f t="shared" ca="1" si="195"/>
        <v>4864.6474243453649</v>
      </c>
      <c r="V230" s="92">
        <f t="shared" ca="1" si="195"/>
        <v>4755.8569210754704</v>
      </c>
    </row>
    <row r="231" spans="1:22">
      <c r="A231" s="71">
        <v>2</v>
      </c>
      <c r="B231" s="121" t="s">
        <v>185</v>
      </c>
      <c r="C231" s="86">
        <f>C166</f>
        <v>2161.988996302438</v>
      </c>
      <c r="D231" s="86">
        <f t="shared" ref="D231:Q231" si="196">D166</f>
        <v>2161.988996302438</v>
      </c>
      <c r="E231" s="86">
        <f t="shared" si="196"/>
        <v>2161.988996302438</v>
      </c>
      <c r="F231" s="86">
        <f t="shared" si="196"/>
        <v>2161.988996302438</v>
      </c>
      <c r="G231" s="86">
        <f t="shared" si="196"/>
        <v>2161.988996302438</v>
      </c>
      <c r="H231" s="86">
        <f t="shared" si="196"/>
        <v>2161.988996302438</v>
      </c>
      <c r="I231" s="86">
        <f t="shared" si="196"/>
        <v>2161.988996302438</v>
      </c>
      <c r="J231" s="86">
        <f t="shared" si="196"/>
        <v>2161.988996302438</v>
      </c>
      <c r="K231" s="86">
        <f t="shared" si="196"/>
        <v>2161.988996302438</v>
      </c>
      <c r="L231" s="86">
        <f t="shared" si="196"/>
        <v>2161.988996302438</v>
      </c>
      <c r="M231" s="86">
        <f t="shared" si="196"/>
        <v>2161.988996302438</v>
      </c>
      <c r="N231" s="86">
        <f t="shared" si="196"/>
        <v>2161.988996302438</v>
      </c>
      <c r="O231" s="86">
        <f t="shared" si="196"/>
        <v>2161.988996302438</v>
      </c>
      <c r="P231" s="86">
        <f t="shared" si="196"/>
        <v>2161.988996302438</v>
      </c>
      <c r="Q231" s="92">
        <f t="shared" si="196"/>
        <v>2161.988996302438</v>
      </c>
      <c r="R231" s="92">
        <f t="shared" ref="R231:V231" si="197">R166</f>
        <v>2161.988996302438</v>
      </c>
      <c r="S231" s="92">
        <f t="shared" si="197"/>
        <v>2161.988996302438</v>
      </c>
      <c r="T231" s="92">
        <f t="shared" si="197"/>
        <v>2161.988996302438</v>
      </c>
      <c r="U231" s="92">
        <f t="shared" si="197"/>
        <v>2161.988996302438</v>
      </c>
      <c r="V231" s="92">
        <f t="shared" si="197"/>
        <v>2161.988996302438</v>
      </c>
    </row>
    <row r="232" spans="1:22">
      <c r="A232" s="71">
        <v>3</v>
      </c>
      <c r="B232" s="120" t="s">
        <v>186</v>
      </c>
      <c r="C232" s="86">
        <f>E259</f>
        <v>15516.941068940076</v>
      </c>
      <c r="D232" s="86">
        <f t="shared" ref="D232:Q232" si="198">F259</f>
        <v>4499.0452155057028</v>
      </c>
      <c r="E232" s="86">
        <f t="shared" si="198"/>
        <v>3836.9672065326758</v>
      </c>
      <c r="F232" s="86">
        <f t="shared" si="198"/>
        <v>3272.9230215703201</v>
      </c>
      <c r="G232" s="86">
        <f t="shared" si="198"/>
        <v>2792.3353747505635</v>
      </c>
      <c r="H232" s="86">
        <f t="shared" si="198"/>
        <v>2382.8007943121911</v>
      </c>
      <c r="I232" s="86">
        <f t="shared" si="198"/>
        <v>2033.7648283621531</v>
      </c>
      <c r="J232" s="86">
        <f t="shared" si="198"/>
        <v>1736.245841984942</v>
      </c>
      <c r="K232" s="86">
        <f t="shared" si="198"/>
        <v>1482.6001297766013</v>
      </c>
      <c r="L232" s="86">
        <f t="shared" si="198"/>
        <v>1266.3221579905714</v>
      </c>
      <c r="M232" s="86">
        <f t="shared" si="198"/>
        <v>1081.8746772044003</v>
      </c>
      <c r="N232" s="86">
        <f t="shared" si="198"/>
        <v>924.54423424491324</v>
      </c>
      <c r="O232" s="86">
        <f t="shared" si="198"/>
        <v>790.31828186723192</v>
      </c>
      <c r="P232" s="86">
        <f t="shared" si="198"/>
        <v>675.78065407029737</v>
      </c>
      <c r="Q232" s="92">
        <f t="shared" si="198"/>
        <v>578.02265899458791</v>
      </c>
      <c r="R232" s="92">
        <f t="shared" ref="R232" si="199">T259</f>
        <v>494.5674528767513</v>
      </c>
      <c r="S232" s="92">
        <f t="shared" ref="S232" si="200">U259</f>
        <v>423.30570840345507</v>
      </c>
      <c r="T232" s="92">
        <f t="shared" ref="T232" si="201">V259</f>
        <v>362.44088825533163</v>
      </c>
      <c r="U232" s="92">
        <f t="shared" ref="U232" si="202">W259</f>
        <v>310.4426875181872</v>
      </c>
      <c r="V232" s="92">
        <f t="shared" ref="V232" si="203">X259</f>
        <v>266.00742364149892</v>
      </c>
    </row>
    <row r="233" spans="1:22">
      <c r="A233" s="71">
        <v>4</v>
      </c>
      <c r="B233" s="121" t="s">
        <v>187</v>
      </c>
      <c r="C233" s="86">
        <f>C230+C231-C232</f>
        <v>-12828.078279158788</v>
      </c>
      <c r="D233" s="86">
        <f t="shared" ref="D233:Q233" ca="1" si="204">D230+D231-D232</f>
        <v>-755.74482649614265</v>
      </c>
      <c r="E233" s="86">
        <f t="shared" ca="1" si="204"/>
        <v>1261.0882768357515</v>
      </c>
      <c r="F233" s="86">
        <f t="shared" ca="1" si="204"/>
        <v>2227.4242049187578</v>
      </c>
      <c r="G233" s="86">
        <f t="shared" ca="1" si="204"/>
        <v>3171.5116820861813</v>
      </c>
      <c r="H233" s="86">
        <f t="shared" ca="1" si="204"/>
        <v>4076.5748200329899</v>
      </c>
      <c r="I233" s="86">
        <f t="shared" ca="1" si="204"/>
        <v>4955.4476874862021</v>
      </c>
      <c r="J233" s="86">
        <f t="shared" ca="1" si="204"/>
        <v>5789.5704770922412</v>
      </c>
      <c r="K233" s="86">
        <f t="shared" ca="1" si="204"/>
        <v>6426.8044203009513</v>
      </c>
      <c r="L233" s="86">
        <f t="shared" ca="1" si="204"/>
        <v>6569.4161559460708</v>
      </c>
      <c r="M233" s="86">
        <f t="shared" ca="1" si="204"/>
        <v>6677.3003967257409</v>
      </c>
      <c r="N233" s="86">
        <f t="shared" ca="1" si="204"/>
        <v>6755.0493348581031</v>
      </c>
      <c r="O233" s="86">
        <f t="shared" ca="1" si="204"/>
        <v>6806.5489012623902</v>
      </c>
      <c r="P233" s="86">
        <f t="shared" ca="1" si="204"/>
        <v>6835.08304370521</v>
      </c>
      <c r="Q233" s="92">
        <f t="shared" ca="1" si="204"/>
        <v>6843.4223756745778</v>
      </c>
      <c r="R233" s="92">
        <f t="shared" ref="R233:V233" ca="1" si="205">R230+R231-R232</f>
        <v>6833.8995319417018</v>
      </c>
      <c r="S233" s="92">
        <f t="shared" ca="1" si="205"/>
        <v>6808.473216875027</v>
      </c>
      <c r="T233" s="92">
        <f t="shared" ca="1" si="205"/>
        <v>6768.7826340935544</v>
      </c>
      <c r="U233" s="92">
        <f t="shared" ca="1" si="205"/>
        <v>6716.1937331296158</v>
      </c>
      <c r="V233" s="92">
        <f t="shared" ca="1" si="205"/>
        <v>6651.8384937364099</v>
      </c>
    </row>
    <row r="234" spans="1:22">
      <c r="A234" s="71">
        <v>5</v>
      </c>
      <c r="B234" s="121" t="s">
        <v>188</v>
      </c>
      <c r="C234" s="86">
        <v>0</v>
      </c>
      <c r="D234" s="86">
        <f>IF(C235&gt;0,0,C235)</f>
        <v>-12828.078279158788</v>
      </c>
      <c r="E234" s="86">
        <f t="shared" ref="E234:Q234" ca="1" si="206">IF(D235&gt;0,0,D235)</f>
        <v>-13583.82310565493</v>
      </c>
      <c r="F234" s="86">
        <f t="shared" ca="1" si="206"/>
        <v>-12322.734828819179</v>
      </c>
      <c r="G234" s="86">
        <f t="shared" ca="1" si="206"/>
        <v>-10095.310623900421</v>
      </c>
      <c r="H234" s="86">
        <f t="shared" ca="1" si="206"/>
        <v>-6923.7989418142397</v>
      </c>
      <c r="I234" s="86">
        <f t="shared" ca="1" si="206"/>
        <v>-2847.2241217812498</v>
      </c>
      <c r="J234" s="86">
        <f t="shared" ca="1" si="206"/>
        <v>0</v>
      </c>
      <c r="K234" s="86">
        <f t="shared" ca="1" si="206"/>
        <v>0</v>
      </c>
      <c r="L234" s="86">
        <f t="shared" ca="1" si="206"/>
        <v>0</v>
      </c>
      <c r="M234" s="86">
        <f t="shared" ca="1" si="206"/>
        <v>0</v>
      </c>
      <c r="N234" s="86">
        <f t="shared" ca="1" si="206"/>
        <v>0</v>
      </c>
      <c r="O234" s="86">
        <f t="shared" ca="1" si="206"/>
        <v>0</v>
      </c>
      <c r="P234" s="86">
        <f t="shared" ca="1" si="206"/>
        <v>0</v>
      </c>
      <c r="Q234" s="92">
        <f t="shared" ca="1" si="206"/>
        <v>0</v>
      </c>
      <c r="R234" s="92">
        <f t="shared" ref="R234" ca="1" si="207">IF(Q235&gt;0,0,Q235)</f>
        <v>0</v>
      </c>
      <c r="S234" s="92">
        <f t="shared" ref="S234" ca="1" si="208">IF(R235&gt;0,0,R235)</f>
        <v>0</v>
      </c>
      <c r="T234" s="92">
        <f t="shared" ref="T234" ca="1" si="209">IF(S235&gt;0,0,S235)</f>
        <v>0</v>
      </c>
      <c r="U234" s="92">
        <f t="shared" ref="U234" ca="1" si="210">IF(T235&gt;0,0,T235)</f>
        <v>0</v>
      </c>
      <c r="V234" s="92">
        <f t="shared" ref="V234" ca="1" si="211">IF(U235&gt;0,0,U235)</f>
        <v>0</v>
      </c>
    </row>
    <row r="235" spans="1:22">
      <c r="A235" s="71">
        <v>6</v>
      </c>
      <c r="B235" s="121" t="s">
        <v>189</v>
      </c>
      <c r="C235" s="86">
        <f>C233+C234</f>
        <v>-12828.078279158788</v>
      </c>
      <c r="D235" s="86">
        <f t="shared" ref="D235:Q235" ca="1" si="212">D233+D234</f>
        <v>-13583.82310565493</v>
      </c>
      <c r="E235" s="86">
        <f t="shared" ca="1" si="212"/>
        <v>-12322.734828819179</v>
      </c>
      <c r="F235" s="86">
        <f t="shared" ca="1" si="212"/>
        <v>-10095.310623900421</v>
      </c>
      <c r="G235" s="86">
        <f t="shared" ca="1" si="212"/>
        <v>-6923.7989418142397</v>
      </c>
      <c r="H235" s="86">
        <f t="shared" ca="1" si="212"/>
        <v>-2847.2241217812498</v>
      </c>
      <c r="I235" s="86">
        <f t="shared" ca="1" si="212"/>
        <v>2108.2235657049523</v>
      </c>
      <c r="J235" s="86">
        <f t="shared" ca="1" si="212"/>
        <v>5789.5704770922412</v>
      </c>
      <c r="K235" s="86">
        <f t="shared" ca="1" si="212"/>
        <v>6426.8044203009513</v>
      </c>
      <c r="L235" s="86">
        <f t="shared" ca="1" si="212"/>
        <v>6569.4161559460708</v>
      </c>
      <c r="M235" s="86">
        <f t="shared" ca="1" si="212"/>
        <v>6677.3003967257409</v>
      </c>
      <c r="N235" s="86">
        <f t="shared" ca="1" si="212"/>
        <v>6755.0493348581031</v>
      </c>
      <c r="O235" s="86">
        <f t="shared" ca="1" si="212"/>
        <v>6806.5489012623902</v>
      </c>
      <c r="P235" s="86">
        <f t="shared" ca="1" si="212"/>
        <v>6835.08304370521</v>
      </c>
      <c r="Q235" s="92">
        <f t="shared" ca="1" si="212"/>
        <v>6843.4223756745778</v>
      </c>
      <c r="R235" s="92">
        <f t="shared" ref="R235:V235" ca="1" si="213">R233+R234</f>
        <v>6833.8995319417018</v>
      </c>
      <c r="S235" s="92">
        <f t="shared" ca="1" si="213"/>
        <v>6808.473216875027</v>
      </c>
      <c r="T235" s="92">
        <f t="shared" ca="1" si="213"/>
        <v>6768.7826340935544</v>
      </c>
      <c r="U235" s="92">
        <f t="shared" ca="1" si="213"/>
        <v>6716.1937331296158</v>
      </c>
      <c r="V235" s="92">
        <f t="shared" ca="1" si="213"/>
        <v>6651.8384937364099</v>
      </c>
    </row>
    <row r="236" spans="1:22">
      <c r="A236" s="71">
        <v>7</v>
      </c>
      <c r="B236" s="121" t="s">
        <v>190</v>
      </c>
      <c r="C236" s="86">
        <f>IF(C235&gt;0,C235*$C$98,0)</f>
        <v>0</v>
      </c>
      <c r="D236" s="86">
        <f t="shared" ref="D236:Q236" ca="1" si="214">IF(D235&gt;0,D235*$C$98,0)</f>
        <v>0</v>
      </c>
      <c r="E236" s="86">
        <f t="shared" ca="1" si="214"/>
        <v>0</v>
      </c>
      <c r="F236" s="86">
        <f t="shared" ca="1" si="214"/>
        <v>0</v>
      </c>
      <c r="G236" s="86">
        <f t="shared" ca="1" si="214"/>
        <v>0</v>
      </c>
      <c r="H236" s="86">
        <f ca="1">IF(H235&gt;0,H235*$C$98,0)</f>
        <v>0</v>
      </c>
      <c r="I236" s="86">
        <f t="shared" ca="1" si="214"/>
        <v>736.69764279993865</v>
      </c>
      <c r="J236" s="86">
        <f t="shared" ca="1" si="214"/>
        <v>2023.107507515113</v>
      </c>
      <c r="K236" s="86">
        <f t="shared" ca="1" si="214"/>
        <v>2245.7825366299644</v>
      </c>
      <c r="L236" s="86">
        <f t="shared" ca="1" si="214"/>
        <v>2295.6167815337953</v>
      </c>
      <c r="M236" s="86">
        <f t="shared" ca="1" si="214"/>
        <v>2333.3158506318432</v>
      </c>
      <c r="N236" s="86">
        <f t="shared" ca="1" si="214"/>
        <v>2360.4844395728155</v>
      </c>
      <c r="O236" s="86">
        <f t="shared" ca="1" si="214"/>
        <v>2378.4804480571297</v>
      </c>
      <c r="P236" s="86">
        <f t="shared" ca="1" si="214"/>
        <v>2388.4514187923487</v>
      </c>
      <c r="Q236" s="86">
        <f t="shared" ca="1" si="214"/>
        <v>2391.3655149557248</v>
      </c>
      <c r="R236" s="86">
        <f t="shared" ref="R236:V236" ca="1" si="215">IF(R235&gt;0,R235*$C$98,0)</f>
        <v>2388.0378524417083</v>
      </c>
      <c r="S236" s="86">
        <f t="shared" ca="1" si="215"/>
        <v>2379.1528809048095</v>
      </c>
      <c r="T236" s="86">
        <f t="shared" ca="1" si="215"/>
        <v>2365.2834036576519</v>
      </c>
      <c r="U236" s="86">
        <f t="shared" ca="1" si="215"/>
        <v>2346.906738104813</v>
      </c>
      <c r="V236" s="92">
        <f t="shared" ca="1" si="215"/>
        <v>2324.4184432512511</v>
      </c>
    </row>
    <row r="237" spans="1:22">
      <c r="A237" s="71">
        <v>8</v>
      </c>
      <c r="B237" s="121" t="s">
        <v>191</v>
      </c>
      <c r="C237" s="119">
        <f>IF(C167&gt;0,C167*$D$98,0)</f>
        <v>92.055389196624617</v>
      </c>
      <c r="D237" s="119">
        <f t="shared" ref="D237:Q237" ca="1" si="216">IF(D167&gt;0,D167*$D$98,0)</f>
        <v>276.2867265337884</v>
      </c>
      <c r="E237" s="119">
        <f t="shared" ca="1" si="216"/>
        <v>512.9895366201697</v>
      </c>
      <c r="F237" s="119">
        <f t="shared" ca="1" si="216"/>
        <v>583.27794997820979</v>
      </c>
      <c r="G237" s="119">
        <f t="shared" ca="1" si="216"/>
        <v>664.26064033655416</v>
      </c>
      <c r="H237" s="119">
        <f t="shared" ca="1" si="216"/>
        <v>750.83938990442812</v>
      </c>
      <c r="I237" s="119">
        <f t="shared" ca="1" si="216"/>
        <v>843.41249333506266</v>
      </c>
      <c r="J237" s="119">
        <f t="shared" ca="1" si="216"/>
        <v>937.16790983520355</v>
      </c>
      <c r="K237" s="119">
        <f t="shared" ca="1" si="216"/>
        <v>1004.1884455555881</v>
      </c>
      <c r="L237" s="119">
        <f t="shared" ca="1" si="216"/>
        <v>991.31748077704822</v>
      </c>
      <c r="M237" s="119">
        <f t="shared" ca="1" si="216"/>
        <v>977.94035148311241</v>
      </c>
      <c r="N237" s="119">
        <f t="shared" ca="1" si="216"/>
        <v>964.03587095971716</v>
      </c>
      <c r="O237" s="119">
        <f t="shared" ca="1" si="216"/>
        <v>949.58191680244579</v>
      </c>
      <c r="P237" s="119">
        <f t="shared" ca="1" si="216"/>
        <v>934.5553878413748</v>
      </c>
      <c r="Q237" s="119">
        <f t="shared" ca="1" si="216"/>
        <v>918.93215902343468</v>
      </c>
      <c r="R237" s="119">
        <f t="shared" ref="R237:V237" ca="1" si="217">IF(R167&gt;0,R167*$D$98,0)</f>
        <v>902.6870341535182</v>
      </c>
      <c r="S237" s="119">
        <f t="shared" ca="1" si="217"/>
        <v>885.79369639069455</v>
      </c>
      <c r="T237" s="119">
        <f t="shared" ca="1" si="217"/>
        <v>868.22465639083543</v>
      </c>
      <c r="U237" s="119">
        <f t="shared" ca="1" si="217"/>
        <v>849.95119798162227</v>
      </c>
      <c r="V237" s="398">
        <f t="shared" ca="1" si="217"/>
        <v>830.94332125030621</v>
      </c>
    </row>
    <row r="238" spans="1:22">
      <c r="A238" s="71">
        <v>9</v>
      </c>
      <c r="B238" s="121" t="s">
        <v>192</v>
      </c>
      <c r="C238" s="115">
        <f>IF(C236&gt;C237,C236,C237)</f>
        <v>92.055389196624617</v>
      </c>
      <c r="D238" s="115">
        <f t="shared" ref="D238:Q238" ca="1" si="218">IF(D236&gt;D237,D236,D237)</f>
        <v>276.2867265337884</v>
      </c>
      <c r="E238" s="115">
        <f t="shared" ca="1" si="218"/>
        <v>512.9895366201697</v>
      </c>
      <c r="F238" s="115">
        <f t="shared" ca="1" si="218"/>
        <v>583.27794997820979</v>
      </c>
      <c r="G238" s="115">
        <f t="shared" ca="1" si="218"/>
        <v>664.26064033655416</v>
      </c>
      <c r="H238" s="115">
        <f t="shared" ca="1" si="218"/>
        <v>750.83938990442812</v>
      </c>
      <c r="I238" s="115">
        <f t="shared" ca="1" si="218"/>
        <v>843.41249333506266</v>
      </c>
      <c r="J238" s="115">
        <f t="shared" ca="1" si="218"/>
        <v>2023.107507515113</v>
      </c>
      <c r="K238" s="115">
        <f t="shared" ca="1" si="218"/>
        <v>2245.7825366299644</v>
      </c>
      <c r="L238" s="115">
        <f t="shared" ca="1" si="218"/>
        <v>2295.6167815337953</v>
      </c>
      <c r="M238" s="115">
        <f t="shared" ca="1" si="218"/>
        <v>2333.3158506318432</v>
      </c>
      <c r="N238" s="115">
        <f t="shared" ca="1" si="218"/>
        <v>2360.4844395728155</v>
      </c>
      <c r="O238" s="115">
        <f t="shared" ca="1" si="218"/>
        <v>2378.4804480571297</v>
      </c>
      <c r="P238" s="115">
        <f t="shared" ca="1" si="218"/>
        <v>2388.4514187923487</v>
      </c>
      <c r="Q238" s="115">
        <f t="shared" ca="1" si="218"/>
        <v>2391.3655149557248</v>
      </c>
      <c r="R238" s="115">
        <f t="shared" ref="R238:V238" ca="1" si="219">IF(R236&gt;R237,R236,R237)</f>
        <v>2388.0378524417083</v>
      </c>
      <c r="S238" s="115">
        <f t="shared" ca="1" si="219"/>
        <v>2379.1528809048095</v>
      </c>
      <c r="T238" s="115">
        <f t="shared" ca="1" si="219"/>
        <v>2365.2834036576519</v>
      </c>
      <c r="U238" s="115">
        <f t="shared" ca="1" si="219"/>
        <v>2346.906738104813</v>
      </c>
      <c r="V238" s="399">
        <f t="shared" ca="1" si="219"/>
        <v>2324.4184432512511</v>
      </c>
    </row>
    <row r="239" spans="1:22">
      <c r="A239" s="105">
        <v>10</v>
      </c>
      <c r="B239" s="98" t="s">
        <v>193</v>
      </c>
      <c r="C239" s="82">
        <f>IF(C237&gt;C236,SUM($C$237:C237),0)</f>
        <v>92.055389196624617</v>
      </c>
      <c r="D239" s="82">
        <f ca="1">IF(D237&gt;D236,SUM($C$237:D237),0)</f>
        <v>368.34211573041301</v>
      </c>
      <c r="E239" s="82">
        <f ca="1">IF(E237&gt;E236,SUM($C$237:E237),0)</f>
        <v>881.33165235058277</v>
      </c>
      <c r="F239" s="82">
        <f ca="1">IF(F237&gt;F236,SUM($C$237:F237),0)</f>
        <v>1464.6096023287926</v>
      </c>
      <c r="G239" s="82">
        <f ca="1">IF(G237&gt;G236,SUM($C$237:G237),0)</f>
        <v>2128.8702426653467</v>
      </c>
      <c r="H239" s="82">
        <f ca="1">IF(H237&gt;H236,SUM($C$237:H237),0)</f>
        <v>2879.7096325697748</v>
      </c>
      <c r="I239" s="82">
        <f ca="1">IF(I237&gt;I236,SUM($C$237:I237),0)</f>
        <v>3723.1221259048375</v>
      </c>
      <c r="J239" s="82">
        <f ca="1">IF(J237&gt;J236,SUM($C$237:J237),0)</f>
        <v>0</v>
      </c>
      <c r="K239" s="82">
        <f ca="1">IF(K237&gt;K236,SUM($C$237:K237),0)</f>
        <v>0</v>
      </c>
      <c r="L239" s="82">
        <f ca="1">IF(L237&gt;L236,SUM($C$237:L237),0)</f>
        <v>0</v>
      </c>
      <c r="M239" s="82">
        <f ca="1">IF(M237&gt;M236,SUM($C$237:M237),0)</f>
        <v>0</v>
      </c>
      <c r="N239" s="82">
        <f ca="1">IF(N237&gt;N236,SUM($C$237:N237),0)</f>
        <v>0</v>
      </c>
      <c r="O239" s="82">
        <f ca="1">IF(O237&gt;O236,SUM($C$237:O237),0)</f>
        <v>0</v>
      </c>
      <c r="P239" s="82">
        <f ca="1">IF(P237&gt;P236,SUM($C$237:P237),0)</f>
        <v>0</v>
      </c>
      <c r="Q239" s="82">
        <f ca="1">IF(Q237&gt;Q236,SUM($C$237:Q237),0)</f>
        <v>0</v>
      </c>
      <c r="R239" s="82">
        <f ca="1">IF(R237&gt;R236,SUM($C$237:R237),0)</f>
        <v>0</v>
      </c>
      <c r="S239" s="82">
        <f ca="1">IF(S237&gt;S236,SUM($C$237:S237),0)</f>
        <v>0</v>
      </c>
      <c r="T239" s="82">
        <f ca="1">IF(T237&gt;T236,SUM($C$237:T237),0)</f>
        <v>0</v>
      </c>
      <c r="U239" s="82">
        <f ca="1">IF(U237&gt;U236,SUM($C$237:U237),0)</f>
        <v>0</v>
      </c>
      <c r="V239" s="400">
        <f ca="1">IF(V237&gt;V236,SUM($C$237:V237),0)</f>
        <v>0</v>
      </c>
    </row>
    <row r="240" spans="1:22">
      <c r="A240" s="105">
        <v>11</v>
      </c>
      <c r="B240" s="131" t="s">
        <v>194</v>
      </c>
      <c r="C240" s="123">
        <f ca="1">IF(C246&gt;0,C246,0)</f>
        <v>0</v>
      </c>
      <c r="D240" s="123">
        <f t="shared" ref="D240:Q240" ca="1" si="220">IF(D246&gt;0,D246,0)</f>
        <v>0</v>
      </c>
      <c r="E240" s="123">
        <f t="shared" ca="1" si="220"/>
        <v>0</v>
      </c>
      <c r="F240" s="123">
        <f t="shared" ca="1" si="220"/>
        <v>0</v>
      </c>
      <c r="G240" s="123">
        <f t="shared" ca="1" si="220"/>
        <v>0</v>
      </c>
      <c r="H240" s="123">
        <f t="shared" ca="1" si="220"/>
        <v>0</v>
      </c>
      <c r="I240" s="123">
        <f t="shared" ca="1" si="220"/>
        <v>0</v>
      </c>
      <c r="J240" s="123">
        <f t="shared" ca="1" si="220"/>
        <v>1085.9395976799094</v>
      </c>
      <c r="K240" s="123">
        <f t="shared" ca="1" si="220"/>
        <v>1241.5940910743761</v>
      </c>
      <c r="L240" s="123">
        <f t="shared" ca="1" si="220"/>
        <v>1304.299300756747</v>
      </c>
      <c r="M240" s="123">
        <f t="shared" ca="1" si="220"/>
        <v>91.289136393805165</v>
      </c>
      <c r="N240" s="123">
        <f t="shared" ca="1" si="220"/>
        <v>0</v>
      </c>
      <c r="O240" s="123">
        <f t="shared" ca="1" si="220"/>
        <v>0</v>
      </c>
      <c r="P240" s="123">
        <f t="shared" ca="1" si="220"/>
        <v>0</v>
      </c>
      <c r="Q240" s="123">
        <f t="shared" ca="1" si="220"/>
        <v>0</v>
      </c>
      <c r="R240" s="123">
        <f t="shared" ref="R240:V240" ca="1" si="221">IF(R246&gt;0,R246,0)</f>
        <v>0</v>
      </c>
      <c r="S240" s="123">
        <f t="shared" ca="1" si="221"/>
        <v>0</v>
      </c>
      <c r="T240" s="123">
        <f t="shared" ca="1" si="221"/>
        <v>0</v>
      </c>
      <c r="U240" s="123">
        <f t="shared" ca="1" si="221"/>
        <v>0</v>
      </c>
      <c r="V240" s="401">
        <f t="shared" ca="1" si="221"/>
        <v>0</v>
      </c>
    </row>
    <row r="241" spans="1:24">
      <c r="A241" s="106">
        <v>12</v>
      </c>
      <c r="B241" s="74" t="s">
        <v>195</v>
      </c>
      <c r="C241" s="77">
        <f ca="1">IF(C237&gt;C236,C237,C236)-C240</f>
        <v>92.055389196624617</v>
      </c>
      <c r="D241" s="77">
        <f t="shared" ref="D241:Q241" ca="1" si="222">IF(D237&gt;D236,D237,D236)-D240</f>
        <v>276.2867265337884</v>
      </c>
      <c r="E241" s="77">
        <f t="shared" ca="1" si="222"/>
        <v>512.9895366201697</v>
      </c>
      <c r="F241" s="77">
        <f t="shared" ca="1" si="222"/>
        <v>583.27794997820979</v>
      </c>
      <c r="G241" s="77">
        <f t="shared" ca="1" si="222"/>
        <v>664.26064033655416</v>
      </c>
      <c r="H241" s="77">
        <f t="shared" ca="1" si="222"/>
        <v>750.83938990442812</v>
      </c>
      <c r="I241" s="77">
        <f ca="1">IF(I237&gt;I236,I237,I236)-I240</f>
        <v>843.41249333506266</v>
      </c>
      <c r="J241" s="77">
        <f t="shared" ca="1" si="222"/>
        <v>937.16790983520355</v>
      </c>
      <c r="K241" s="77">
        <f t="shared" ca="1" si="222"/>
        <v>1004.1884455555883</v>
      </c>
      <c r="L241" s="77">
        <f t="shared" ca="1" si="222"/>
        <v>991.31748077704833</v>
      </c>
      <c r="M241" s="77">
        <f t="shared" ca="1" si="222"/>
        <v>2242.026714238038</v>
      </c>
      <c r="N241" s="77">
        <f t="shared" ca="1" si="222"/>
        <v>2360.4844395728155</v>
      </c>
      <c r="O241" s="77">
        <f t="shared" ca="1" si="222"/>
        <v>2378.4804480571297</v>
      </c>
      <c r="P241" s="77">
        <f t="shared" ca="1" si="222"/>
        <v>2388.4514187923487</v>
      </c>
      <c r="Q241" s="77">
        <f t="shared" ca="1" si="222"/>
        <v>2391.3655149557248</v>
      </c>
      <c r="R241" s="77">
        <f t="shared" ref="R241:V241" ca="1" si="223">IF(R237&gt;R236,R237,R236)-R240</f>
        <v>2388.0378524417083</v>
      </c>
      <c r="S241" s="77">
        <f t="shared" ca="1" si="223"/>
        <v>2379.1528809048095</v>
      </c>
      <c r="T241" s="77">
        <f t="shared" ca="1" si="223"/>
        <v>2365.2834036576519</v>
      </c>
      <c r="U241" s="77">
        <f t="shared" ca="1" si="223"/>
        <v>2346.906738104813</v>
      </c>
      <c r="V241" s="402">
        <f t="shared" ca="1" si="223"/>
        <v>2324.4184432512511</v>
      </c>
    </row>
    <row r="242" spans="1:24">
      <c r="A242" s="152"/>
      <c r="B242" s="152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</row>
    <row r="243" spans="1:24">
      <c r="A243" s="154"/>
      <c r="B243" s="171" t="s">
        <v>196</v>
      </c>
      <c r="C243" s="172">
        <f>IF((C236-C237)&lt;0,0,(C236-C237))</f>
        <v>0</v>
      </c>
      <c r="D243" s="172">
        <f t="shared" ref="D243:Q243" ca="1" si="224">IF((D236-D237)&lt;0,0,(D236-D237))</f>
        <v>0</v>
      </c>
      <c r="E243" s="172">
        <f t="shared" ca="1" si="224"/>
        <v>0</v>
      </c>
      <c r="F243" s="172">
        <f t="shared" ca="1" si="224"/>
        <v>0</v>
      </c>
      <c r="G243" s="172">
        <f t="shared" ca="1" si="224"/>
        <v>0</v>
      </c>
      <c r="H243" s="172">
        <f t="shared" ca="1" si="224"/>
        <v>0</v>
      </c>
      <c r="I243" s="172">
        <f t="shared" ca="1" si="224"/>
        <v>0</v>
      </c>
      <c r="J243" s="172">
        <f t="shared" ca="1" si="224"/>
        <v>1085.9395976799094</v>
      </c>
      <c r="K243" s="172">
        <f t="shared" ca="1" si="224"/>
        <v>1241.5940910743761</v>
      </c>
      <c r="L243" s="172">
        <f t="shared" ca="1" si="224"/>
        <v>1304.299300756747</v>
      </c>
      <c r="M243" s="172">
        <f t="shared" ca="1" si="224"/>
        <v>1355.3754991487308</v>
      </c>
      <c r="N243" s="172">
        <f t="shared" ca="1" si="224"/>
        <v>1396.4485686130984</v>
      </c>
      <c r="O243" s="172">
        <f t="shared" ca="1" si="224"/>
        <v>1428.8985312546838</v>
      </c>
      <c r="P243" s="172">
        <f t="shared" ca="1" si="224"/>
        <v>1453.8960309509739</v>
      </c>
      <c r="Q243" s="172">
        <f t="shared" ca="1" si="224"/>
        <v>1472.4333559322902</v>
      </c>
      <c r="R243" s="172">
        <f t="shared" ref="R243:V243" ca="1" si="225">IF((R236-R237)&lt;0,0,(R236-R237))</f>
        <v>1485.3508182881901</v>
      </c>
      <c r="S243" s="172">
        <f t="shared" ca="1" si="225"/>
        <v>1493.359184514115</v>
      </c>
      <c r="T243" s="172">
        <f t="shared" ca="1" si="225"/>
        <v>1497.0587472668165</v>
      </c>
      <c r="U243" s="172">
        <f t="shared" ca="1" si="225"/>
        <v>1496.9555401231908</v>
      </c>
      <c r="V243" s="172">
        <f t="shared" ca="1" si="225"/>
        <v>1493.4751220009448</v>
      </c>
    </row>
    <row r="244" spans="1:24">
      <c r="A244" s="154"/>
      <c r="B244" s="171" t="s">
        <v>197</v>
      </c>
      <c r="C244" s="172">
        <f>C243</f>
        <v>0</v>
      </c>
      <c r="D244" s="172">
        <f ca="1">C244+D243</f>
        <v>0</v>
      </c>
      <c r="E244" s="172">
        <f t="shared" ref="E244:Q244" ca="1" si="226">D244+E243</f>
        <v>0</v>
      </c>
      <c r="F244" s="172">
        <f t="shared" ca="1" si="226"/>
        <v>0</v>
      </c>
      <c r="G244" s="172">
        <f t="shared" ca="1" si="226"/>
        <v>0</v>
      </c>
      <c r="H244" s="172">
        <f t="shared" ca="1" si="226"/>
        <v>0</v>
      </c>
      <c r="I244" s="172">
        <f t="shared" ca="1" si="226"/>
        <v>0</v>
      </c>
      <c r="J244" s="172">
        <f t="shared" ca="1" si="226"/>
        <v>1085.9395976799094</v>
      </c>
      <c r="K244" s="172">
        <f t="shared" ca="1" si="226"/>
        <v>2327.5336887542853</v>
      </c>
      <c r="L244" s="172">
        <f t="shared" ca="1" si="226"/>
        <v>3631.8329895110323</v>
      </c>
      <c r="M244" s="172">
        <f t="shared" ca="1" si="226"/>
        <v>4987.2084886597631</v>
      </c>
      <c r="N244" s="172">
        <f t="shared" ca="1" si="226"/>
        <v>6383.6570572728615</v>
      </c>
      <c r="O244" s="172">
        <f t="shared" ca="1" si="226"/>
        <v>7812.5555885275453</v>
      </c>
      <c r="P244" s="172">
        <f t="shared" ca="1" si="226"/>
        <v>9266.4516194785192</v>
      </c>
      <c r="Q244" s="172">
        <f t="shared" ca="1" si="226"/>
        <v>10738.884975410809</v>
      </c>
      <c r="R244" s="172">
        <f t="shared" ref="R244" ca="1" si="227">Q244+R243</f>
        <v>12224.235793698999</v>
      </c>
      <c r="S244" s="172">
        <f t="shared" ref="S244" ca="1" si="228">R244+S243</f>
        <v>13717.594978213114</v>
      </c>
      <c r="T244" s="172">
        <f t="shared" ref="T244" ca="1" si="229">S244+T243</f>
        <v>15214.65372547993</v>
      </c>
      <c r="U244" s="172">
        <f t="shared" ref="U244" ca="1" si="230">T244+U243</f>
        <v>16711.609265603121</v>
      </c>
      <c r="V244" s="172">
        <f t="shared" ref="V244" ca="1" si="231">U244+V243</f>
        <v>18205.084387604067</v>
      </c>
    </row>
    <row r="245" spans="1:24">
      <c r="A245" s="154"/>
      <c r="B245" s="171" t="s">
        <v>198</v>
      </c>
      <c r="C245" s="172">
        <f>IF(C237&gt;C236,C237,0)</f>
        <v>92.055389196624617</v>
      </c>
      <c r="D245" s="172">
        <f t="shared" ref="D245:Q245" ca="1" si="232">IF(D237&gt;D236,D237,0)</f>
        <v>276.2867265337884</v>
      </c>
      <c r="E245" s="172">
        <f t="shared" ca="1" si="232"/>
        <v>512.9895366201697</v>
      </c>
      <c r="F245" s="172">
        <f t="shared" ca="1" si="232"/>
        <v>583.27794997820979</v>
      </c>
      <c r="G245" s="172">
        <f t="shared" ca="1" si="232"/>
        <v>664.26064033655416</v>
      </c>
      <c r="H245" s="172">
        <f t="shared" ca="1" si="232"/>
        <v>750.83938990442812</v>
      </c>
      <c r="I245" s="172">
        <f t="shared" ca="1" si="232"/>
        <v>843.41249333506266</v>
      </c>
      <c r="J245" s="172">
        <f t="shared" ca="1" si="232"/>
        <v>0</v>
      </c>
      <c r="K245" s="172">
        <f t="shared" ca="1" si="232"/>
        <v>0</v>
      </c>
      <c r="L245" s="172">
        <f t="shared" ca="1" si="232"/>
        <v>0</v>
      </c>
      <c r="M245" s="172">
        <f t="shared" ca="1" si="232"/>
        <v>0</v>
      </c>
      <c r="N245" s="172">
        <f t="shared" ca="1" si="232"/>
        <v>0</v>
      </c>
      <c r="O245" s="172">
        <f t="shared" ca="1" si="232"/>
        <v>0</v>
      </c>
      <c r="P245" s="172">
        <f t="shared" ca="1" si="232"/>
        <v>0</v>
      </c>
      <c r="Q245" s="172">
        <f t="shared" ca="1" si="232"/>
        <v>0</v>
      </c>
      <c r="R245" s="172">
        <f t="shared" ref="R245:V245" ca="1" si="233">IF(R237&gt;R236,R237,0)</f>
        <v>0</v>
      </c>
      <c r="S245" s="172">
        <f t="shared" ca="1" si="233"/>
        <v>0</v>
      </c>
      <c r="T245" s="172">
        <f t="shared" ca="1" si="233"/>
        <v>0</v>
      </c>
      <c r="U245" s="172">
        <f t="shared" ca="1" si="233"/>
        <v>0</v>
      </c>
      <c r="V245" s="172">
        <f t="shared" ca="1" si="233"/>
        <v>0</v>
      </c>
      <c r="W245" s="183">
        <f ca="1">SUM(C245:V245)</f>
        <v>3723.1221259048375</v>
      </c>
    </row>
    <row r="246" spans="1:24">
      <c r="A246" s="153"/>
      <c r="B246" s="173" t="s">
        <v>199</v>
      </c>
      <c r="C246" s="174">
        <f t="shared" ref="C246:H246" ca="1" si="234">IF(C244&lt;$W$245,C243,C243-(C244-$W$245))</f>
        <v>0</v>
      </c>
      <c r="D246" s="174">
        <f t="shared" ca="1" si="234"/>
        <v>0</v>
      </c>
      <c r="E246" s="174">
        <f t="shared" ca="1" si="234"/>
        <v>0</v>
      </c>
      <c r="F246" s="174">
        <f t="shared" ca="1" si="234"/>
        <v>0</v>
      </c>
      <c r="G246" s="174">
        <f t="shared" ca="1" si="234"/>
        <v>0</v>
      </c>
      <c r="H246" s="174">
        <f t="shared" ca="1" si="234"/>
        <v>0</v>
      </c>
      <c r="I246" s="174">
        <f ca="1">IF(I244&lt;$W$245,I243,I243-(I244-$W$245))</f>
        <v>0</v>
      </c>
      <c r="J246" s="174">
        <f t="shared" ref="J246:V246" ca="1" si="235">IF(J244&lt;$W$245,J243,J243-(J244-$W$245))</f>
        <v>1085.9395976799094</v>
      </c>
      <c r="K246" s="174">
        <f t="shared" ca="1" si="235"/>
        <v>1241.5940910743761</v>
      </c>
      <c r="L246" s="174">
        <f t="shared" ca="1" si="235"/>
        <v>1304.299300756747</v>
      </c>
      <c r="M246" s="174">
        <f t="shared" ca="1" si="235"/>
        <v>91.289136393805165</v>
      </c>
      <c r="N246" s="174">
        <f t="shared" ca="1" si="235"/>
        <v>-1264.0863627549256</v>
      </c>
      <c r="O246" s="174">
        <f t="shared" ca="1" si="235"/>
        <v>-2660.534931368024</v>
      </c>
      <c r="P246" s="174">
        <f t="shared" ca="1" si="235"/>
        <v>-4089.4334626227073</v>
      </c>
      <c r="Q246" s="174">
        <f t="shared" ca="1" si="235"/>
        <v>-5543.3294935736803</v>
      </c>
      <c r="R246" s="174">
        <f t="shared" ca="1" si="235"/>
        <v>-7015.7628495059707</v>
      </c>
      <c r="S246" s="174">
        <f t="shared" ca="1" si="235"/>
        <v>-8501.1136677941613</v>
      </c>
      <c r="T246" s="174">
        <f t="shared" ca="1" si="235"/>
        <v>-9994.4728523082758</v>
      </c>
      <c r="U246" s="174">
        <f t="shared" ca="1" si="235"/>
        <v>-11491.531599575093</v>
      </c>
      <c r="V246" s="174">
        <f t="shared" ca="1" si="235"/>
        <v>-12988.487139698285</v>
      </c>
    </row>
    <row r="250" spans="1:24" ht="18.75">
      <c r="A250" s="434" t="s">
        <v>200</v>
      </c>
      <c r="B250" s="434"/>
      <c r="C250" s="434"/>
      <c r="D250" s="434"/>
      <c r="E250" s="434"/>
      <c r="F250" s="434"/>
      <c r="G250" s="434"/>
      <c r="H250" s="434"/>
      <c r="I250" s="434"/>
      <c r="J250" s="434"/>
      <c r="K250" s="434"/>
      <c r="L250" s="434"/>
      <c r="M250" s="434"/>
      <c r="N250" s="434"/>
      <c r="O250" s="434"/>
      <c r="P250" s="434"/>
      <c r="Q250" s="434"/>
      <c r="R250" s="434"/>
      <c r="S250" s="434"/>
    </row>
    <row r="251" spans="1:24" ht="2.25" customHeight="1">
      <c r="A251" s="175"/>
      <c r="B251" s="176"/>
      <c r="C251" s="177"/>
      <c r="D251" s="175"/>
      <c r="E251" s="178"/>
      <c r="F251" s="178"/>
      <c r="G251" s="178"/>
      <c r="H251" s="178"/>
      <c r="I251" s="178"/>
      <c r="J251" s="178"/>
      <c r="K251" s="177"/>
      <c r="L251" s="177"/>
      <c r="M251" s="177"/>
      <c r="N251" s="177"/>
      <c r="O251" s="177"/>
      <c r="P251" s="177"/>
      <c r="Q251" s="177"/>
      <c r="R251" s="177"/>
      <c r="S251" s="177"/>
    </row>
    <row r="252" spans="1:24">
      <c r="A252" s="122" t="s">
        <v>182</v>
      </c>
      <c r="B252" s="134" t="s">
        <v>201</v>
      </c>
      <c r="C252" s="134" t="s">
        <v>202</v>
      </c>
      <c r="D252" s="122" t="s">
        <v>203</v>
      </c>
      <c r="E252" s="132" t="s">
        <v>125</v>
      </c>
      <c r="F252" s="132" t="s">
        <v>126</v>
      </c>
      <c r="G252" s="132" t="s">
        <v>127</v>
      </c>
      <c r="H252" s="132" t="s">
        <v>128</v>
      </c>
      <c r="I252" s="132" t="s">
        <v>129</v>
      </c>
      <c r="J252" s="132" t="s">
        <v>130</v>
      </c>
      <c r="K252" s="132" t="s">
        <v>131</v>
      </c>
      <c r="L252" s="132" t="s">
        <v>132</v>
      </c>
      <c r="M252" s="132" t="s">
        <v>133</v>
      </c>
      <c r="N252" s="132" t="s">
        <v>134</v>
      </c>
      <c r="O252" s="132" t="s">
        <v>135</v>
      </c>
      <c r="P252" s="132" t="s">
        <v>136</v>
      </c>
      <c r="Q252" s="132" t="s">
        <v>137</v>
      </c>
      <c r="R252" s="132" t="s">
        <v>138</v>
      </c>
      <c r="S252" s="132" t="s">
        <v>139</v>
      </c>
      <c r="T252" s="132" t="s">
        <v>417</v>
      </c>
      <c r="U252" s="132" t="s">
        <v>418</v>
      </c>
      <c r="V252" s="132" t="s">
        <v>419</v>
      </c>
      <c r="W252" s="132" t="s">
        <v>420</v>
      </c>
      <c r="X252" s="132" t="s">
        <v>421</v>
      </c>
    </row>
    <row r="253" spans="1:24">
      <c r="A253" s="122" t="s">
        <v>183</v>
      </c>
      <c r="B253" s="69"/>
      <c r="C253" s="110"/>
      <c r="D253" s="122" t="s">
        <v>204</v>
      </c>
      <c r="E253" s="132" t="s">
        <v>205</v>
      </c>
      <c r="F253" s="138"/>
      <c r="G253" s="138"/>
      <c r="H253" s="138"/>
      <c r="I253" s="138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</row>
    <row r="254" spans="1:24">
      <c r="A254" s="83"/>
      <c r="B254" s="68"/>
      <c r="C254" s="151"/>
      <c r="D254" s="83"/>
      <c r="E254" s="88"/>
      <c r="F254" s="88"/>
      <c r="G254" s="88"/>
      <c r="H254" s="88"/>
      <c r="I254" s="88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</row>
    <row r="255" spans="1:24">
      <c r="A255" s="122">
        <v>1</v>
      </c>
      <c r="B255" s="125" t="s">
        <v>430</v>
      </c>
      <c r="C255" s="133"/>
      <c r="D255" s="414">
        <f>+Depreciation!G10</f>
        <v>2839.7274117396855</v>
      </c>
      <c r="E255" s="413">
        <f>+D255*0.1</f>
        <v>283.97274117396859</v>
      </c>
      <c r="F255" s="413">
        <f>+E255*0.9</f>
        <v>255.57546705657174</v>
      </c>
      <c r="G255" s="413">
        <f t="shared" ref="G255:X255" si="236">+F255*0.9</f>
        <v>230.01792035091458</v>
      </c>
      <c r="H255" s="413">
        <f t="shared" si="236"/>
        <v>207.01612831582312</v>
      </c>
      <c r="I255" s="413">
        <f t="shared" si="236"/>
        <v>186.31451548424081</v>
      </c>
      <c r="J255" s="413">
        <f t="shared" si="236"/>
        <v>167.68306393581673</v>
      </c>
      <c r="K255" s="413">
        <f t="shared" si="236"/>
        <v>150.91475754223507</v>
      </c>
      <c r="L255" s="413">
        <f t="shared" si="236"/>
        <v>135.82328178801157</v>
      </c>
      <c r="M255" s="413">
        <f t="shared" si="236"/>
        <v>122.24095360921042</v>
      </c>
      <c r="N255" s="413">
        <f t="shared" si="236"/>
        <v>110.01685824828938</v>
      </c>
      <c r="O255" s="413">
        <f t="shared" si="236"/>
        <v>99.015172423460442</v>
      </c>
      <c r="P255" s="413">
        <f t="shared" si="236"/>
        <v>89.113655181114396</v>
      </c>
      <c r="Q255" s="413">
        <f t="shared" si="236"/>
        <v>80.202289663002958</v>
      </c>
      <c r="R255" s="413">
        <f t="shared" si="236"/>
        <v>72.182060696702663</v>
      </c>
      <c r="S255" s="413">
        <f t="shared" si="236"/>
        <v>64.963854627032404</v>
      </c>
      <c r="T255" s="413">
        <f t="shared" si="236"/>
        <v>58.467469164329167</v>
      </c>
      <c r="U255" s="413">
        <f t="shared" si="236"/>
        <v>52.620722247896254</v>
      </c>
      <c r="V255" s="413">
        <f t="shared" si="236"/>
        <v>47.358650023106627</v>
      </c>
      <c r="W255" s="413">
        <f t="shared" si="236"/>
        <v>42.622785020795966</v>
      </c>
      <c r="X255" s="413">
        <f t="shared" si="236"/>
        <v>38.36050651871637</v>
      </c>
    </row>
    <row r="256" spans="1:24">
      <c r="A256" s="122">
        <v>2</v>
      </c>
      <c r="B256" s="125" t="s">
        <v>429</v>
      </c>
      <c r="C256" s="104"/>
      <c r="D256" s="414">
        <f>+Depreciation!G11</f>
        <v>43522.766650760313</v>
      </c>
      <c r="E256" s="413">
        <f>+D256*0.35</f>
        <v>15232.968327766108</v>
      </c>
      <c r="F256" s="413">
        <f>(D256-E256)*0.15</f>
        <v>4243.4697484491307</v>
      </c>
      <c r="G256" s="413">
        <f>+F256*0.85</f>
        <v>3606.9492861817612</v>
      </c>
      <c r="H256" s="413">
        <f t="shared" ref="H256:X256" si="237">+G256*0.85</f>
        <v>3065.9068932544969</v>
      </c>
      <c r="I256" s="413">
        <f t="shared" si="237"/>
        <v>2606.0208592663225</v>
      </c>
      <c r="J256" s="413">
        <f t="shared" si="237"/>
        <v>2215.1177303763743</v>
      </c>
      <c r="K256" s="413">
        <f t="shared" si="237"/>
        <v>1882.8500708199181</v>
      </c>
      <c r="L256" s="413">
        <f t="shared" si="237"/>
        <v>1600.4225601969304</v>
      </c>
      <c r="M256" s="413">
        <f t="shared" si="237"/>
        <v>1360.3591761673908</v>
      </c>
      <c r="N256" s="413">
        <f t="shared" si="237"/>
        <v>1156.3052997422822</v>
      </c>
      <c r="O256" s="413">
        <f t="shared" si="237"/>
        <v>982.8595047809398</v>
      </c>
      <c r="P256" s="413">
        <f t="shared" si="237"/>
        <v>835.43057906379886</v>
      </c>
      <c r="Q256" s="413">
        <f t="shared" si="237"/>
        <v>710.11599220422897</v>
      </c>
      <c r="R256" s="413">
        <f t="shared" si="237"/>
        <v>603.59859337359467</v>
      </c>
      <c r="S256" s="413">
        <f t="shared" si="237"/>
        <v>513.05880436755547</v>
      </c>
      <c r="T256" s="413">
        <f t="shared" si="237"/>
        <v>436.09998371242216</v>
      </c>
      <c r="U256" s="413">
        <f t="shared" si="237"/>
        <v>370.68498615555882</v>
      </c>
      <c r="V256" s="413">
        <f t="shared" si="237"/>
        <v>315.082238232225</v>
      </c>
      <c r="W256" s="413">
        <f t="shared" si="237"/>
        <v>267.81990249739124</v>
      </c>
      <c r="X256" s="413">
        <f t="shared" si="237"/>
        <v>227.64691712278255</v>
      </c>
    </row>
    <row r="257" spans="1:24">
      <c r="A257" s="122"/>
      <c r="B257" s="125"/>
      <c r="C257" s="104"/>
      <c r="D257" s="78"/>
      <c r="E257" s="132"/>
      <c r="F257" s="132"/>
      <c r="G257" s="132"/>
      <c r="H257" s="132"/>
      <c r="I257" s="132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</row>
    <row r="258" spans="1:24">
      <c r="A258" s="122"/>
      <c r="B258" s="110"/>
      <c r="C258" s="133"/>
      <c r="D258" s="78"/>
      <c r="E258" s="132"/>
      <c r="F258" s="132"/>
      <c r="G258" s="132"/>
      <c r="H258" s="132"/>
      <c r="I258" s="132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</row>
    <row r="259" spans="1:24">
      <c r="A259" s="149"/>
      <c r="B259" s="150" t="s">
        <v>206</v>
      </c>
      <c r="C259" s="133"/>
      <c r="D259" s="149"/>
      <c r="E259" s="415">
        <f>SUM(E255:E258)</f>
        <v>15516.941068940076</v>
      </c>
      <c r="F259" s="415">
        <f t="shared" ref="F259:S259" si="238">SUM(F255:F258)</f>
        <v>4499.0452155057028</v>
      </c>
      <c r="G259" s="415">
        <f t="shared" si="238"/>
        <v>3836.9672065326758</v>
      </c>
      <c r="H259" s="415">
        <f t="shared" si="238"/>
        <v>3272.9230215703201</v>
      </c>
      <c r="I259" s="415">
        <f t="shared" si="238"/>
        <v>2792.3353747505635</v>
      </c>
      <c r="J259" s="415">
        <f t="shared" si="238"/>
        <v>2382.8007943121911</v>
      </c>
      <c r="K259" s="415">
        <f t="shared" si="238"/>
        <v>2033.7648283621531</v>
      </c>
      <c r="L259" s="415">
        <f t="shared" si="238"/>
        <v>1736.245841984942</v>
      </c>
      <c r="M259" s="415">
        <f t="shared" si="238"/>
        <v>1482.6001297766013</v>
      </c>
      <c r="N259" s="415">
        <f t="shared" si="238"/>
        <v>1266.3221579905714</v>
      </c>
      <c r="O259" s="415">
        <f t="shared" si="238"/>
        <v>1081.8746772044003</v>
      </c>
      <c r="P259" s="415">
        <f t="shared" si="238"/>
        <v>924.54423424491324</v>
      </c>
      <c r="Q259" s="415">
        <f t="shared" si="238"/>
        <v>790.31828186723192</v>
      </c>
      <c r="R259" s="415">
        <f t="shared" si="238"/>
        <v>675.78065407029737</v>
      </c>
      <c r="S259" s="415">
        <f t="shared" si="238"/>
        <v>578.02265899458791</v>
      </c>
      <c r="T259" s="415">
        <f t="shared" ref="T259:X259" si="239">SUM(T255:T258)</f>
        <v>494.5674528767513</v>
      </c>
      <c r="U259" s="415">
        <f t="shared" si="239"/>
        <v>423.30570840345507</v>
      </c>
      <c r="V259" s="415">
        <f t="shared" si="239"/>
        <v>362.44088825533163</v>
      </c>
      <c r="W259" s="415">
        <f t="shared" si="239"/>
        <v>310.4426875181872</v>
      </c>
      <c r="X259" s="415">
        <f t="shared" si="239"/>
        <v>266.00742364149892</v>
      </c>
    </row>
  </sheetData>
  <mergeCells count="6">
    <mergeCell ref="A109:V109"/>
    <mergeCell ref="A250:S250"/>
    <mergeCell ref="A226:Q226"/>
    <mergeCell ref="A225:Q225"/>
    <mergeCell ref="A173:S173"/>
    <mergeCell ref="C174:D174"/>
  </mergeCells>
  <printOptions gridLines="1"/>
  <pageMargins left="0.31496062992126" right="0.31496062992126" top="0.74803149606299202" bottom="0.74803149606299202" header="0.31496062992126" footer="0.31496062992126"/>
  <pageSetup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73"/>
  <sheetViews>
    <sheetView topLeftCell="G1" zoomScale="85" zoomScaleNormal="85" workbookViewId="0">
      <selection activeCell="I15" sqref="I15"/>
    </sheetView>
  </sheetViews>
  <sheetFormatPr defaultRowHeight="15"/>
  <cols>
    <col min="1" max="1" width="0" hidden="1" customWidth="1"/>
    <col min="2" max="2" width="42.140625" hidden="1" customWidth="1"/>
    <col min="3" max="3" width="15.140625" hidden="1" customWidth="1"/>
    <col min="4" max="4" width="13.28515625" hidden="1" customWidth="1"/>
    <col min="5" max="6" width="0" hidden="1" customWidth="1"/>
    <col min="8" max="8" width="35" customWidth="1"/>
    <col min="9" max="9" width="30.42578125" customWidth="1"/>
    <col min="10" max="10" width="17.42578125" bestFit="1" customWidth="1"/>
    <col min="11" max="11" width="9.140625" customWidth="1"/>
    <col min="12" max="12" width="56.7109375" customWidth="1"/>
    <col min="13" max="13" width="22.7109375" customWidth="1"/>
    <col min="14" max="14" width="13.7109375" customWidth="1"/>
    <col min="15" max="15" width="10.28515625" customWidth="1"/>
  </cols>
  <sheetData>
    <row r="2" spans="1:15">
      <c r="A2" s="10"/>
      <c r="B2" t="s">
        <v>37</v>
      </c>
    </row>
    <row r="3" spans="1:15">
      <c r="A3" s="10" t="s">
        <v>28</v>
      </c>
      <c r="B3" t="s">
        <v>27</v>
      </c>
      <c r="D3" s="9">
        <v>25000</v>
      </c>
    </row>
    <row r="4" spans="1:15">
      <c r="A4" s="10"/>
      <c r="H4" s="13" t="s">
        <v>369</v>
      </c>
    </row>
    <row r="5" spans="1:15">
      <c r="A5" s="10"/>
      <c r="B5" s="16" t="s">
        <v>29</v>
      </c>
      <c r="C5" s="7" t="s">
        <v>30</v>
      </c>
      <c r="D5" s="7" t="s">
        <v>48</v>
      </c>
      <c r="H5" s="274" t="s">
        <v>307</v>
      </c>
      <c r="I5" s="274" t="s">
        <v>308</v>
      </c>
      <c r="L5" s="375" t="s">
        <v>330</v>
      </c>
      <c r="M5" s="375" t="s">
        <v>331</v>
      </c>
      <c r="N5" s="375" t="s">
        <v>332</v>
      </c>
      <c r="O5" s="376" t="s">
        <v>333</v>
      </c>
    </row>
    <row r="6" spans="1:15">
      <c r="A6" s="10"/>
      <c r="B6" s="5" t="s">
        <v>31</v>
      </c>
      <c r="C6" s="11">
        <v>0.15</v>
      </c>
      <c r="D6" s="7">
        <f t="shared" ref="D6:D12" si="0">C6*$D$3</f>
        <v>3750</v>
      </c>
      <c r="H6" s="65" t="s">
        <v>37</v>
      </c>
      <c r="I6" s="63">
        <v>0</v>
      </c>
      <c r="L6" s="377"/>
      <c r="M6" s="377" t="s">
        <v>334</v>
      </c>
      <c r="N6" s="377"/>
      <c r="O6" s="378" t="s">
        <v>308</v>
      </c>
    </row>
    <row r="7" spans="1:15">
      <c r="A7" s="10"/>
      <c r="B7" s="5" t="s">
        <v>32</v>
      </c>
      <c r="C7" s="11">
        <v>0.12</v>
      </c>
      <c r="D7" s="63">
        <f t="shared" si="0"/>
        <v>3000</v>
      </c>
      <c r="H7" s="65" t="s">
        <v>309</v>
      </c>
      <c r="I7" s="8">
        <f>+O10</f>
        <v>2250</v>
      </c>
      <c r="L7" s="377" t="s">
        <v>335</v>
      </c>
      <c r="M7" s="379">
        <v>6000</v>
      </c>
      <c r="N7" s="379">
        <v>25000</v>
      </c>
      <c r="O7" s="380">
        <f>M7*N7/100000</f>
        <v>1500</v>
      </c>
    </row>
    <row r="8" spans="1:15">
      <c r="A8" s="10"/>
      <c r="B8" s="5" t="s">
        <v>33</v>
      </c>
      <c r="C8" s="11">
        <v>0.2</v>
      </c>
      <c r="D8" s="63">
        <f t="shared" si="0"/>
        <v>5000</v>
      </c>
      <c r="H8" s="65" t="s">
        <v>310</v>
      </c>
      <c r="I8" s="8">
        <f>+M33</f>
        <v>32484.375</v>
      </c>
      <c r="L8" s="377" t="s">
        <v>336</v>
      </c>
      <c r="M8" s="379">
        <v>1000</v>
      </c>
      <c r="N8" s="379">
        <v>25000</v>
      </c>
      <c r="O8" s="380">
        <f>M8*N8/100000</f>
        <v>250</v>
      </c>
    </row>
    <row r="9" spans="1:15" ht="38.25">
      <c r="A9" s="10"/>
      <c r="B9" s="5" t="s">
        <v>34</v>
      </c>
      <c r="C9" s="11">
        <v>0.1</v>
      </c>
      <c r="D9" s="63">
        <f t="shared" si="0"/>
        <v>2500</v>
      </c>
      <c r="H9" s="65" t="s">
        <v>311</v>
      </c>
      <c r="I9" s="8">
        <f>+M44</f>
        <v>2000</v>
      </c>
      <c r="L9" s="381" t="s">
        <v>337</v>
      </c>
      <c r="M9" s="379" t="s">
        <v>338</v>
      </c>
      <c r="N9" s="379"/>
      <c r="O9" s="380">
        <v>500</v>
      </c>
    </row>
    <row r="10" spans="1:15">
      <c r="A10" s="10"/>
      <c r="B10" s="5" t="s">
        <v>35</v>
      </c>
      <c r="C10" s="11">
        <v>0.1</v>
      </c>
      <c r="D10" s="63">
        <f t="shared" si="0"/>
        <v>2500</v>
      </c>
      <c r="H10" s="65" t="s">
        <v>312</v>
      </c>
      <c r="I10" s="8">
        <v>2200</v>
      </c>
      <c r="L10" s="375" t="s">
        <v>54</v>
      </c>
      <c r="M10" s="375"/>
      <c r="N10" s="382"/>
      <c r="O10" s="383">
        <f>SUM(O7:O9)</f>
        <v>2250</v>
      </c>
    </row>
    <row r="11" spans="1:15">
      <c r="A11" s="10"/>
      <c r="B11" s="5" t="s">
        <v>36</v>
      </c>
      <c r="C11" s="11">
        <v>0.2</v>
      </c>
      <c r="D11" s="63">
        <f t="shared" si="0"/>
        <v>5000</v>
      </c>
      <c r="H11" s="65" t="s">
        <v>313</v>
      </c>
      <c r="I11" s="262">
        <f>M55</f>
        <v>200</v>
      </c>
      <c r="L11" s="382"/>
      <c r="M11" s="382"/>
      <c r="N11" s="382"/>
      <c r="O11" s="382"/>
    </row>
    <row r="12" spans="1:15">
      <c r="A12" s="10"/>
      <c r="B12" s="62" t="s">
        <v>273</v>
      </c>
      <c r="C12" s="11">
        <v>5.0000000000000001E-3</v>
      </c>
      <c r="D12" s="63">
        <f t="shared" si="0"/>
        <v>125</v>
      </c>
      <c r="H12" s="65" t="s">
        <v>314</v>
      </c>
      <c r="I12" s="8">
        <f>+M22</f>
        <v>3913.4375</v>
      </c>
      <c r="L12" s="382"/>
      <c r="M12" s="382"/>
      <c r="N12" s="382"/>
      <c r="O12" s="382"/>
    </row>
    <row r="13" spans="1:15">
      <c r="A13" s="10"/>
      <c r="B13" s="17" t="s">
        <v>38</v>
      </c>
      <c r="C13" s="17"/>
      <c r="D13" s="17">
        <f>SUM(D6:D12)+D2</f>
        <v>21875</v>
      </c>
      <c r="H13" s="65" t="s">
        <v>315</v>
      </c>
      <c r="I13" s="8">
        <f>+I17*J13</f>
        <v>855.54274241835606</v>
      </c>
      <c r="J13" s="411">
        <f>+'bal sheet'!E55</f>
        <v>3422.1709696734242</v>
      </c>
      <c r="L13" s="384" t="s">
        <v>314</v>
      </c>
      <c r="M13" s="382"/>
      <c r="N13" s="382"/>
      <c r="O13" s="382"/>
    </row>
    <row r="14" spans="1:15">
      <c r="A14" s="10"/>
      <c r="B14" s="10"/>
      <c r="C14" s="10"/>
      <c r="H14" s="295" t="s">
        <v>316</v>
      </c>
      <c r="I14" s="275">
        <f>+SUM(I7:I13)</f>
        <v>43903.355242418358</v>
      </c>
      <c r="L14" s="384" t="s">
        <v>339</v>
      </c>
      <c r="M14" s="385" t="s">
        <v>340</v>
      </c>
      <c r="N14" s="382"/>
      <c r="O14" s="382"/>
    </row>
    <row r="15" spans="1:15">
      <c r="A15" s="10" t="s">
        <v>42</v>
      </c>
      <c r="B15" s="13" t="s">
        <v>26</v>
      </c>
      <c r="C15" s="10"/>
      <c r="H15" s="257" t="s">
        <v>317</v>
      </c>
      <c r="I15" s="8">
        <f>+'Nitric Acid'!D222</f>
        <v>3314.6815624999995</v>
      </c>
      <c r="L15" s="382" t="s">
        <v>341</v>
      </c>
      <c r="M15" s="386">
        <f>+I7</f>
        <v>2250</v>
      </c>
      <c r="N15" s="382"/>
      <c r="O15" s="382"/>
    </row>
    <row r="16" spans="1:15">
      <c r="A16" s="10"/>
      <c r="H16" s="269"/>
      <c r="L16" s="377" t="s">
        <v>342</v>
      </c>
      <c r="M16" s="386">
        <f>+I8</f>
        <v>32484.375</v>
      </c>
      <c r="N16" s="382"/>
      <c r="O16" s="382"/>
    </row>
    <row r="17" spans="1:23">
      <c r="A17" s="10"/>
      <c r="B17" s="5" t="s">
        <v>39</v>
      </c>
      <c r="C17" s="11">
        <v>0.05</v>
      </c>
      <c r="D17" s="63">
        <f>C17*$D$3</f>
        <v>1250</v>
      </c>
      <c r="H17" s="65" t="s">
        <v>47</v>
      </c>
      <c r="I17" s="11">
        <v>0.25</v>
      </c>
      <c r="L17" s="387" t="str">
        <f>+H9</f>
        <v>Miscellaneous fixed assets</v>
      </c>
      <c r="M17" s="386">
        <f>+I9</f>
        <v>2000</v>
      </c>
      <c r="N17" s="382"/>
      <c r="O17" s="382"/>
    </row>
    <row r="18" spans="1:23">
      <c r="A18" s="10"/>
      <c r="B18" s="5" t="s">
        <v>40</v>
      </c>
      <c r="C18" s="11">
        <v>0.1</v>
      </c>
      <c r="D18" s="63">
        <f>C18*$D$3</f>
        <v>2500</v>
      </c>
      <c r="L18" s="387" t="str">
        <f>+H10</f>
        <v>Design and detailed engineering</v>
      </c>
      <c r="M18" s="386">
        <f>+I10</f>
        <v>2200</v>
      </c>
      <c r="N18" s="382"/>
      <c r="O18" s="382"/>
    </row>
    <row r="19" spans="1:23">
      <c r="A19" s="10"/>
      <c r="D19" s="10">
        <f>SUM(D17:D18)</f>
        <v>3750</v>
      </c>
      <c r="H19" s="412"/>
      <c r="I19" s="410">
        <f>I14+I15</f>
        <v>47218.03680491836</v>
      </c>
      <c r="J19" s="408"/>
      <c r="L19" s="377" t="s">
        <v>343</v>
      </c>
      <c r="M19" s="386">
        <f>+I11</f>
        <v>200</v>
      </c>
      <c r="N19" s="382"/>
      <c r="O19" s="382"/>
    </row>
    <row r="20" spans="1:23">
      <c r="A20" s="10"/>
      <c r="H20" s="412"/>
      <c r="I20" s="410">
        <f>I19*70%</f>
        <v>33052.625763442848</v>
      </c>
      <c r="J20" s="408"/>
      <c r="L20" s="377" t="s">
        <v>54</v>
      </c>
      <c r="M20" s="386">
        <f>SUM(M15:M19)</f>
        <v>39134.375</v>
      </c>
      <c r="N20" s="382"/>
      <c r="O20" s="382"/>
    </row>
    <row r="21" spans="1:23">
      <c r="A21" s="12" t="s">
        <v>43</v>
      </c>
      <c r="B21" s="15" t="s">
        <v>44</v>
      </c>
      <c r="C21" s="14"/>
      <c r="D21" s="137">
        <f>D13+D19</f>
        <v>25625</v>
      </c>
      <c r="H21" s="412"/>
      <c r="I21" s="410">
        <f>I19*30%</f>
        <v>14165.411041475507</v>
      </c>
      <c r="J21" s="408"/>
      <c r="L21" s="382"/>
      <c r="M21" s="382"/>
      <c r="N21" s="382"/>
      <c r="O21" s="382"/>
    </row>
    <row r="22" spans="1:23">
      <c r="I22" s="408"/>
      <c r="J22" s="408"/>
      <c r="L22" s="382" t="s">
        <v>416</v>
      </c>
      <c r="M22" s="388">
        <f>M20*0.1</f>
        <v>3913.4375</v>
      </c>
      <c r="N22" s="382"/>
      <c r="O22" s="382"/>
    </row>
    <row r="23" spans="1:23">
      <c r="B23" s="5" t="s">
        <v>45</v>
      </c>
      <c r="C23" s="11">
        <v>0.05</v>
      </c>
      <c r="D23" s="7">
        <f>C23*D21</f>
        <v>1281.25</v>
      </c>
      <c r="H23" s="412"/>
      <c r="I23" s="410">
        <f>+I7+I8+I9+I10+I11+I12</f>
        <v>43047.8125</v>
      </c>
      <c r="J23" s="410">
        <f>+I14-I13+I15-'Nitric Acid'!D35</f>
        <v>13309.868299057154</v>
      </c>
      <c r="K23" s="282"/>
      <c r="L23" s="382"/>
      <c r="M23" s="382"/>
      <c r="N23" s="382"/>
      <c r="O23" s="382"/>
      <c r="P23" s="284"/>
      <c r="Q23" s="285"/>
      <c r="R23" s="286"/>
      <c r="S23" s="286"/>
      <c r="T23" s="286"/>
      <c r="U23" s="286"/>
      <c r="V23" s="287"/>
      <c r="W23" s="287"/>
    </row>
    <row r="24" spans="1:23">
      <c r="B24" s="5" t="s">
        <v>46</v>
      </c>
      <c r="C24" s="11">
        <v>0.1</v>
      </c>
      <c r="D24" s="7">
        <f>C24*D21</f>
        <v>2562.5</v>
      </c>
      <c r="H24" s="412"/>
      <c r="I24" s="410">
        <f>+I13</f>
        <v>855.54274241835606</v>
      </c>
      <c r="J24" s="410"/>
      <c r="K24" s="282"/>
      <c r="L24" s="382"/>
      <c r="M24" s="382"/>
      <c r="N24" s="382"/>
      <c r="O24" s="382"/>
      <c r="P24" s="284"/>
      <c r="Q24" s="285"/>
      <c r="R24" s="288"/>
      <c r="S24" s="288"/>
      <c r="T24" s="288"/>
      <c r="U24" s="288"/>
      <c r="V24" s="288"/>
      <c r="W24" s="289"/>
    </row>
    <row r="25" spans="1:23">
      <c r="H25" s="412"/>
      <c r="I25" s="410">
        <f>+I15</f>
        <v>3314.6815624999995</v>
      </c>
      <c r="J25" s="410"/>
      <c r="K25" s="282"/>
      <c r="L25" s="382"/>
      <c r="M25" s="382"/>
      <c r="N25" s="382"/>
      <c r="O25" s="382"/>
      <c r="P25" s="290"/>
      <c r="Q25" s="285"/>
      <c r="R25" s="285"/>
      <c r="S25" s="285"/>
      <c r="T25" s="285"/>
      <c r="U25" s="285"/>
      <c r="V25" s="282"/>
      <c r="W25" s="282"/>
    </row>
    <row r="26" spans="1:23">
      <c r="B26" s="18" t="s">
        <v>178</v>
      </c>
      <c r="C26" s="18"/>
      <c r="D26" s="251">
        <f>+D21+D23+D24+D3+D27+D29</f>
        <v>57783.431562500002</v>
      </c>
      <c r="F26" s="54">
        <f>D26-D27</f>
        <v>54468.75</v>
      </c>
      <c r="H26" s="412"/>
      <c r="I26" s="410">
        <f>+I23+I25</f>
        <v>46362.494062500002</v>
      </c>
      <c r="J26" s="410">
        <f>+I26-'Nitric Acid'!D35</f>
        <v>13309.868299057154</v>
      </c>
      <c r="K26" s="282"/>
      <c r="L26" s="384" t="s">
        <v>344</v>
      </c>
      <c r="M26" s="385" t="s">
        <v>345</v>
      </c>
      <c r="N26" s="382"/>
      <c r="O26" s="382"/>
      <c r="P26" s="290"/>
      <c r="Q26" s="285"/>
      <c r="R26" s="285"/>
      <c r="S26" s="285"/>
      <c r="T26" s="285"/>
      <c r="U26" s="285"/>
      <c r="V26" s="282"/>
      <c r="W26" s="282"/>
    </row>
    <row r="27" spans="1:23" ht="20.25" customHeight="1">
      <c r="B27" s="67" t="s">
        <v>227</v>
      </c>
      <c r="D27" s="9">
        <f>'Nitric Acid'!D222</f>
        <v>3314.6815624999995</v>
      </c>
      <c r="I27" s="408"/>
      <c r="J27" s="408"/>
      <c r="K27" s="282"/>
      <c r="L27" s="382" t="s">
        <v>346</v>
      </c>
      <c r="M27" s="389">
        <v>27500</v>
      </c>
      <c r="N27" s="386"/>
      <c r="O27" s="382"/>
      <c r="P27" s="290"/>
      <c r="Q27" s="285"/>
      <c r="R27" s="288"/>
      <c r="S27" s="288"/>
      <c r="T27" s="288"/>
      <c r="U27" s="288"/>
      <c r="V27" s="288"/>
      <c r="W27" s="291"/>
    </row>
    <row r="28" spans="1:23" s="67" customFormat="1">
      <c r="B28" s="26" t="s">
        <v>263</v>
      </c>
      <c r="D28" s="9"/>
      <c r="K28" s="282"/>
      <c r="L28" s="382" t="s">
        <v>347</v>
      </c>
      <c r="M28" s="389">
        <f>M27*0.05</f>
        <v>1375</v>
      </c>
      <c r="N28" s="386"/>
      <c r="O28" s="382"/>
      <c r="P28" s="284"/>
      <c r="Q28" s="292"/>
      <c r="R28" s="282"/>
      <c r="S28" s="282"/>
      <c r="T28" s="282"/>
      <c r="U28" s="282"/>
      <c r="V28" s="282"/>
      <c r="W28" s="282"/>
    </row>
    <row r="29" spans="1:23" s="67" customFormat="1">
      <c r="B29" s="81" t="s">
        <v>264</v>
      </c>
      <c r="D29" s="9">
        <v>0</v>
      </c>
      <c r="F29" s="67">
        <v>8000</v>
      </c>
      <c r="K29" s="282"/>
      <c r="L29" s="382" t="s">
        <v>348</v>
      </c>
      <c r="M29" s="389">
        <f>(M27+M28)*0.01</f>
        <v>288.75</v>
      </c>
      <c r="N29" s="386"/>
      <c r="O29" s="382"/>
      <c r="P29" s="284"/>
      <c r="Q29" s="282"/>
      <c r="R29" s="282"/>
      <c r="S29" s="282"/>
      <c r="T29" s="282"/>
      <c r="U29" s="282"/>
      <c r="V29" s="282"/>
      <c r="W29" s="282"/>
    </row>
    <row r="30" spans="1:23">
      <c r="D30" s="9"/>
      <c r="K30" s="282"/>
      <c r="L30" s="382" t="s">
        <v>349</v>
      </c>
      <c r="M30" s="389">
        <f>(M27+M28)*0.02</f>
        <v>577.5</v>
      </c>
      <c r="N30" s="386"/>
      <c r="O30" s="382"/>
      <c r="P30" s="284"/>
      <c r="Q30" s="282"/>
      <c r="R30" s="282"/>
      <c r="S30" s="282"/>
      <c r="T30" s="282"/>
      <c r="U30" s="282"/>
      <c r="V30" s="282"/>
      <c r="W30" s="282"/>
    </row>
    <row r="31" spans="1:23">
      <c r="K31" s="282"/>
      <c r="L31" s="382" t="s">
        <v>350</v>
      </c>
      <c r="M31" s="389">
        <f>(M27+M28)*0.075</f>
        <v>2165.625</v>
      </c>
      <c r="N31" s="386"/>
      <c r="O31" s="382"/>
      <c r="P31" s="284"/>
      <c r="Q31" s="282"/>
      <c r="R31" s="282"/>
      <c r="S31" s="282"/>
      <c r="T31" s="282"/>
      <c r="U31" s="282"/>
      <c r="V31" s="282"/>
      <c r="W31" s="282"/>
    </row>
    <row r="32" spans="1:23">
      <c r="K32" s="282"/>
      <c r="L32" s="382" t="s">
        <v>351</v>
      </c>
      <c r="M32" s="389">
        <f>(M27+M28)*2%</f>
        <v>577.5</v>
      </c>
      <c r="N32" s="386"/>
      <c r="O32" s="382"/>
      <c r="P32" s="284"/>
      <c r="Q32" s="282"/>
      <c r="R32" s="282"/>
      <c r="S32" s="282"/>
      <c r="T32" s="282"/>
      <c r="U32" s="282"/>
      <c r="V32" s="282"/>
      <c r="W32" s="282"/>
    </row>
    <row r="33" spans="11:23">
      <c r="K33" s="282"/>
      <c r="L33" s="384" t="s">
        <v>54</v>
      </c>
      <c r="M33" s="423">
        <f>SUM(M27:M32)</f>
        <v>32484.375</v>
      </c>
      <c r="N33" s="386"/>
      <c r="O33" s="382"/>
      <c r="P33" s="284"/>
      <c r="Q33" s="282"/>
      <c r="R33" s="282"/>
      <c r="S33" s="282"/>
      <c r="T33" s="282"/>
      <c r="U33" s="282"/>
      <c r="V33" s="282"/>
      <c r="W33" s="282"/>
    </row>
    <row r="34" spans="11:23">
      <c r="K34" s="282"/>
      <c r="L34" s="382"/>
      <c r="M34" s="390"/>
      <c r="N34" s="386"/>
      <c r="O34" s="382"/>
      <c r="P34" s="284"/>
      <c r="Q34" s="282"/>
      <c r="R34" s="282"/>
      <c r="S34" s="282"/>
      <c r="T34" s="282"/>
      <c r="U34" s="282"/>
      <c r="V34" s="282"/>
      <c r="W34" s="282"/>
    </row>
    <row r="35" spans="11:23">
      <c r="K35" s="282"/>
      <c r="L35" s="384" t="s">
        <v>311</v>
      </c>
      <c r="M35" s="390"/>
      <c r="N35" s="386"/>
      <c r="O35" s="382"/>
      <c r="P35" s="284"/>
      <c r="Q35" s="282"/>
      <c r="R35" s="282"/>
      <c r="S35" s="282"/>
      <c r="T35" s="282"/>
      <c r="U35" s="282"/>
      <c r="V35" s="282"/>
      <c r="W35" s="282"/>
    </row>
    <row r="36" spans="11:23">
      <c r="K36" s="282"/>
      <c r="L36" s="382"/>
      <c r="M36" s="390"/>
      <c r="N36" s="386"/>
      <c r="O36" s="382"/>
      <c r="P36" s="284"/>
      <c r="Q36" s="282"/>
      <c r="R36" s="282"/>
      <c r="S36" s="282"/>
      <c r="T36" s="282"/>
      <c r="U36" s="282"/>
      <c r="V36" s="282"/>
      <c r="W36" s="282"/>
    </row>
    <row r="37" spans="11:23">
      <c r="K37" s="282"/>
      <c r="L37" s="382" t="s">
        <v>352</v>
      </c>
      <c r="M37" s="390"/>
      <c r="N37" s="386"/>
      <c r="O37" s="391"/>
      <c r="P37" s="284"/>
      <c r="Q37" s="282"/>
      <c r="R37" s="282"/>
      <c r="S37" s="282"/>
      <c r="T37" s="282"/>
      <c r="U37" s="282"/>
      <c r="V37" s="282"/>
      <c r="W37" s="282"/>
    </row>
    <row r="38" spans="11:23">
      <c r="K38" s="282"/>
      <c r="L38" s="382" t="s">
        <v>353</v>
      </c>
      <c r="M38" s="390"/>
      <c r="N38" s="386"/>
      <c r="O38" s="391"/>
      <c r="P38" s="284"/>
      <c r="Q38" s="282"/>
      <c r="R38" s="282"/>
      <c r="S38" s="282"/>
      <c r="T38" s="282"/>
      <c r="U38" s="282"/>
      <c r="V38" s="282"/>
      <c r="W38" s="282"/>
    </row>
    <row r="39" spans="11:23">
      <c r="K39" s="282"/>
      <c r="L39" s="382" t="s">
        <v>354</v>
      </c>
      <c r="M39" s="390"/>
      <c r="N39" s="386"/>
      <c r="O39" s="391"/>
      <c r="P39" s="284"/>
      <c r="Q39" s="282"/>
      <c r="R39" s="282"/>
      <c r="S39" s="282"/>
      <c r="T39" s="282"/>
      <c r="U39" s="282"/>
      <c r="V39" s="282"/>
      <c r="W39" s="282"/>
    </row>
    <row r="40" spans="11:23">
      <c r="K40" s="282"/>
      <c r="L40" s="382" t="s">
        <v>355</v>
      </c>
      <c r="M40" s="390"/>
      <c r="N40" s="386"/>
      <c r="O40" s="391"/>
      <c r="P40" s="284"/>
      <c r="Q40" s="282"/>
      <c r="R40" s="282"/>
      <c r="S40" s="282"/>
      <c r="T40" s="282"/>
      <c r="U40" s="282"/>
      <c r="V40" s="282"/>
      <c r="W40" s="282"/>
    </row>
    <row r="41" spans="11:23">
      <c r="K41" s="282"/>
      <c r="L41" s="382" t="s">
        <v>356</v>
      </c>
      <c r="M41" s="390"/>
      <c r="N41" s="386"/>
      <c r="O41" s="391"/>
      <c r="P41" s="284"/>
      <c r="Q41" s="282"/>
      <c r="R41" s="282"/>
      <c r="S41" s="282"/>
      <c r="T41" s="282"/>
      <c r="U41" s="282"/>
      <c r="V41" s="282"/>
      <c r="W41" s="282"/>
    </row>
    <row r="42" spans="11:23">
      <c r="K42" s="282"/>
      <c r="L42" s="382" t="s">
        <v>357</v>
      </c>
      <c r="M42" s="390"/>
      <c r="N42" s="386"/>
      <c r="O42" s="391"/>
      <c r="P42" s="284"/>
      <c r="Q42" s="282"/>
      <c r="R42" s="282"/>
      <c r="S42" s="282"/>
      <c r="T42" s="282"/>
      <c r="U42" s="282"/>
      <c r="V42" s="282"/>
      <c r="W42" s="282"/>
    </row>
    <row r="43" spans="11:23">
      <c r="K43" s="282"/>
      <c r="L43" s="382" t="s">
        <v>358</v>
      </c>
      <c r="M43" s="390"/>
      <c r="N43" s="386"/>
      <c r="O43" s="391"/>
      <c r="P43" s="284"/>
      <c r="Q43" s="282"/>
      <c r="R43" s="282"/>
      <c r="S43" s="282"/>
      <c r="T43" s="282"/>
      <c r="U43" s="282"/>
      <c r="V43" s="282"/>
      <c r="W43" s="282"/>
    </row>
    <row r="44" spans="11:23">
      <c r="K44" s="282"/>
      <c r="L44" s="384" t="s">
        <v>54</v>
      </c>
      <c r="M44" s="392">
        <v>2000</v>
      </c>
      <c r="N44" s="386"/>
      <c r="O44" s="393"/>
      <c r="P44" s="284"/>
      <c r="Q44" s="282"/>
      <c r="R44" s="282"/>
      <c r="S44" s="282"/>
      <c r="T44" s="282"/>
      <c r="U44" s="282"/>
      <c r="V44" s="282"/>
      <c r="W44" s="282"/>
    </row>
    <row r="45" spans="11:23">
      <c r="K45" s="282"/>
      <c r="L45" s="382"/>
      <c r="M45" s="382"/>
      <c r="N45" s="382"/>
      <c r="O45" s="382"/>
      <c r="P45" s="284"/>
      <c r="Q45" s="282"/>
      <c r="R45" s="282"/>
      <c r="S45" s="282"/>
      <c r="T45" s="282"/>
      <c r="U45" s="282"/>
      <c r="V45" s="282"/>
      <c r="W45" s="282"/>
    </row>
    <row r="46" spans="11:23">
      <c r="K46" s="282"/>
      <c r="L46" s="382"/>
      <c r="M46" s="382"/>
      <c r="N46" s="382"/>
      <c r="O46" s="382"/>
      <c r="P46" s="284"/>
      <c r="Q46" s="282"/>
      <c r="R46" s="282"/>
      <c r="S46" s="282"/>
      <c r="T46" s="282"/>
      <c r="U46" s="282"/>
      <c r="V46" s="282"/>
      <c r="W46" s="282"/>
    </row>
    <row r="47" spans="11:23">
      <c r="K47" s="282"/>
      <c r="L47" s="384" t="s">
        <v>359</v>
      </c>
      <c r="M47" s="382"/>
      <c r="N47" s="382"/>
      <c r="O47" s="382"/>
      <c r="P47" s="284"/>
      <c r="Q47" s="282"/>
      <c r="R47" s="282"/>
      <c r="S47" s="282"/>
      <c r="T47" s="282"/>
      <c r="U47" s="282"/>
      <c r="V47" s="282"/>
      <c r="W47" s="282"/>
    </row>
    <row r="48" spans="11:23">
      <c r="K48" s="282"/>
      <c r="L48" s="382"/>
      <c r="M48" s="382"/>
      <c r="N48" s="382"/>
      <c r="O48" s="382"/>
      <c r="P48" s="284"/>
      <c r="Q48" s="282"/>
      <c r="R48" s="282"/>
      <c r="S48" s="282"/>
      <c r="T48" s="282"/>
      <c r="U48" s="282"/>
      <c r="V48" s="282"/>
      <c r="W48" s="282"/>
    </row>
    <row r="49" spans="11:23">
      <c r="K49" s="282"/>
      <c r="L49" s="385" t="s">
        <v>339</v>
      </c>
      <c r="M49" s="385" t="s">
        <v>360</v>
      </c>
      <c r="N49" s="382"/>
      <c r="O49" s="382"/>
      <c r="P49" s="284"/>
      <c r="Q49" s="282"/>
      <c r="R49" s="282"/>
      <c r="S49" s="282"/>
      <c r="T49" s="282"/>
      <c r="U49" s="282"/>
      <c r="V49" s="282"/>
      <c r="W49" s="282"/>
    </row>
    <row r="50" spans="11:23">
      <c r="K50" s="282"/>
      <c r="L50" s="382" t="s">
        <v>361</v>
      </c>
      <c r="M50" s="390"/>
      <c r="N50" s="394"/>
      <c r="O50" s="395"/>
      <c r="P50" s="284"/>
      <c r="Q50" s="282"/>
      <c r="R50" s="282"/>
      <c r="S50" s="282"/>
      <c r="T50" s="282"/>
      <c r="U50" s="282"/>
      <c r="V50" s="282"/>
      <c r="W50" s="282"/>
    </row>
    <row r="51" spans="11:23">
      <c r="K51" s="282"/>
      <c r="L51" s="382" t="s">
        <v>362</v>
      </c>
      <c r="M51" s="390"/>
      <c r="N51" s="394"/>
      <c r="O51" s="395"/>
      <c r="P51" s="284"/>
      <c r="Q51" s="282"/>
      <c r="R51" s="282"/>
      <c r="S51" s="282"/>
      <c r="T51" s="282"/>
      <c r="U51" s="282"/>
      <c r="V51" s="282"/>
      <c r="W51" s="282"/>
    </row>
    <row r="52" spans="11:23">
      <c r="K52" s="282"/>
      <c r="L52" s="382" t="s">
        <v>363</v>
      </c>
      <c r="M52" s="390"/>
      <c r="N52" s="394"/>
      <c r="O52" s="395"/>
      <c r="P52" s="284"/>
      <c r="Q52" s="282"/>
      <c r="R52" s="282"/>
      <c r="S52" s="282"/>
      <c r="T52" s="282"/>
      <c r="U52" s="282"/>
      <c r="V52" s="282"/>
      <c r="W52" s="282"/>
    </row>
    <row r="53" spans="11:23">
      <c r="K53" s="282"/>
      <c r="L53" s="382" t="s">
        <v>364</v>
      </c>
      <c r="M53" s="390"/>
      <c r="N53" s="394"/>
      <c r="O53" s="395"/>
      <c r="P53" s="284"/>
      <c r="Q53" s="282"/>
      <c r="R53" s="282"/>
      <c r="S53" s="282"/>
      <c r="T53" s="282"/>
      <c r="U53" s="282"/>
      <c r="V53" s="282"/>
      <c r="W53" s="282"/>
    </row>
    <row r="54" spans="11:23">
      <c r="K54" s="282"/>
      <c r="L54" s="382" t="s">
        <v>365</v>
      </c>
      <c r="M54" s="390"/>
      <c r="N54" s="378"/>
      <c r="O54" s="395"/>
      <c r="P54" s="284"/>
      <c r="Q54" s="282"/>
      <c r="R54" s="282"/>
      <c r="S54" s="282"/>
      <c r="T54" s="282"/>
      <c r="U54" s="282"/>
      <c r="V54" s="282"/>
      <c r="W54" s="282"/>
    </row>
    <row r="55" spans="11:23">
      <c r="K55" s="282"/>
      <c r="L55" s="382" t="s">
        <v>54</v>
      </c>
      <c r="M55" s="396">
        <v>200</v>
      </c>
      <c r="N55" s="378"/>
      <c r="O55" s="395"/>
      <c r="P55" s="284"/>
      <c r="Q55" s="282"/>
      <c r="R55" s="282"/>
      <c r="S55" s="282"/>
      <c r="T55" s="282"/>
      <c r="U55" s="282"/>
      <c r="V55" s="282"/>
      <c r="W55" s="282"/>
    </row>
    <row r="56" spans="11:23">
      <c r="K56" s="282"/>
      <c r="P56" s="284"/>
      <c r="Q56" s="282"/>
      <c r="R56" s="282"/>
      <c r="S56" s="282"/>
      <c r="T56" s="282"/>
      <c r="U56" s="282"/>
      <c r="V56" s="282"/>
      <c r="W56" s="282"/>
    </row>
    <row r="57" spans="11:23">
      <c r="K57" s="282"/>
      <c r="P57" s="284"/>
      <c r="Q57" s="282"/>
      <c r="R57" s="282"/>
      <c r="S57" s="282"/>
      <c r="T57" s="282"/>
      <c r="U57" s="282"/>
      <c r="V57" s="282"/>
      <c r="W57" s="282"/>
    </row>
    <row r="58" spans="11:23">
      <c r="K58" s="282"/>
      <c r="P58" s="284"/>
      <c r="Q58" s="282"/>
      <c r="R58" s="282"/>
      <c r="S58" s="282"/>
      <c r="T58" s="282"/>
      <c r="U58" s="282"/>
      <c r="V58" s="282"/>
      <c r="W58" s="282"/>
    </row>
    <row r="59" spans="11:23">
      <c r="K59" s="282"/>
      <c r="P59" s="284"/>
      <c r="Q59" s="282"/>
      <c r="R59" s="282"/>
      <c r="S59" s="282"/>
      <c r="T59" s="282"/>
      <c r="U59" s="282"/>
      <c r="V59" s="282"/>
      <c r="W59" s="282"/>
    </row>
    <row r="60" spans="11:23">
      <c r="K60" s="282"/>
      <c r="P60" s="284"/>
      <c r="Q60" s="282"/>
      <c r="R60" s="282"/>
      <c r="S60" s="282"/>
      <c r="T60" s="282"/>
      <c r="U60" s="282"/>
      <c r="V60" s="282"/>
      <c r="W60" s="282"/>
    </row>
    <row r="61" spans="11:23">
      <c r="K61" s="282"/>
      <c r="P61" s="284"/>
      <c r="Q61" s="282"/>
      <c r="R61" s="282"/>
      <c r="S61" s="282"/>
      <c r="T61" s="282"/>
      <c r="U61" s="282"/>
      <c r="V61" s="282"/>
      <c r="W61" s="282"/>
    </row>
    <row r="62" spans="11:23">
      <c r="K62" s="282"/>
      <c r="P62" s="284">
        <f>3000*1.04^5</f>
        <v>3649.9587072000008</v>
      </c>
      <c r="Q62" s="282"/>
      <c r="R62" s="282"/>
      <c r="S62" s="282"/>
      <c r="T62" s="282"/>
      <c r="U62" s="282"/>
      <c r="V62" s="282"/>
      <c r="W62" s="282"/>
    </row>
    <row r="63" spans="11:23">
      <c r="K63" s="282"/>
      <c r="P63" s="284"/>
      <c r="Q63" s="282"/>
      <c r="R63" s="282"/>
      <c r="S63" s="282"/>
      <c r="T63" s="282"/>
      <c r="U63" s="282"/>
      <c r="V63" s="282"/>
      <c r="W63" s="282"/>
    </row>
    <row r="64" spans="11:23">
      <c r="K64" s="282"/>
      <c r="P64" s="284"/>
      <c r="Q64" s="282"/>
      <c r="R64" s="282"/>
      <c r="S64" s="282"/>
      <c r="T64" s="282"/>
      <c r="U64" s="282"/>
      <c r="V64" s="282"/>
      <c r="W64" s="282"/>
    </row>
    <row r="65" spans="11:23">
      <c r="K65" s="282"/>
      <c r="P65" s="284"/>
      <c r="Q65" s="282"/>
      <c r="R65" s="282"/>
      <c r="S65" s="282"/>
      <c r="T65" s="282"/>
      <c r="U65" s="282"/>
      <c r="V65" s="282"/>
      <c r="W65" s="282"/>
    </row>
    <row r="66" spans="11:23">
      <c r="K66" s="282"/>
      <c r="P66" s="284"/>
      <c r="Q66" s="282"/>
      <c r="R66" s="282"/>
      <c r="S66" s="282"/>
      <c r="T66" s="282"/>
      <c r="U66" s="282"/>
      <c r="V66" s="282"/>
      <c r="W66" s="282"/>
    </row>
    <row r="67" spans="11:23">
      <c r="K67" s="282"/>
      <c r="P67" s="284"/>
      <c r="Q67" s="282"/>
      <c r="R67" s="282"/>
      <c r="S67" s="282"/>
      <c r="T67" s="282"/>
      <c r="U67" s="282"/>
      <c r="V67" s="282"/>
      <c r="W67" s="282"/>
    </row>
    <row r="68" spans="11:23">
      <c r="K68" s="282"/>
      <c r="P68" s="284"/>
      <c r="Q68" s="282"/>
      <c r="R68" s="282"/>
      <c r="S68" s="282"/>
      <c r="T68" s="282"/>
      <c r="U68" s="282"/>
      <c r="V68" s="282"/>
      <c r="W68" s="282"/>
    </row>
    <row r="69" spans="11:23">
      <c r="K69" s="282"/>
      <c r="P69" s="284"/>
      <c r="Q69" s="282"/>
      <c r="R69" s="282"/>
      <c r="S69" s="282"/>
      <c r="T69" s="282"/>
      <c r="U69" s="282"/>
      <c r="V69" s="282"/>
      <c r="W69" s="282"/>
    </row>
    <row r="70" spans="11:23">
      <c r="K70" s="282"/>
      <c r="P70" s="284"/>
      <c r="Q70" s="282"/>
      <c r="R70" s="283"/>
      <c r="S70" s="293"/>
      <c r="T70" s="293"/>
      <c r="U70" s="293"/>
      <c r="V70" s="293"/>
      <c r="W70" s="283"/>
    </row>
    <row r="71" spans="11:23">
      <c r="K71" s="282"/>
      <c r="P71" s="284"/>
      <c r="Q71" s="282"/>
      <c r="R71" s="283"/>
      <c r="S71" s="294"/>
      <c r="T71" s="294"/>
      <c r="U71" s="294"/>
      <c r="V71" s="294"/>
      <c r="W71" s="283"/>
    </row>
    <row r="72" spans="11:23">
      <c r="K72" s="282"/>
      <c r="P72" s="284"/>
      <c r="Q72" s="282"/>
      <c r="R72" s="283"/>
      <c r="S72" s="283"/>
      <c r="T72" s="283"/>
      <c r="U72" s="283"/>
      <c r="V72" s="283"/>
      <c r="W72" s="283"/>
    </row>
    <row r="73" spans="11:23">
      <c r="K73" s="282"/>
      <c r="P73" s="284"/>
      <c r="Q73" s="282"/>
      <c r="R73" s="282"/>
      <c r="S73" s="282"/>
      <c r="T73" s="282"/>
      <c r="U73" s="282"/>
      <c r="V73" s="282"/>
      <c r="W73" s="282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8174-B960-44D2-A524-DC640836661E}">
  <dimension ref="A2:X62"/>
  <sheetViews>
    <sheetView tabSelected="1" topLeftCell="A8" workbookViewId="0">
      <selection activeCell="H48" sqref="H48"/>
    </sheetView>
  </sheetViews>
  <sheetFormatPr defaultRowHeight="15"/>
  <cols>
    <col min="1" max="1" width="9.140625" style="67"/>
    <col min="2" max="2" width="30.140625" style="67" customWidth="1"/>
    <col min="3" max="3" width="14.140625" style="67" customWidth="1"/>
    <col min="4" max="9" width="10" style="67" bestFit="1" customWidth="1"/>
    <col min="10" max="10" width="9.7109375" style="67" bestFit="1" customWidth="1"/>
    <col min="11" max="23" width="10.7109375" style="67" bestFit="1" customWidth="1"/>
    <col min="24" max="16384" width="9.140625" style="67"/>
  </cols>
  <sheetData>
    <row r="2" spans="1:24">
      <c r="A2" s="188"/>
      <c r="B2" s="195" t="s">
        <v>325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</row>
    <row r="3" spans="1:24">
      <c r="A3" s="189" t="s">
        <v>103</v>
      </c>
      <c r="B3" s="189" t="s">
        <v>70</v>
      </c>
      <c r="C3" s="189" t="s">
        <v>215</v>
      </c>
      <c r="D3" s="189">
        <v>1</v>
      </c>
      <c r="E3" s="189">
        <v>2</v>
      </c>
      <c r="F3" s="189">
        <v>3</v>
      </c>
      <c r="G3" s="189">
        <v>4</v>
      </c>
      <c r="H3" s="189">
        <v>5</v>
      </c>
      <c r="I3" s="189">
        <v>6</v>
      </c>
      <c r="J3" s="189">
        <v>7</v>
      </c>
      <c r="K3" s="189">
        <v>8</v>
      </c>
      <c r="L3" s="189">
        <v>9</v>
      </c>
      <c r="M3" s="189">
        <v>10</v>
      </c>
      <c r="N3" s="189">
        <v>11</v>
      </c>
      <c r="O3" s="189">
        <v>12</v>
      </c>
      <c r="P3" s="189">
        <v>13</v>
      </c>
      <c r="Q3" s="189">
        <v>14</v>
      </c>
      <c r="R3" s="189">
        <v>15</v>
      </c>
      <c r="S3" s="189">
        <v>16</v>
      </c>
      <c r="T3" s="189">
        <v>17</v>
      </c>
      <c r="U3" s="189">
        <v>18</v>
      </c>
      <c r="V3" s="189">
        <v>19</v>
      </c>
      <c r="W3" s="189">
        <v>20</v>
      </c>
    </row>
    <row r="4" spans="1:24">
      <c r="A4" s="190">
        <v>1</v>
      </c>
      <c r="B4" s="191" t="s">
        <v>216</v>
      </c>
      <c r="C4" s="197"/>
      <c r="D4" s="427">
        <f>'[5]Cashflow '!F10</f>
        <v>279.536992</v>
      </c>
      <c r="E4" s="427">
        <f>'[5]Cashflow '!G10</f>
        <v>359.40470400000004</v>
      </c>
      <c r="F4" s="427">
        <f>'[5]Cashflow '!H10</f>
        <v>379.37163200000003</v>
      </c>
      <c r="G4" s="427">
        <f>'[5]Cashflow '!I10</f>
        <v>379.37163200000003</v>
      </c>
      <c r="H4" s="427">
        <f>'[5]Cashflow '!J10</f>
        <v>379.37163200000003</v>
      </c>
      <c r="I4" s="427">
        <f>'[5]Cashflow '!K10</f>
        <v>379.37163200000003</v>
      </c>
      <c r="J4" s="427">
        <f>'[5]Cashflow '!L10</f>
        <v>379.37163200000003</v>
      </c>
      <c r="K4" s="427">
        <f>'[5]Cashflow '!M10</f>
        <v>379.37163200000003</v>
      </c>
      <c r="L4" s="427">
        <f>'[5]Cashflow '!N10</f>
        <v>379.37163200000003</v>
      </c>
      <c r="M4" s="427">
        <f>'[5]Cashflow '!O10</f>
        <v>379.37163200000003</v>
      </c>
      <c r="N4" s="427">
        <f>'[5]Cashflow '!P10</f>
        <v>379.37163200000003</v>
      </c>
      <c r="O4" s="427">
        <f>'[5]Cashflow '!Q10</f>
        <v>379.37163200000003</v>
      </c>
      <c r="P4" s="427">
        <f>'[5]Cashflow '!R10</f>
        <v>379.37163200000003</v>
      </c>
      <c r="Q4" s="427">
        <f>'[5]Cashflow '!S10</f>
        <v>379.37163200000003</v>
      </c>
      <c r="R4" s="427">
        <f>'[5]Cashflow '!T10</f>
        <v>379.37163200000003</v>
      </c>
      <c r="S4" s="192">
        <f>'Nitric Acid'!R122</f>
        <v>25341.195</v>
      </c>
      <c r="T4" s="192">
        <f>'Nitric Acid'!S122</f>
        <v>25341.195</v>
      </c>
      <c r="U4" s="192">
        <f>'Nitric Acid'!T122</f>
        <v>25341.195</v>
      </c>
      <c r="V4" s="192">
        <f>'Nitric Acid'!U122</f>
        <v>25341.195</v>
      </c>
      <c r="W4" s="192">
        <f>'Nitric Acid'!V122</f>
        <v>25341.195</v>
      </c>
    </row>
    <row r="5" spans="1:24">
      <c r="A5" s="190">
        <v>2</v>
      </c>
      <c r="B5" s="191" t="s">
        <v>88</v>
      </c>
      <c r="C5" s="197"/>
      <c r="D5" s="427">
        <f>'[5]Cashflow '!F15</f>
        <v>141.11827990837551</v>
      </c>
      <c r="E5" s="427">
        <f>'[5]Cashflow '!G15</f>
        <v>183.99606127082183</v>
      </c>
      <c r="F5" s="427">
        <f>'[5]Cashflow '!H15</f>
        <v>197.20902287074762</v>
      </c>
      <c r="G5" s="427">
        <f>'[5]Cashflow '!I15</f>
        <v>200.10799550694759</v>
      </c>
      <c r="H5" s="427">
        <f>'[5]Cashflow '!J15</f>
        <v>202.52930225258169</v>
      </c>
      <c r="I5" s="427">
        <f>'[5]Cashflow '!K15</f>
        <v>205.24319490276628</v>
      </c>
      <c r="J5" s="427">
        <f>'[5]Cashflow '!L15</f>
        <v>207.93188075599252</v>
      </c>
      <c r="K5" s="427">
        <f>'[5]Cashflow '!M15</f>
        <v>210.73896114619842</v>
      </c>
      <c r="L5" s="427">
        <f>'[5]Cashflow '!N15</f>
        <v>213.90004556339139</v>
      </c>
      <c r="M5" s="427">
        <f>'[5]Cashflow '!O15</f>
        <v>216.12460603725063</v>
      </c>
      <c r="N5" s="427">
        <f>'[5]Cashflow '!P15</f>
        <v>218.54520162486784</v>
      </c>
      <c r="O5" s="427">
        <f>'[5]Cashflow '!Q15</f>
        <v>221.05847144355383</v>
      </c>
      <c r="P5" s="427">
        <f>'[5]Cashflow '!R15</f>
        <v>223.37958539371118</v>
      </c>
      <c r="Q5" s="427">
        <f>'[5]Cashflow '!S15</f>
        <v>225.68039512326641</v>
      </c>
      <c r="R5" s="427">
        <f>'[5]Cashflow '!T15</f>
        <v>227.98233515352371</v>
      </c>
      <c r="S5" s="192">
        <f>'Nitric Acid'!R147</f>
        <v>14249.843820299999</v>
      </c>
      <c r="T5" s="192">
        <f>'Nitric Acid'!S147</f>
        <v>14249.843820299999</v>
      </c>
      <c r="U5" s="192">
        <f>'Nitric Acid'!T147</f>
        <v>14249.843820299999</v>
      </c>
      <c r="V5" s="192">
        <f>'Nitric Acid'!U147</f>
        <v>14249.843820299999</v>
      </c>
      <c r="W5" s="192">
        <f>'Nitric Acid'!V147</f>
        <v>14249.843820299999</v>
      </c>
    </row>
    <row r="6" spans="1:24">
      <c r="A6" s="190">
        <v>3</v>
      </c>
      <c r="B6" s="191" t="s">
        <v>446</v>
      </c>
      <c r="C6" s="197"/>
      <c r="D6" s="427">
        <f>'[5]Cashflow '!F16</f>
        <v>19.436642743938869</v>
      </c>
      <c r="E6" s="427">
        <f>'[5]Cashflow '!G16</f>
        <v>25.377313765461327</v>
      </c>
      <c r="F6" s="427">
        <f>'[5]Cashflow '!H16</f>
        <v>27.20772301333346</v>
      </c>
      <c r="G6" s="427">
        <f>'[5]Cashflow '!I16</f>
        <v>27.596793452424127</v>
      </c>
      <c r="H6" s="427">
        <f>'[5]Cashflow '!J16</f>
        <v>27.983148560758064</v>
      </c>
      <c r="I6" s="427">
        <f>'[5]Cashflow '!K16</f>
        <v>28.358122751472223</v>
      </c>
      <c r="J6" s="427">
        <f>'[5]Cashflow '!L16</f>
        <v>28.738121596341948</v>
      </c>
      <c r="K6" s="427">
        <f>'[5]Cashflow '!M16</f>
        <v>29.12321242573293</v>
      </c>
      <c r="L6" s="427">
        <f>'[5]Cashflow '!N16</f>
        <v>29.513463472237756</v>
      </c>
      <c r="M6" s="427">
        <f>'[5]Cashflow '!O16</f>
        <v>29.90894388276574</v>
      </c>
      <c r="N6" s="427">
        <f>'[5]Cashflow '!P16</f>
        <v>30.309723730794801</v>
      </c>
      <c r="O6" s="427">
        <f>'[5]Cashflow '!Q16</f>
        <v>30.71587402878745</v>
      </c>
      <c r="P6" s="427">
        <f>'[5]Cashflow '!R16</f>
        <v>31.127466740773205</v>
      </c>
      <c r="Q6" s="427">
        <f>'[5]Cashflow '!S16</f>
        <v>31.544574795099567</v>
      </c>
      <c r="R6" s="427">
        <f>'[5]Cashflow '!T16</f>
        <v>31.967272097353902</v>
      </c>
      <c r="S6" s="192">
        <f>'Nitric Acid'!R156</f>
        <v>3762.8841948815466</v>
      </c>
      <c r="T6" s="192">
        <f>'Nitric Acid'!S156</f>
        <v>3859.5722544215191</v>
      </c>
      <c r="U6" s="192">
        <f>'Nitric Acid'!T156</f>
        <v>3960.1276573511163</v>
      </c>
      <c r="V6" s="192">
        <f>'Nitric Acid'!U156</f>
        <v>4064.7147590521995</v>
      </c>
      <c r="W6" s="192">
        <f>'Nitric Acid'!V156</f>
        <v>4173.5052623220936</v>
      </c>
    </row>
    <row r="7" spans="1:24">
      <c r="A7" s="190">
        <v>4</v>
      </c>
      <c r="B7" s="191" t="s">
        <v>217</v>
      </c>
      <c r="C7" s="197"/>
      <c r="D7" s="427">
        <f t="shared" ref="D7:W7" si="0">D4-D5-D6</f>
        <v>118.98206934768561</v>
      </c>
      <c r="E7" s="427">
        <f t="shared" si="0"/>
        <v>150.03132896371687</v>
      </c>
      <c r="F7" s="427">
        <f t="shared" si="0"/>
        <v>154.95488611591895</v>
      </c>
      <c r="G7" s="427">
        <f t="shared" si="0"/>
        <v>151.66684304062832</v>
      </c>
      <c r="H7" s="427">
        <f t="shared" si="0"/>
        <v>148.85918118666029</v>
      </c>
      <c r="I7" s="427">
        <f t="shared" si="0"/>
        <v>145.77031434576153</v>
      </c>
      <c r="J7" s="427">
        <f t="shared" si="0"/>
        <v>142.70162964766556</v>
      </c>
      <c r="K7" s="427">
        <f t="shared" si="0"/>
        <v>139.50945842806868</v>
      </c>
      <c r="L7" s="427">
        <f t="shared" si="0"/>
        <v>135.95812296437089</v>
      </c>
      <c r="M7" s="427">
        <f t="shared" si="0"/>
        <v>133.33808207998368</v>
      </c>
      <c r="N7" s="427">
        <f t="shared" si="0"/>
        <v>130.51670664433738</v>
      </c>
      <c r="O7" s="427">
        <f t="shared" si="0"/>
        <v>127.59728652765875</v>
      </c>
      <c r="P7" s="427">
        <f t="shared" si="0"/>
        <v>124.86457986551565</v>
      </c>
      <c r="Q7" s="427">
        <f t="shared" si="0"/>
        <v>122.14666208163406</v>
      </c>
      <c r="R7" s="427">
        <f t="shared" si="0"/>
        <v>119.42202474912243</v>
      </c>
      <c r="S7" s="192">
        <f t="shared" si="0"/>
        <v>7328.4669848184549</v>
      </c>
      <c r="T7" s="192">
        <f t="shared" si="0"/>
        <v>7231.7789252784823</v>
      </c>
      <c r="U7" s="192">
        <f t="shared" si="0"/>
        <v>7131.2235223488842</v>
      </c>
      <c r="V7" s="192">
        <f t="shared" si="0"/>
        <v>7026.6364206478011</v>
      </c>
      <c r="W7" s="192">
        <f t="shared" si="0"/>
        <v>6917.8459173779074</v>
      </c>
    </row>
    <row r="8" spans="1:24">
      <c r="A8" s="190">
        <v>5</v>
      </c>
      <c r="B8" s="191" t="s">
        <v>102</v>
      </c>
      <c r="C8" s="197"/>
      <c r="D8" s="428">
        <f>'[5]Cashflow '!F76</f>
        <v>20.825751106321409</v>
      </c>
      <c r="E8" s="428">
        <f>'[5]Cashflow '!G76</f>
        <v>20.825751106321409</v>
      </c>
      <c r="F8" s="428">
        <f>'[5]Cashflow '!H76</f>
        <v>20.825751106321409</v>
      </c>
      <c r="G8" s="428">
        <f>'[5]Cashflow '!I76</f>
        <v>20.825751106321409</v>
      </c>
      <c r="H8" s="428">
        <f>'[5]Cashflow '!J76</f>
        <v>20.825751106321409</v>
      </c>
      <c r="I8" s="428">
        <f>'[5]Cashflow '!K76</f>
        <v>20.825751106321409</v>
      </c>
      <c r="J8" s="428">
        <f>'[5]Cashflow '!L76</f>
        <v>20.825751106321409</v>
      </c>
      <c r="K8" s="428">
        <f>'[5]Cashflow '!M76</f>
        <v>20.825751106321409</v>
      </c>
      <c r="L8" s="428">
        <f>'[5]Cashflow '!N76</f>
        <v>20.825751106321409</v>
      </c>
      <c r="M8" s="428">
        <f>'[5]Cashflow '!O76</f>
        <v>20.825751106321409</v>
      </c>
      <c r="N8" s="428">
        <f>'[5]Cashflow '!P76</f>
        <v>20.825751106321409</v>
      </c>
      <c r="O8" s="428">
        <f>'[5]Cashflow '!Q76</f>
        <v>20.825751106321409</v>
      </c>
      <c r="P8" s="428">
        <f>'[5]Cashflow '!R76</f>
        <v>20.825751106321409</v>
      </c>
      <c r="Q8" s="428">
        <f>'[5]Cashflow '!S76</f>
        <v>20.825751106321409</v>
      </c>
      <c r="R8" s="428">
        <f>'[5]Cashflow '!T76</f>
        <v>20.825751106321409</v>
      </c>
      <c r="S8" s="201">
        <f>'Nitric Acid'!R166</f>
        <v>2161.988996302438</v>
      </c>
      <c r="T8" s="201">
        <f>'Nitric Acid'!S166</f>
        <v>2161.988996302438</v>
      </c>
      <c r="U8" s="201">
        <f>'Nitric Acid'!T166</f>
        <v>2161.988996302438</v>
      </c>
      <c r="V8" s="201">
        <f>'Nitric Acid'!U166</f>
        <v>2161.988996302438</v>
      </c>
      <c r="W8" s="201">
        <f>'Nitric Acid'!V166</f>
        <v>2161.988996302438</v>
      </c>
    </row>
    <row r="9" spans="1:24">
      <c r="A9" s="190">
        <v>6</v>
      </c>
      <c r="B9" s="191" t="s">
        <v>321</v>
      </c>
      <c r="C9" s="197"/>
      <c r="D9" s="428">
        <f t="shared" ref="D9:W9" si="1">+D7-D8</f>
        <v>98.156318241364204</v>
      </c>
      <c r="E9" s="428">
        <f t="shared" si="1"/>
        <v>129.20557785739547</v>
      </c>
      <c r="F9" s="428">
        <f t="shared" si="1"/>
        <v>134.12913500959755</v>
      </c>
      <c r="G9" s="428">
        <f t="shared" si="1"/>
        <v>130.84109193430692</v>
      </c>
      <c r="H9" s="428">
        <f t="shared" si="1"/>
        <v>128.03343008033889</v>
      </c>
      <c r="I9" s="428">
        <f t="shared" si="1"/>
        <v>124.94456323944013</v>
      </c>
      <c r="J9" s="428">
        <f t="shared" si="1"/>
        <v>121.87587854134415</v>
      </c>
      <c r="K9" s="428">
        <f t="shared" si="1"/>
        <v>118.68370732174728</v>
      </c>
      <c r="L9" s="428">
        <f t="shared" si="1"/>
        <v>115.13237185804948</v>
      </c>
      <c r="M9" s="428">
        <f t="shared" si="1"/>
        <v>112.51233097366227</v>
      </c>
      <c r="N9" s="428">
        <f t="shared" si="1"/>
        <v>109.69095553801597</v>
      </c>
      <c r="O9" s="428">
        <f t="shared" si="1"/>
        <v>106.77153542133735</v>
      </c>
      <c r="P9" s="428">
        <f t="shared" si="1"/>
        <v>104.03882875919425</v>
      </c>
      <c r="Q9" s="428">
        <f t="shared" si="1"/>
        <v>101.32091097531266</v>
      </c>
      <c r="R9" s="428">
        <f t="shared" si="1"/>
        <v>98.596273642801023</v>
      </c>
      <c r="S9" s="201">
        <f t="shared" si="1"/>
        <v>5166.4779885160169</v>
      </c>
      <c r="T9" s="201">
        <f t="shared" si="1"/>
        <v>5069.7899289760444</v>
      </c>
      <c r="U9" s="201">
        <f t="shared" si="1"/>
        <v>4969.2345260464463</v>
      </c>
      <c r="V9" s="201">
        <f t="shared" si="1"/>
        <v>4864.6474243453631</v>
      </c>
      <c r="W9" s="201">
        <f t="shared" si="1"/>
        <v>4755.8569210754695</v>
      </c>
    </row>
    <row r="10" spans="1:24">
      <c r="A10" s="190"/>
      <c r="B10" s="191" t="s">
        <v>329</v>
      </c>
      <c r="C10" s="197"/>
      <c r="D10" s="281">
        <f>'[5]Cashflow '!F78/'[5]Cashflow '!F77</f>
        <v>0</v>
      </c>
      <c r="E10" s="281">
        <f>'[5]Cashflow '!G78/'[5]Cashflow '!G77</f>
        <v>8.9987721407838069E-3</v>
      </c>
      <c r="F10" s="281">
        <f>'[5]Cashflow '!H78/'[5]Cashflow '!H77</f>
        <v>0.29521892576340869</v>
      </c>
      <c r="G10" s="281">
        <f>'[5]Cashflow '!I78/'[5]Cashflow '!I77</f>
        <v>0.31443482292294667</v>
      </c>
      <c r="H10" s="281">
        <f>'[5]Cashflow '!J78/'[5]Cashflow '!J77</f>
        <v>0.33050852382320095</v>
      </c>
      <c r="I10" s="281">
        <f>'[5]Cashflow '!K78/'[5]Cashflow '!K77</f>
        <v>0.34374270543874152</v>
      </c>
      <c r="J10" s="281">
        <f>'[5]Cashflow '!L78/'[5]Cashflow '!L77</f>
        <v>0.35468632986389809</v>
      </c>
      <c r="K10" s="281">
        <f>'[5]Cashflow '!M78/'[5]Cashflow '!M77</f>
        <v>0.36373225498024891</v>
      </c>
      <c r="L10" s="281">
        <f>'[5]Cashflow '!N78/'[5]Cashflow '!N77</f>
        <v>0.37126847636705895</v>
      </c>
      <c r="M10" s="281">
        <f>'[5]Cashflow '!O78/'[5]Cashflow '!O77</f>
        <v>0.37728959264421058</v>
      </c>
      <c r="N10" s="281">
        <f>'[5]Cashflow '!P78/'[5]Cashflow '!P77</f>
        <v>0.38360802830370855</v>
      </c>
      <c r="O10" s="281">
        <f>'[5]Cashflow '!Q78/'[5]Cashflow '!Q77</f>
        <v>0.38944090839909051</v>
      </c>
      <c r="P10" s="281">
        <f>'[5]Cashflow '!R78/'[5]Cashflow '!R77</f>
        <v>0.3947709203598716</v>
      </c>
      <c r="Q10" s="281">
        <f>'[5]Cashflow '!S78/'[5]Cashflow '!S77</f>
        <v>0.39972759396504109</v>
      </c>
      <c r="R10" s="281">
        <f>'[5]Cashflow '!T78/'[5]Cashflow '!T77</f>
        <v>0.40438993855312655</v>
      </c>
      <c r="S10" s="281">
        <f ca="1">+'Nitric Acid'!R168/'Nitric Acid'!R167</f>
        <v>0.46221775409666122</v>
      </c>
      <c r="T10" s="281">
        <f ca="1">+'Nitric Acid'!S168/'Nitric Acid'!S167</f>
        <v>0.46928036747773727</v>
      </c>
      <c r="U10" s="281">
        <f ca="1">+'Nitric Acid'!T168/'Nitric Acid'!T167</f>
        <v>0.47598546441306427</v>
      </c>
      <c r="V10" s="281">
        <f ca="1">+'Nitric Acid'!U168/'Nitric Acid'!U167</f>
        <v>0.48244128163525357</v>
      </c>
      <c r="W10" s="281">
        <f ca="1">+'Nitric Acid'!V168/'Nitric Acid'!V167</f>
        <v>0.48874860657616598</v>
      </c>
      <c r="X10" s="278">
        <f ca="1">+AVERAGE(D10:W10)</f>
        <v>0.31465458504165295</v>
      </c>
    </row>
    <row r="11" spans="1:24">
      <c r="A11" s="190">
        <v>7</v>
      </c>
      <c r="B11" s="191" t="s">
        <v>322</v>
      </c>
      <c r="C11" s="197"/>
      <c r="D11" s="201">
        <f t="shared" ref="D11:W11" si="2">+IF(D9&gt;0,D9*D10,0)</f>
        <v>0</v>
      </c>
      <c r="E11" s="201">
        <f t="shared" si="2"/>
        <v>1.1626915544570033</v>
      </c>
      <c r="F11" s="201">
        <f t="shared" si="2"/>
        <v>39.597459151108602</v>
      </c>
      <c r="G11" s="201">
        <f t="shared" si="2"/>
        <v>41.14099557340878</v>
      </c>
      <c r="H11" s="201">
        <f t="shared" si="2"/>
        <v>42.316139975873817</v>
      </c>
      <c r="I11" s="201">
        <f t="shared" si="2"/>
        <v>42.948782197787082</v>
      </c>
      <c r="J11" s="201">
        <f t="shared" si="2"/>
        <v>43.227708058767568</v>
      </c>
      <c r="K11" s="201">
        <f t="shared" si="2"/>
        <v>43.169092493555013</v>
      </c>
      <c r="L11" s="201">
        <f t="shared" si="2"/>
        <v>42.745020280263688</v>
      </c>
      <c r="M11" s="201">
        <f t="shared" si="2"/>
        <v>42.449731520503633</v>
      </c>
      <c r="N11" s="201">
        <f t="shared" si="2"/>
        <v>42.078331176688067</v>
      </c>
      <c r="O11" s="201">
        <f t="shared" si="2"/>
        <v>41.581203745651287</v>
      </c>
      <c r="P11" s="201">
        <f t="shared" si="2"/>
        <v>41.071504182430189</v>
      </c>
      <c r="Q11" s="201">
        <f t="shared" si="2"/>
        <v>40.500763962507854</v>
      </c>
      <c r="R11" s="201">
        <f t="shared" si="2"/>
        <v>39.871341039979555</v>
      </c>
      <c r="S11" s="201">
        <f t="shared" ca="1" si="2"/>
        <v>2388.0378524417092</v>
      </c>
      <c r="T11" s="201">
        <f t="shared" ca="1" si="2"/>
        <v>2379.1528809048095</v>
      </c>
      <c r="U11" s="201">
        <f t="shared" ca="1" si="2"/>
        <v>2365.283403657651</v>
      </c>
      <c r="V11" s="201">
        <f t="shared" ca="1" si="2"/>
        <v>2346.9067381048121</v>
      </c>
      <c r="W11" s="201">
        <f t="shared" ca="1" si="2"/>
        <v>2324.4184432512507</v>
      </c>
    </row>
    <row r="12" spans="1:24">
      <c r="A12" s="277">
        <v>8</v>
      </c>
      <c r="B12" s="276" t="s">
        <v>324</v>
      </c>
      <c r="C12" s="62"/>
      <c r="D12" s="117">
        <f>+-'[5]Bal sheet'!E55</f>
        <v>-41.930878547674446</v>
      </c>
      <c r="E12" s="117">
        <f>+-'[5]Bal sheet'!F55</f>
        <v>-54.363984308189487</v>
      </c>
      <c r="F12" s="117">
        <f>+-'[5]Bal sheet'!G55</f>
        <v>-57.909301960143438</v>
      </c>
      <c r="G12" s="117">
        <f>+-'[5]Bal sheet'!H55</f>
        <v>-58.415749936614887</v>
      </c>
      <c r="H12" s="117">
        <f>+-'[5]Bal sheet'!I55</f>
        <v>-58.847019645136925</v>
      </c>
      <c r="I12" s="117">
        <f>+-'[5]Bal sheet'!J55</f>
        <v>-59.322581437029271</v>
      </c>
      <c r="J12" s="117">
        <f>+-'[5]Bal sheet'!K55</f>
        <v>-59.794872138323143</v>
      </c>
      <c r="K12" s="117">
        <f>+-'[5]Bal sheet'!L55</f>
        <v>-60.286391803628717</v>
      </c>
      <c r="L12" s="117">
        <f>+-'[5]Bal sheet'!M55</f>
        <v>-60.834051018918359</v>
      </c>
      <c r="M12" s="117">
        <f>+-'[5]Bal sheet'!N55</f>
        <v>-61.23573531118069</v>
      </c>
      <c r="N12" s="117">
        <f>+-'[5]Bal sheet'!O55</f>
        <v>-61.668836656598131</v>
      </c>
      <c r="O12" s="117">
        <f>+-'[5]Bal sheet'!P55</f>
        <v>-62.117176135302984</v>
      </c>
      <c r="P12" s="117">
        <f>+-'[5]Bal sheet'!Q55</f>
        <v>-62.536153064554014</v>
      </c>
      <c r="Q12" s="117">
        <f>+-'[5]Bal sheet'!R55</f>
        <v>-62.952692845568293</v>
      </c>
      <c r="R12" s="117">
        <f>+-'[5]Bal sheet'!S55</f>
        <v>-63.37016252972208</v>
      </c>
      <c r="S12" s="117">
        <f>+-('bal sheet'!T55-'bal sheet'!S55)</f>
        <v>-15.246615161345289</v>
      </c>
      <c r="T12" s="117">
        <f>+-('bal sheet'!U55-'bal sheet'!T55)</f>
        <v>-15.893192012158579</v>
      </c>
      <c r="U12" s="117">
        <f>+-('bal sheet'!V55-'bal sheet'!U55)</f>
        <v>-16.568625088297267</v>
      </c>
      <c r="V12" s="117">
        <f>+-('bal sheet'!W55-'bal sheet'!V55)</f>
        <v>-17.274253022505945</v>
      </c>
      <c r="W12" s="117">
        <f>+-('bal sheet'!X55-'bal sheet'!W55)</f>
        <v>-18.011478253822133</v>
      </c>
    </row>
    <row r="13" spans="1:24">
      <c r="A13" s="190">
        <v>9</v>
      </c>
      <c r="B13" s="191" t="s">
        <v>218</v>
      </c>
      <c r="C13" s="197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>
        <f>+Depreciation!H41+'bal sheet'!X32-'bal sheet'!X43</f>
        <v>7428.6672006799454</v>
      </c>
    </row>
    <row r="14" spans="1:24">
      <c r="A14" s="190">
        <v>10</v>
      </c>
      <c r="B14" s="191" t="s">
        <v>219</v>
      </c>
      <c r="C14" s="197"/>
      <c r="D14" s="192">
        <f t="shared" ref="D14:Q14" si="3">+D7-D11+D12</f>
        <v>77.05119080001117</v>
      </c>
      <c r="E14" s="192">
        <f t="shared" si="3"/>
        <v>94.504653101070375</v>
      </c>
      <c r="F14" s="192">
        <f t="shared" si="3"/>
        <v>57.448125004666906</v>
      </c>
      <c r="G14" s="192">
        <f t="shared" si="3"/>
        <v>52.110097530604648</v>
      </c>
      <c r="H14" s="192">
        <f t="shared" si="3"/>
        <v>47.696021565649545</v>
      </c>
      <c r="I14" s="192">
        <f t="shared" si="3"/>
        <v>43.498950710945181</v>
      </c>
      <c r="J14" s="192">
        <f t="shared" si="3"/>
        <v>39.679049450574837</v>
      </c>
      <c r="K14" s="192">
        <f t="shared" si="3"/>
        <v>36.053974130884953</v>
      </c>
      <c r="L14" s="192">
        <f t="shared" si="3"/>
        <v>32.37905166518884</v>
      </c>
      <c r="M14" s="192">
        <f t="shared" si="3"/>
        <v>29.652615248299355</v>
      </c>
      <c r="N14" s="192">
        <f t="shared" si="3"/>
        <v>26.769538811051177</v>
      </c>
      <c r="O14" s="192">
        <f t="shared" si="3"/>
        <v>23.898906646704475</v>
      </c>
      <c r="P14" s="192">
        <f t="shared" si="3"/>
        <v>21.256922618531448</v>
      </c>
      <c r="Q14" s="192">
        <f t="shared" si="3"/>
        <v>18.693205273557908</v>
      </c>
      <c r="R14" s="192">
        <f t="shared" ref="R14:W14" si="4">+R7-R11+R12+R13</f>
        <v>16.180521179420793</v>
      </c>
      <c r="S14" s="192">
        <f t="shared" ca="1" si="4"/>
        <v>4925.1825172154004</v>
      </c>
      <c r="T14" s="192">
        <f t="shared" ca="1" si="4"/>
        <v>4836.7328523615142</v>
      </c>
      <c r="U14" s="192">
        <f t="shared" ca="1" si="4"/>
        <v>4749.3714936029355</v>
      </c>
      <c r="V14" s="192">
        <f t="shared" ca="1" si="4"/>
        <v>4662.4554295204834</v>
      </c>
      <c r="W14" s="192">
        <f t="shared" ca="1" si="4"/>
        <v>12004.08319655278</v>
      </c>
    </row>
    <row r="15" spans="1:24">
      <c r="A15" s="190">
        <v>11</v>
      </c>
      <c r="B15" s="202" t="s">
        <v>372</v>
      </c>
      <c r="C15" s="200">
        <f>-('Project Cost'!I14-'Project Cost'!I13*0)</f>
        <v>-43903.355242418358</v>
      </c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</row>
    <row r="16" spans="1:24">
      <c r="A16" s="190">
        <v>12</v>
      </c>
      <c r="B16" s="191" t="s">
        <v>220</v>
      </c>
      <c r="C16" s="192">
        <f>C15</f>
        <v>-43903.355242418358</v>
      </c>
      <c r="D16" s="201">
        <f t="shared" ref="D16:W16" si="5">D14+D15</f>
        <v>77.05119080001117</v>
      </c>
      <c r="E16" s="201">
        <f t="shared" si="5"/>
        <v>94.504653101070375</v>
      </c>
      <c r="F16" s="201">
        <f t="shared" si="5"/>
        <v>57.448125004666906</v>
      </c>
      <c r="G16" s="201">
        <f t="shared" si="5"/>
        <v>52.110097530604648</v>
      </c>
      <c r="H16" s="201">
        <f t="shared" si="5"/>
        <v>47.696021565649545</v>
      </c>
      <c r="I16" s="201">
        <f t="shared" si="5"/>
        <v>43.498950710945181</v>
      </c>
      <c r="J16" s="201">
        <f t="shared" si="5"/>
        <v>39.679049450574837</v>
      </c>
      <c r="K16" s="201">
        <f t="shared" si="5"/>
        <v>36.053974130884953</v>
      </c>
      <c r="L16" s="201">
        <f t="shared" si="5"/>
        <v>32.37905166518884</v>
      </c>
      <c r="M16" s="201">
        <f t="shared" si="5"/>
        <v>29.652615248299355</v>
      </c>
      <c r="N16" s="201">
        <f t="shared" si="5"/>
        <v>26.769538811051177</v>
      </c>
      <c r="O16" s="201">
        <f t="shared" si="5"/>
        <v>23.898906646704475</v>
      </c>
      <c r="P16" s="201">
        <f t="shared" si="5"/>
        <v>21.256922618531448</v>
      </c>
      <c r="Q16" s="201">
        <f t="shared" si="5"/>
        <v>18.693205273557908</v>
      </c>
      <c r="R16" s="201">
        <f t="shared" si="5"/>
        <v>16.180521179420793</v>
      </c>
      <c r="S16" s="201">
        <f t="shared" ca="1" si="5"/>
        <v>4925.1825172154004</v>
      </c>
      <c r="T16" s="201">
        <f t="shared" ca="1" si="5"/>
        <v>4836.7328523615142</v>
      </c>
      <c r="U16" s="201">
        <f t="shared" ca="1" si="5"/>
        <v>4749.3714936029355</v>
      </c>
      <c r="V16" s="201">
        <f t="shared" ca="1" si="5"/>
        <v>4662.4554295204834</v>
      </c>
      <c r="W16" s="201">
        <f t="shared" ca="1" si="5"/>
        <v>12004.08319655278</v>
      </c>
    </row>
    <row r="17" spans="1:23">
      <c r="A17" s="193"/>
      <c r="B17" s="193" t="s">
        <v>325</v>
      </c>
      <c r="C17" s="194">
        <f ca="1">IRR(C16:W16,0.1)</f>
        <v>0.12226148163062511</v>
      </c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</row>
    <row r="18" spans="1:23">
      <c r="A18" s="188"/>
      <c r="B18" s="199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</row>
    <row r="19" spans="1:23">
      <c r="A19" s="188"/>
      <c r="B19" s="199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</row>
    <row r="20" spans="1:23">
      <c r="A20" s="188"/>
      <c r="B20" s="195" t="s">
        <v>326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</row>
    <row r="21" spans="1:23">
      <c r="A21" s="189" t="s">
        <v>103</v>
      </c>
      <c r="B21" s="189" t="s">
        <v>70</v>
      </c>
      <c r="C21" s="189" t="s">
        <v>215</v>
      </c>
      <c r="D21" s="189">
        <v>1</v>
      </c>
      <c r="E21" s="189">
        <v>2</v>
      </c>
      <c r="F21" s="189">
        <v>3</v>
      </c>
      <c r="G21" s="189">
        <v>4</v>
      </c>
      <c r="H21" s="189">
        <v>5</v>
      </c>
      <c r="I21" s="189">
        <v>6</v>
      </c>
      <c r="J21" s="189">
        <v>7</v>
      </c>
      <c r="K21" s="189">
        <v>8</v>
      </c>
      <c r="L21" s="189">
        <v>9</v>
      </c>
      <c r="M21" s="189">
        <v>10</v>
      </c>
      <c r="N21" s="189">
        <v>11</v>
      </c>
      <c r="O21" s="189">
        <v>12</v>
      </c>
      <c r="P21" s="189">
        <v>13</v>
      </c>
      <c r="Q21" s="189">
        <v>14</v>
      </c>
      <c r="R21" s="189">
        <v>15</v>
      </c>
      <c r="S21" s="189">
        <v>16</v>
      </c>
      <c r="T21" s="189">
        <v>17</v>
      </c>
      <c r="U21" s="189">
        <v>18</v>
      </c>
      <c r="V21" s="189">
        <v>19</v>
      </c>
      <c r="W21" s="189">
        <v>20</v>
      </c>
    </row>
    <row r="22" spans="1:23">
      <c r="A22" s="190">
        <v>1</v>
      </c>
      <c r="B22" s="191" t="s">
        <v>219</v>
      </c>
      <c r="C22" s="203">
        <v>0</v>
      </c>
      <c r="D22" s="203">
        <f t="shared" ref="D22:W22" si="6">D16</f>
        <v>77.05119080001117</v>
      </c>
      <c r="E22" s="203">
        <f t="shared" si="6"/>
        <v>94.504653101070375</v>
      </c>
      <c r="F22" s="203">
        <f t="shared" si="6"/>
        <v>57.448125004666906</v>
      </c>
      <c r="G22" s="203">
        <f t="shared" si="6"/>
        <v>52.110097530604648</v>
      </c>
      <c r="H22" s="203">
        <f t="shared" si="6"/>
        <v>47.696021565649545</v>
      </c>
      <c r="I22" s="203">
        <f t="shared" si="6"/>
        <v>43.498950710945181</v>
      </c>
      <c r="J22" s="203">
        <f t="shared" si="6"/>
        <v>39.679049450574837</v>
      </c>
      <c r="K22" s="203">
        <f t="shared" si="6"/>
        <v>36.053974130884953</v>
      </c>
      <c r="L22" s="203">
        <f t="shared" si="6"/>
        <v>32.37905166518884</v>
      </c>
      <c r="M22" s="203">
        <f t="shared" si="6"/>
        <v>29.652615248299355</v>
      </c>
      <c r="N22" s="203">
        <f t="shared" si="6"/>
        <v>26.769538811051177</v>
      </c>
      <c r="O22" s="203">
        <f t="shared" si="6"/>
        <v>23.898906646704475</v>
      </c>
      <c r="P22" s="203">
        <f t="shared" si="6"/>
        <v>21.256922618531448</v>
      </c>
      <c r="Q22" s="203">
        <f t="shared" si="6"/>
        <v>18.693205273557908</v>
      </c>
      <c r="R22" s="203">
        <f t="shared" si="6"/>
        <v>16.180521179420793</v>
      </c>
      <c r="S22" s="203">
        <f t="shared" ca="1" si="6"/>
        <v>4925.1825172154004</v>
      </c>
      <c r="T22" s="203">
        <f t="shared" ca="1" si="6"/>
        <v>4836.7328523615142</v>
      </c>
      <c r="U22" s="203">
        <f t="shared" ca="1" si="6"/>
        <v>4749.3714936029355</v>
      </c>
      <c r="V22" s="203">
        <f t="shared" ca="1" si="6"/>
        <v>4662.4554295204834</v>
      </c>
      <c r="W22" s="203">
        <f t="shared" ca="1" si="6"/>
        <v>12004.08319655278</v>
      </c>
    </row>
    <row r="23" spans="1:23">
      <c r="A23" s="190">
        <v>2</v>
      </c>
      <c r="B23" s="191" t="s">
        <v>221</v>
      </c>
      <c r="C23" s="204"/>
      <c r="D23" s="203">
        <f>'Nitric Acid'!C165</f>
        <v>3635.7888339787132</v>
      </c>
      <c r="E23" s="203">
        <f>'Nitric Acid'!D165</f>
        <v>3181.3152297313741</v>
      </c>
      <c r="F23" s="203">
        <f>'Nitric Acid'!E165</f>
        <v>2726.8416254840354</v>
      </c>
      <c r="G23" s="203">
        <f>'Nitric Acid'!F165</f>
        <v>2272.3680212366962</v>
      </c>
      <c r="H23" s="203">
        <f>'Nitric Acid'!G165</f>
        <v>1817.8944169893575</v>
      </c>
      <c r="I23" s="203">
        <f>'Nitric Acid'!H165</f>
        <v>1363.4208127420184</v>
      </c>
      <c r="J23" s="203">
        <f>'Nitric Acid'!I165</f>
        <v>908.9472084946791</v>
      </c>
      <c r="K23" s="203">
        <f>'Nitric Acid'!J165</f>
        <v>454.47360424733995</v>
      </c>
      <c r="L23" s="203">
        <f>'Nitric Acid'!K165</f>
        <v>8.0035533756017685E-13</v>
      </c>
      <c r="M23" s="203">
        <f>'Nitric Acid'!L165</f>
        <v>8.0035533756017685E-13</v>
      </c>
      <c r="N23" s="203">
        <f>'Nitric Acid'!M165</f>
        <v>8.0035533756017685E-13</v>
      </c>
      <c r="O23" s="203">
        <f>'Nitric Acid'!N165</f>
        <v>8.0035533756017685E-13</v>
      </c>
      <c r="P23" s="203">
        <f>'Nitric Acid'!O165</f>
        <v>8.0035533756017685E-13</v>
      </c>
      <c r="Q23" s="203">
        <f>'Nitric Acid'!P165</f>
        <v>8.0035533756017685E-13</v>
      </c>
      <c r="R23" s="203">
        <f>'Nitric Acid'!Q165</f>
        <v>8.0035533756017685E-13</v>
      </c>
      <c r="S23" s="203">
        <f>'Nitric Acid'!R165</f>
        <v>0</v>
      </c>
      <c r="T23" s="203">
        <f>'Nitric Acid'!S165</f>
        <v>0</v>
      </c>
      <c r="U23" s="203">
        <f>'Nitric Acid'!T165</f>
        <v>0</v>
      </c>
      <c r="V23" s="203">
        <f>'Nitric Acid'!U165</f>
        <v>0</v>
      </c>
      <c r="W23" s="203">
        <f>'Nitric Acid'!V165</f>
        <v>0</v>
      </c>
    </row>
    <row r="24" spans="1:23">
      <c r="A24" s="190">
        <v>3</v>
      </c>
      <c r="B24" s="191" t="s">
        <v>222</v>
      </c>
      <c r="C24" s="204"/>
      <c r="D24" s="203">
        <f>'Nitric Acid'!E220</f>
        <v>4131.5782204303559</v>
      </c>
      <c r="E24" s="203">
        <f>'Nitric Acid'!F220</f>
        <v>4131.5782204303559</v>
      </c>
      <c r="F24" s="203">
        <f>'Nitric Acid'!G220</f>
        <v>4131.5782204303559</v>
      </c>
      <c r="G24" s="203">
        <f>'Nitric Acid'!H220</f>
        <v>4131.5782204303559</v>
      </c>
      <c r="H24" s="203">
        <f>'Nitric Acid'!I220</f>
        <v>4131.5782204303559</v>
      </c>
      <c r="I24" s="203">
        <f>'Nitric Acid'!J220</f>
        <v>4131.5782204303559</v>
      </c>
      <c r="J24" s="203">
        <f>'Nitric Acid'!K220</f>
        <v>4131.5782204303559</v>
      </c>
      <c r="K24" s="203">
        <f>'Nitric Acid'!L220</f>
        <v>4131.5782204303559</v>
      </c>
      <c r="L24" s="203">
        <f>'Nitric Acid'!M220</f>
        <v>0</v>
      </c>
      <c r="M24" s="203">
        <f>'Nitric Acid'!N220</f>
        <v>0</v>
      </c>
      <c r="N24" s="203">
        <f>'Nitric Acid'!O220</f>
        <v>0</v>
      </c>
      <c r="O24" s="203">
        <f>'Nitric Acid'!P220</f>
        <v>0</v>
      </c>
      <c r="P24" s="203">
        <f>'Nitric Acid'!Q220</f>
        <v>0</v>
      </c>
      <c r="Q24" s="203">
        <f>'Nitric Acid'!R220</f>
        <v>0</v>
      </c>
      <c r="R24" s="203">
        <f>'Nitric Acid'!S220</f>
        <v>0</v>
      </c>
      <c r="S24" s="203">
        <f>'Nitric Acid'!T220</f>
        <v>0</v>
      </c>
      <c r="T24" s="203">
        <f>'Nitric Acid'!U220</f>
        <v>0</v>
      </c>
      <c r="U24" s="203">
        <f>'Nitric Acid'!V220</f>
        <v>0</v>
      </c>
      <c r="V24" s="203">
        <f>'Nitric Acid'!W220</f>
        <v>0</v>
      </c>
      <c r="W24" s="203">
        <f>'Nitric Acid'!X220</f>
        <v>0</v>
      </c>
    </row>
    <row r="25" spans="1:23">
      <c r="A25" s="190">
        <v>4</v>
      </c>
      <c r="B25" s="429" t="s">
        <v>223</v>
      </c>
      <c r="C25" s="204"/>
      <c r="D25" s="203">
        <f>'Nitric Acid'!C164</f>
        <v>0</v>
      </c>
      <c r="E25" s="203">
        <f ca="1">'Nitric Acid'!D164</f>
        <v>387.12591423906855</v>
      </c>
      <c r="F25" s="203">
        <f ca="1">'Nitric Acid'!E164</f>
        <v>471.84075522254</v>
      </c>
      <c r="G25" s="203">
        <f ca="1">'Nitric Acid'!F164</f>
        <v>465.46346525547727</v>
      </c>
      <c r="H25" s="203">
        <f ca="1">'Nitric Acid'!G164</f>
        <v>395.60865102858668</v>
      </c>
      <c r="I25" s="203">
        <f ca="1">'Nitric Acid'!H164</f>
        <v>291.36195637213058</v>
      </c>
      <c r="J25" s="203">
        <f ca="1">'Nitric Acid'!I164</f>
        <v>150.34595507282486</v>
      </c>
      <c r="K25" s="203">
        <f ca="1">'Nitric Acid'!J164</f>
        <v>0</v>
      </c>
      <c r="L25" s="203">
        <f ca="1">'Nitric Acid'!K164</f>
        <v>0</v>
      </c>
      <c r="M25" s="203">
        <f ca="1">'Nitric Acid'!L164</f>
        <v>0</v>
      </c>
      <c r="N25" s="203">
        <f ca="1">'Nitric Acid'!M164</f>
        <v>0</v>
      </c>
      <c r="O25" s="203">
        <f ca="1">'Nitric Acid'!N164</f>
        <v>0</v>
      </c>
      <c r="P25" s="203">
        <f ca="1">'Nitric Acid'!O164</f>
        <v>0</v>
      </c>
      <c r="Q25" s="203">
        <f ca="1">'Nitric Acid'!P164</f>
        <v>0</v>
      </c>
      <c r="R25" s="203">
        <f ca="1">'Nitric Acid'!Q164</f>
        <v>0</v>
      </c>
      <c r="S25" s="203">
        <f ca="1">'Nitric Acid'!R164</f>
        <v>0</v>
      </c>
      <c r="T25" s="203">
        <f ca="1">'Nitric Acid'!S164</f>
        <v>0</v>
      </c>
      <c r="U25" s="203">
        <f ca="1">'Nitric Acid'!T164</f>
        <v>0</v>
      </c>
      <c r="V25" s="203">
        <f ca="1">'Nitric Acid'!U164</f>
        <v>0</v>
      </c>
      <c r="W25" s="203">
        <f ca="1">'Nitric Acid'!V164</f>
        <v>0</v>
      </c>
    </row>
    <row r="26" spans="1:23">
      <c r="A26" s="196">
        <v>5</v>
      </c>
      <c r="B26" s="191" t="s">
        <v>224</v>
      </c>
      <c r="C26" s="204"/>
      <c r="D26" s="203">
        <f t="shared" ref="D26:W26" si="7">D22-D23-D24-D25</f>
        <v>-7690.3158636090575</v>
      </c>
      <c r="E26" s="203">
        <f t="shared" ca="1" si="7"/>
        <v>-1564.7540476019776</v>
      </c>
      <c r="F26" s="203">
        <f t="shared" ca="1" si="7"/>
        <v>-488.01500814524854</v>
      </c>
      <c r="G26" s="203">
        <f t="shared" ca="1" si="7"/>
        <v>297.81068520109471</v>
      </c>
      <c r="H26" s="203">
        <f t="shared" ca="1" si="7"/>
        <v>771.55335124986243</v>
      </c>
      <c r="I26" s="203">
        <f t="shared" ca="1" si="7"/>
        <v>1277.720813461551</v>
      </c>
      <c r="J26" s="203">
        <f t="shared" ca="1" si="7"/>
        <v>1818.6090099367493</v>
      </c>
      <c r="K26" s="203">
        <f t="shared" ca="1" si="7"/>
        <v>2366.6935312708274</v>
      </c>
      <c r="L26" s="203">
        <f t="shared" ca="1" si="7"/>
        <v>6893.7879008482205</v>
      </c>
      <c r="M26" s="203">
        <f t="shared" ca="1" si="7"/>
        <v>6832.5153378215564</v>
      </c>
      <c r="N26" s="203">
        <f t="shared" ca="1" si="7"/>
        <v>5504.744531662137</v>
      </c>
      <c r="O26" s="203">
        <f t="shared" ca="1" si="7"/>
        <v>5306.1849604359577</v>
      </c>
      <c r="P26" s="203">
        <f t="shared" ca="1" si="7"/>
        <v>5204.9192033708796</v>
      </c>
      <c r="Q26" s="203">
        <f t="shared" ca="1" si="7"/>
        <v>5108.3773019192249</v>
      </c>
      <c r="R26" s="203">
        <f t="shared" ca="1" si="7"/>
        <v>5015.4519029557523</v>
      </c>
      <c r="S26" s="203">
        <f t="shared" ca="1" si="7"/>
        <v>4925.1825172154004</v>
      </c>
      <c r="T26" s="203">
        <f t="shared" ca="1" si="7"/>
        <v>4836.7328523615142</v>
      </c>
      <c r="U26" s="203">
        <f t="shared" ca="1" si="7"/>
        <v>4749.3714936029355</v>
      </c>
      <c r="V26" s="203">
        <f t="shared" ca="1" si="7"/>
        <v>4662.4554295204834</v>
      </c>
      <c r="W26" s="203">
        <f t="shared" ca="1" si="7"/>
        <v>12004.08319655278</v>
      </c>
    </row>
    <row r="27" spans="1:23">
      <c r="A27" s="196">
        <v>6</v>
      </c>
      <c r="B27" s="191" t="s">
        <v>328</v>
      </c>
      <c r="C27" s="204"/>
      <c r="D27" s="203">
        <f t="shared" ref="D27:W27" si="8">+D11</f>
        <v>0</v>
      </c>
      <c r="E27" s="203">
        <f t="shared" si="8"/>
        <v>1.1626915544570033</v>
      </c>
      <c r="F27" s="203">
        <f t="shared" si="8"/>
        <v>39.597459151108602</v>
      </c>
      <c r="G27" s="203">
        <f t="shared" si="8"/>
        <v>41.14099557340878</v>
      </c>
      <c r="H27" s="203">
        <f t="shared" si="8"/>
        <v>42.316139975873817</v>
      </c>
      <c r="I27" s="203">
        <f t="shared" si="8"/>
        <v>42.948782197787082</v>
      </c>
      <c r="J27" s="203">
        <f t="shared" si="8"/>
        <v>43.227708058767568</v>
      </c>
      <c r="K27" s="203">
        <f t="shared" si="8"/>
        <v>43.169092493555013</v>
      </c>
      <c r="L27" s="203">
        <f t="shared" si="8"/>
        <v>42.745020280263688</v>
      </c>
      <c r="M27" s="203">
        <f t="shared" si="8"/>
        <v>42.449731520503633</v>
      </c>
      <c r="N27" s="203">
        <f t="shared" si="8"/>
        <v>42.078331176688067</v>
      </c>
      <c r="O27" s="203">
        <f t="shared" si="8"/>
        <v>41.581203745651287</v>
      </c>
      <c r="P27" s="203">
        <f t="shared" si="8"/>
        <v>41.071504182430189</v>
      </c>
      <c r="Q27" s="203">
        <f t="shared" si="8"/>
        <v>40.500763962507854</v>
      </c>
      <c r="R27" s="203">
        <f t="shared" si="8"/>
        <v>39.871341039979555</v>
      </c>
      <c r="S27" s="203">
        <f t="shared" ca="1" si="8"/>
        <v>2388.0378524417092</v>
      </c>
      <c r="T27" s="203">
        <f t="shared" ca="1" si="8"/>
        <v>2379.1528809048095</v>
      </c>
      <c r="U27" s="203">
        <f t="shared" ca="1" si="8"/>
        <v>2365.283403657651</v>
      </c>
      <c r="V27" s="203">
        <f t="shared" ca="1" si="8"/>
        <v>2346.9067381048121</v>
      </c>
      <c r="W27" s="203">
        <f t="shared" ca="1" si="8"/>
        <v>2324.4184432512507</v>
      </c>
    </row>
    <row r="28" spans="1:23">
      <c r="A28" s="196">
        <v>7</v>
      </c>
      <c r="B28" s="191" t="s">
        <v>327</v>
      </c>
      <c r="C28" s="204"/>
      <c r="D28" s="203">
        <f ca="1">'Nitric Acid'!C241</f>
        <v>92.055389196624617</v>
      </c>
      <c r="E28" s="203">
        <f ca="1">'Nitric Acid'!D241</f>
        <v>276.2867265337884</v>
      </c>
      <c r="F28" s="203">
        <f ca="1">'Nitric Acid'!E241</f>
        <v>512.9895366201697</v>
      </c>
      <c r="G28" s="203">
        <f ca="1">'Nitric Acid'!F241</f>
        <v>583.27794997820979</v>
      </c>
      <c r="H28" s="203">
        <f ca="1">'Nitric Acid'!G241</f>
        <v>664.26064033655416</v>
      </c>
      <c r="I28" s="203">
        <f ca="1">'Nitric Acid'!H241</f>
        <v>750.83938990442812</v>
      </c>
      <c r="J28" s="203">
        <f ca="1">'Nitric Acid'!I241</f>
        <v>843.41249333506266</v>
      </c>
      <c r="K28" s="203">
        <f ca="1">'Nitric Acid'!J241</f>
        <v>937.16790983520355</v>
      </c>
      <c r="L28" s="203">
        <f ca="1">'Nitric Acid'!K241</f>
        <v>1004.1884455555883</v>
      </c>
      <c r="M28" s="203">
        <f ca="1">'Nitric Acid'!L241</f>
        <v>991.31748077704833</v>
      </c>
      <c r="N28" s="203">
        <f ca="1">'Nitric Acid'!M241</f>
        <v>2242.026714238038</v>
      </c>
      <c r="O28" s="203">
        <f ca="1">'Nitric Acid'!N241</f>
        <v>2360.4844395728155</v>
      </c>
      <c r="P28" s="203">
        <f ca="1">'Nitric Acid'!O241</f>
        <v>2378.4804480571297</v>
      </c>
      <c r="Q28" s="203">
        <f ca="1">'Nitric Acid'!P241</f>
        <v>2388.4514187923487</v>
      </c>
      <c r="R28" s="203">
        <f ca="1">'Nitric Acid'!Q241</f>
        <v>2391.3655149557248</v>
      </c>
      <c r="S28" s="203">
        <f ca="1">'Nitric Acid'!R241</f>
        <v>2388.0378524417083</v>
      </c>
      <c r="T28" s="203">
        <f ca="1">'Nitric Acid'!S241</f>
        <v>2379.1528809048095</v>
      </c>
      <c r="U28" s="203">
        <f ca="1">'Nitric Acid'!T241</f>
        <v>2365.2834036576519</v>
      </c>
      <c r="V28" s="203">
        <f ca="1">'Nitric Acid'!U241</f>
        <v>2346.906738104813</v>
      </c>
      <c r="W28" s="203">
        <f ca="1">'Nitric Acid'!V241</f>
        <v>2324.4184432512511</v>
      </c>
    </row>
    <row r="29" spans="1:23">
      <c r="A29" s="190">
        <v>8</v>
      </c>
      <c r="B29" s="191" t="s">
        <v>225</v>
      </c>
      <c r="C29" s="203">
        <f>-('Project Cost'!I14-'Project Cost'!I13+'Project Cost'!I15-'Nitric Acid'!D35)</f>
        <v>-13309.868299057154</v>
      </c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</row>
    <row r="30" spans="1:23">
      <c r="A30" s="190">
        <v>9</v>
      </c>
      <c r="B30" s="191" t="s">
        <v>226</v>
      </c>
      <c r="C30" s="203">
        <f>C29</f>
        <v>-13309.868299057154</v>
      </c>
      <c r="D30" s="203">
        <f t="shared" ref="D30:W30" ca="1" si="9">D26+D27-D28+D29</f>
        <v>-4956.9417895191173</v>
      </c>
      <c r="E30" s="203">
        <f t="shared" ca="1" si="9"/>
        <v>-941.27601092746204</v>
      </c>
      <c r="F30" s="203">
        <f t="shared" ca="1" si="9"/>
        <v>70.858777411803999</v>
      </c>
      <c r="G30" s="203">
        <f t="shared" ca="1" si="9"/>
        <v>776.16460252100728</v>
      </c>
      <c r="H30" s="203">
        <f t="shared" ca="1" si="9"/>
        <v>1158.2966072939578</v>
      </c>
      <c r="I30" s="203">
        <f t="shared" ca="1" si="9"/>
        <v>1566.8444588811749</v>
      </c>
      <c r="J30" s="203">
        <f t="shared" ca="1" si="9"/>
        <v>2003.688711475264</v>
      </c>
      <c r="K30" s="203">
        <f t="shared" ca="1" si="9"/>
        <v>2446.0991594049228</v>
      </c>
      <c r="L30" s="203">
        <f t="shared" ca="1" si="9"/>
        <v>6893.7879008482205</v>
      </c>
      <c r="M30" s="203">
        <f t="shared" ca="1" si="9"/>
        <v>6832.5153378215564</v>
      </c>
      <c r="N30" s="203">
        <f t="shared" ca="1" si="9"/>
        <v>5504.744531662137</v>
      </c>
      <c r="O30" s="203">
        <f t="shared" ca="1" si="9"/>
        <v>5306.1849604359577</v>
      </c>
      <c r="P30" s="203">
        <f t="shared" ca="1" si="9"/>
        <v>5204.9192033708805</v>
      </c>
      <c r="Q30" s="203">
        <f t="shared" ca="1" si="9"/>
        <v>5108.3773019192249</v>
      </c>
      <c r="R30" s="203">
        <f t="shared" ca="1" si="9"/>
        <v>5015.4519029557523</v>
      </c>
      <c r="S30" s="203">
        <f t="shared" ca="1" si="9"/>
        <v>4925.1825172154013</v>
      </c>
      <c r="T30" s="203">
        <f t="shared" ca="1" si="9"/>
        <v>4836.7328523615142</v>
      </c>
      <c r="U30" s="203">
        <f t="shared" ca="1" si="9"/>
        <v>4749.3714936029355</v>
      </c>
      <c r="V30" s="203">
        <f t="shared" ca="1" si="9"/>
        <v>4662.4554295204816</v>
      </c>
      <c r="W30" s="203">
        <f t="shared" ca="1" si="9"/>
        <v>12004.08319655278</v>
      </c>
    </row>
    <row r="31" spans="1:23">
      <c r="A31" s="193"/>
      <c r="B31" s="193" t="s">
        <v>326</v>
      </c>
      <c r="C31" s="194">
        <f ca="1">IRR(C30:W30,0.1)</f>
        <v>0.12052530132890649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</row>
    <row r="33" spans="2:23">
      <c r="B33" s="195"/>
      <c r="C33" s="409"/>
      <c r="D33" s="409"/>
      <c r="E33" s="409"/>
      <c r="F33" s="409"/>
      <c r="G33" s="409"/>
      <c r="H33" s="409"/>
      <c r="I33" s="409"/>
      <c r="J33" s="409"/>
      <c r="K33" s="409"/>
      <c r="L33" s="409"/>
    </row>
    <row r="34" spans="2:23">
      <c r="B34" s="67" t="s">
        <v>442</v>
      </c>
    </row>
    <row r="35" spans="2:23" hidden="1">
      <c r="B35" s="62" t="s">
        <v>259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pans="2:23" hidden="1">
      <c r="B36" s="62" t="s">
        <v>260</v>
      </c>
      <c r="C36" s="252">
        <f>C16</f>
        <v>-43903.355242418358</v>
      </c>
      <c r="D36" s="253">
        <f>'Nitric Acid'!C167+'Nitric Acid'!C166</f>
        <v>2688.8627897812876</v>
      </c>
      <c r="E36" s="253">
        <f ca="1">'Nitric Acid'!D167+'Nitric Acid'!D166</f>
        <v>3743.3003890095601</v>
      </c>
      <c r="F36" s="253">
        <f ca="1">'Nitric Acid'!E167+'Nitric Acid'!E166</f>
        <v>5098.0554833684273</v>
      </c>
      <c r="G36" s="253">
        <f ca="1">'Nitric Acid'!F167+'Nitric Acid'!F166</f>
        <v>5500.3472264890779</v>
      </c>
      <c r="H36" s="253">
        <f ca="1">'Nitric Acid'!G167+'Nitric Acid'!G166</f>
        <v>5963.8470568367447</v>
      </c>
      <c r="I36" s="253">
        <f ca="1">'Nitric Acid'!H167+'Nitric Acid'!H166</f>
        <v>6459.375614345181</v>
      </c>
      <c r="J36" s="253">
        <f ca="1">'Nitric Acid'!I167+'Nitric Acid'!I166</f>
        <v>6989.212515848355</v>
      </c>
      <c r="K36" s="253">
        <f ca="1">'Nitric Acid'!J167+'Nitric Acid'!J166</f>
        <v>7525.8163190771829</v>
      </c>
      <c r="L36" s="253">
        <f ca="1">'Nitric Acid'!K167+'Nitric Acid'!K166</f>
        <v>7909.4045500775528</v>
      </c>
      <c r="M36" s="253">
        <f ca="1">'Nitric Acid'!L167+'Nitric Acid'!L166</f>
        <v>7835.738313936642</v>
      </c>
      <c r="N36" s="253">
        <f ca="1">'Nitric Acid'!M167+'Nitric Acid'!M166</f>
        <v>7759.1750739301415</v>
      </c>
      <c r="O36" s="253">
        <f ca="1">'Nitric Acid'!N167+'Nitric Acid'!N166</f>
        <v>7679.5935691030163</v>
      </c>
      <c r="P36" s="253">
        <f ca="1">'Nitric Acid'!O167+'Nitric Acid'!O166</f>
        <v>7596.8671831296224</v>
      </c>
      <c r="Q36" s="253">
        <f ca="1">'Nitric Acid'!P167+'Nitric Acid'!P166</f>
        <v>7510.8636977755077</v>
      </c>
      <c r="R36" s="253">
        <f ca="1">'Nitric Acid'!Q167+'Nitric Acid'!Q166</f>
        <v>7421.4450346691656</v>
      </c>
    </row>
    <row r="37" spans="2:23" hidden="1">
      <c r="B37" s="62" t="s">
        <v>262</v>
      </c>
      <c r="C37" s="254">
        <f ca="1">IRR(C36:R36,0.1)</f>
        <v>0.10394145069105676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2:23" hidden="1">
      <c r="B38" s="62" t="s">
        <v>261</v>
      </c>
      <c r="C38" s="252">
        <f>C36</f>
        <v>-43903.355242418358</v>
      </c>
      <c r="D38" s="253">
        <f ca="1">'Nitric Acid'!C169+'Nitric Acid'!C166</f>
        <v>2596.8074005846629</v>
      </c>
      <c r="E38" s="253">
        <f ca="1">'Nitric Acid'!D169+'Nitric Acid'!D166</f>
        <v>3467.0136624757715</v>
      </c>
      <c r="F38" s="253">
        <f ca="1">'Nitric Acid'!E169+'Nitric Acid'!E166</f>
        <v>4585.0659467482574</v>
      </c>
      <c r="G38" s="253">
        <f ca="1">'Nitric Acid'!F169+'Nitric Acid'!F166</f>
        <v>4917.0692765108679</v>
      </c>
      <c r="H38" s="253">
        <f ca="1">'Nitric Acid'!G169+'Nitric Acid'!G166</f>
        <v>5299.5864165001904</v>
      </c>
      <c r="I38" s="253">
        <f ca="1">'Nitric Acid'!H169+'Nitric Acid'!H166</f>
        <v>5708.5362244407534</v>
      </c>
      <c r="J38" s="253">
        <f ca="1">'Nitric Acid'!I169+'Nitric Acid'!I166</f>
        <v>6145.8000225132928</v>
      </c>
      <c r="K38" s="253">
        <f ca="1">'Nitric Acid'!J169+'Nitric Acid'!J166</f>
        <v>6588.6484092419796</v>
      </c>
      <c r="L38" s="253">
        <f ca="1">'Nitric Acid'!K169+'Nitric Acid'!K166</f>
        <v>6905.2161045219646</v>
      </c>
      <c r="M38" s="253">
        <f ca="1">'Nitric Acid'!L169+'Nitric Acid'!L166</f>
        <v>6844.4208331595937</v>
      </c>
      <c r="N38" s="253">
        <f ca="1">'Nitric Acid'!M169+'Nitric Acid'!M166</f>
        <v>5517.1483596921034</v>
      </c>
      <c r="O38" s="253">
        <f ca="1">'Nitric Acid'!N169+'Nitric Acid'!N166</f>
        <v>5319.1091295302012</v>
      </c>
      <c r="P38" s="253">
        <f ca="1">'Nitric Acid'!O169+'Nitric Acid'!O166</f>
        <v>5218.3867350724922</v>
      </c>
      <c r="Q38" s="253">
        <f ca="1">'Nitric Acid'!P169+'Nitric Acid'!P166</f>
        <v>5122.412278983159</v>
      </c>
      <c r="R38" s="253">
        <f ca="1">'Nitric Acid'!Q169+'Nitric Acid'!Q166</f>
        <v>5030.0795197134412</v>
      </c>
    </row>
    <row r="39" spans="2:23" hidden="1">
      <c r="B39" s="62" t="s">
        <v>262</v>
      </c>
      <c r="C39" s="255">
        <f ca="1">IRR(C38:R38,0.1)</f>
        <v>7.8055312625729734E-2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2:23" hidden="1"/>
    <row r="41" spans="2:23">
      <c r="B41" s="6" t="s">
        <v>434</v>
      </c>
      <c r="C41" s="420">
        <f>+'Project Cost'!I14+'Project Cost'!I15</f>
        <v>47218.03680491836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2:2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2:23">
      <c r="B43" s="6" t="s">
        <v>435</v>
      </c>
      <c r="C43" s="421"/>
      <c r="D43" s="430">
        <f ca="1">+'Nitric Acid'!C169</f>
        <v>434.818404282225</v>
      </c>
      <c r="E43" s="430">
        <f ca="1">+'Nitric Acid'!D169</f>
        <v>1305.0246661733338</v>
      </c>
      <c r="F43" s="430">
        <f ca="1">+'Nitric Acid'!E169</f>
        <v>2423.0769504458194</v>
      </c>
      <c r="G43" s="430">
        <f ca="1">+'Nitric Acid'!F169</f>
        <v>2755.0802802084299</v>
      </c>
      <c r="H43" s="430">
        <f ca="1">+'Nitric Acid'!G169</f>
        <v>3137.5974201977524</v>
      </c>
      <c r="I43" s="430">
        <f ca="1">+'Nitric Acid'!H169</f>
        <v>3546.5472281383149</v>
      </c>
      <c r="J43" s="430">
        <f ca="1">+'Nitric Acid'!I169</f>
        <v>3983.8110262108544</v>
      </c>
      <c r="K43" s="430">
        <f ca="1">+'Nitric Acid'!J169</f>
        <v>4426.6594129395417</v>
      </c>
      <c r="L43" s="430">
        <f ca="1">+'Nitric Acid'!K169</f>
        <v>4743.2271082195266</v>
      </c>
      <c r="M43" s="430">
        <f ca="1">+'Nitric Acid'!L169</f>
        <v>4682.4318368571558</v>
      </c>
      <c r="N43" s="430">
        <f ca="1">+'Nitric Acid'!M169</f>
        <v>3355.1593633896655</v>
      </c>
      <c r="O43" s="430">
        <f ca="1">+'Nitric Acid'!N169</f>
        <v>3157.1201332277628</v>
      </c>
      <c r="P43" s="430">
        <f ca="1">+'Nitric Acid'!O169</f>
        <v>3056.3977387700547</v>
      </c>
      <c r="Q43" s="430">
        <f ca="1">+'Nitric Acid'!P169</f>
        <v>2960.4232826807211</v>
      </c>
      <c r="R43" s="430">
        <f ca="1">+'Nitric Acid'!Q169</f>
        <v>2868.0905234110028</v>
      </c>
      <c r="S43" s="430">
        <f ca="1">+'Nitric Acid'!R169</f>
        <v>2778.4401360743068</v>
      </c>
      <c r="T43" s="430">
        <f ca="1">+'Nitric Acid'!S169</f>
        <v>2690.6370480712349</v>
      </c>
      <c r="U43" s="430">
        <f ca="1">+'Nitric Acid'!T169</f>
        <v>2603.9511223887962</v>
      </c>
      <c r="V43" s="430">
        <f ca="1">+'Nitric Acid'!U169</f>
        <v>2517.7406862405519</v>
      </c>
      <c r="W43" s="430">
        <f ca="1">+'Nitric Acid'!V169</f>
        <v>2431.4384778242193</v>
      </c>
    </row>
    <row r="44" spans="2:23">
      <c r="B44" s="6" t="s">
        <v>436</v>
      </c>
      <c r="C44" s="6"/>
      <c r="D44" s="430">
        <f t="shared" ref="D44:W44" si="10">+D8</f>
        <v>20.825751106321409</v>
      </c>
      <c r="E44" s="430">
        <f t="shared" si="10"/>
        <v>20.825751106321409</v>
      </c>
      <c r="F44" s="430">
        <f t="shared" si="10"/>
        <v>20.825751106321409</v>
      </c>
      <c r="G44" s="430">
        <f t="shared" si="10"/>
        <v>20.825751106321409</v>
      </c>
      <c r="H44" s="430">
        <f t="shared" si="10"/>
        <v>20.825751106321409</v>
      </c>
      <c r="I44" s="430">
        <f t="shared" si="10"/>
        <v>20.825751106321409</v>
      </c>
      <c r="J44" s="430">
        <f t="shared" si="10"/>
        <v>20.825751106321409</v>
      </c>
      <c r="K44" s="430">
        <f t="shared" si="10"/>
        <v>20.825751106321409</v>
      </c>
      <c r="L44" s="430">
        <f t="shared" si="10"/>
        <v>20.825751106321409</v>
      </c>
      <c r="M44" s="430">
        <f t="shared" si="10"/>
        <v>20.825751106321409</v>
      </c>
      <c r="N44" s="430">
        <f t="shared" si="10"/>
        <v>20.825751106321409</v>
      </c>
      <c r="O44" s="430">
        <f t="shared" si="10"/>
        <v>20.825751106321409</v>
      </c>
      <c r="P44" s="430">
        <f t="shared" si="10"/>
        <v>20.825751106321409</v>
      </c>
      <c r="Q44" s="430">
        <f t="shared" si="10"/>
        <v>20.825751106321409</v>
      </c>
      <c r="R44" s="430">
        <f t="shared" si="10"/>
        <v>20.825751106321409</v>
      </c>
      <c r="S44" s="430">
        <f t="shared" si="10"/>
        <v>2161.988996302438</v>
      </c>
      <c r="T44" s="430">
        <f t="shared" si="10"/>
        <v>2161.988996302438</v>
      </c>
      <c r="U44" s="430">
        <f t="shared" si="10"/>
        <v>2161.988996302438</v>
      </c>
      <c r="V44" s="430">
        <f t="shared" si="10"/>
        <v>2161.988996302438</v>
      </c>
      <c r="W44" s="430">
        <f t="shared" si="10"/>
        <v>2161.988996302438</v>
      </c>
    </row>
    <row r="45" spans="2:23">
      <c r="B45" s="417" t="s">
        <v>438</v>
      </c>
      <c r="C45" s="6"/>
      <c r="D45" s="430">
        <f t="shared" ref="D45:W45" si="11">D23*(1-D10)</f>
        <v>3635.7888339787132</v>
      </c>
      <c r="E45" s="430">
        <f t="shared" si="11"/>
        <v>3152.6872988710161</v>
      </c>
      <c r="F45" s="430">
        <f t="shared" si="11"/>
        <v>1921.8263700816913</v>
      </c>
      <c r="G45" s="430">
        <f t="shared" si="11"/>
        <v>1557.8563848633689</v>
      </c>
      <c r="H45" s="430">
        <f t="shared" si="11"/>
        <v>1217.0648167637664</v>
      </c>
      <c r="I45" s="430">
        <f t="shared" si="11"/>
        <v>894.75485391858922</v>
      </c>
      <c r="J45" s="430">
        <f t="shared" si="11"/>
        <v>586.55605907366601</v>
      </c>
      <c r="K45" s="430">
        <f t="shared" si="11"/>
        <v>289.16689534545378</v>
      </c>
      <c r="L45" s="430">
        <f t="shared" si="11"/>
        <v>5.0320863083196688E-13</v>
      </c>
      <c r="M45" s="430">
        <f t="shared" si="11"/>
        <v>4.9838959828147809E-13</v>
      </c>
      <c r="N45" s="430">
        <f t="shared" si="11"/>
        <v>4.9333260457636832E-13</v>
      </c>
      <c r="O45" s="430">
        <f t="shared" si="11"/>
        <v>4.8866422785868084E-13</v>
      </c>
      <c r="P45" s="430">
        <f t="shared" si="11"/>
        <v>4.8439832433661011E-13</v>
      </c>
      <c r="Q45" s="430">
        <f t="shared" si="11"/>
        <v>4.8043122416016904E-13</v>
      </c>
      <c r="R45" s="430">
        <f t="shared" si="11"/>
        <v>4.7669969178355006E-13</v>
      </c>
      <c r="S45" s="430">
        <f t="shared" ca="1" si="11"/>
        <v>0</v>
      </c>
      <c r="T45" s="430">
        <f t="shared" ca="1" si="11"/>
        <v>0</v>
      </c>
      <c r="U45" s="430">
        <f t="shared" ca="1" si="11"/>
        <v>0</v>
      </c>
      <c r="V45" s="430">
        <f t="shared" ca="1" si="11"/>
        <v>0</v>
      </c>
      <c r="W45" s="430">
        <f t="shared" ca="1" si="11"/>
        <v>0</v>
      </c>
    </row>
    <row r="46" spans="2:23">
      <c r="B46" s="6" t="s">
        <v>437</v>
      </c>
      <c r="C46" s="6"/>
      <c r="D46" s="430">
        <f t="shared" ref="D46:W46" ca="1" si="12">+D43+D44+D45</f>
        <v>5597.3512094906155</v>
      </c>
      <c r="E46" s="430">
        <f t="shared" ca="1" si="12"/>
        <v>6092.4894952684799</v>
      </c>
      <c r="F46" s="430">
        <f t="shared" ca="1" si="12"/>
        <v>6835.4738034277216</v>
      </c>
      <c r="G46" s="430">
        <f t="shared" ca="1" si="12"/>
        <v>6792.4091570770888</v>
      </c>
      <c r="H46" s="430">
        <f t="shared" ca="1" si="12"/>
        <v>6799.8583209531671</v>
      </c>
      <c r="I46" s="430">
        <f t="shared" ca="1" si="12"/>
        <v>6833.7401527804868</v>
      </c>
      <c r="J46" s="430">
        <f t="shared" ca="1" si="12"/>
        <v>6895.9359747397812</v>
      </c>
      <c r="K46" s="430">
        <f t="shared" ca="1" si="12"/>
        <v>6963.7163853552247</v>
      </c>
      <c r="L46" s="430">
        <f t="shared" ca="1" si="12"/>
        <v>6905.2161045219655</v>
      </c>
      <c r="M46" s="430">
        <f t="shared" ca="1" si="12"/>
        <v>6844.4208331595946</v>
      </c>
      <c r="N46" s="430">
        <f t="shared" ca="1" si="12"/>
        <v>5517.1483596921043</v>
      </c>
      <c r="O46" s="430">
        <f t="shared" ca="1" si="12"/>
        <v>5319.1091295302022</v>
      </c>
      <c r="P46" s="430">
        <f t="shared" ca="1" si="12"/>
        <v>5218.3867350724922</v>
      </c>
      <c r="Q46" s="430">
        <f t="shared" ca="1" si="12"/>
        <v>5122.412278983159</v>
      </c>
      <c r="R46" s="430">
        <f t="shared" ca="1" si="12"/>
        <v>5030.0795197134412</v>
      </c>
      <c r="S46" s="430">
        <f t="shared" ca="1" si="12"/>
        <v>4940.4291323767447</v>
      </c>
      <c r="T46" s="430">
        <f t="shared" ca="1" si="12"/>
        <v>4852.6260443736728</v>
      </c>
      <c r="U46" s="430">
        <f t="shared" ca="1" si="12"/>
        <v>4765.9401186912346</v>
      </c>
      <c r="V46" s="430">
        <f t="shared" ca="1" si="12"/>
        <v>4679.7296825429894</v>
      </c>
      <c r="W46" s="430">
        <f t="shared" ca="1" si="12"/>
        <v>4593.4274741266572</v>
      </c>
    </row>
    <row r="47" spans="2:23">
      <c r="B47" s="6" t="s">
        <v>444</v>
      </c>
      <c r="C47" s="6"/>
      <c r="D47" s="430">
        <f ca="1">C41-D46</f>
        <v>41620.685595427742</v>
      </c>
      <c r="E47" s="430">
        <f t="shared" ref="E47:W47" ca="1" si="13">D47-E46</f>
        <v>35528.196100159264</v>
      </c>
      <c r="F47" s="430">
        <f t="shared" ca="1" si="13"/>
        <v>28692.722296731543</v>
      </c>
      <c r="G47" s="430">
        <f t="shared" ca="1" si="13"/>
        <v>21900.313139654456</v>
      </c>
      <c r="H47" s="430">
        <f t="shared" ca="1" si="13"/>
        <v>15100.454818701288</v>
      </c>
      <c r="I47" s="430">
        <f t="shared" ca="1" si="13"/>
        <v>8266.7146659208011</v>
      </c>
      <c r="J47" s="430">
        <f t="shared" ca="1" si="13"/>
        <v>1370.7786911810199</v>
      </c>
      <c r="K47" s="430">
        <f t="shared" ca="1" si="13"/>
        <v>-5592.9376941742048</v>
      </c>
      <c r="L47" s="430">
        <f t="shared" ca="1" si="13"/>
        <v>-12498.15379869617</v>
      </c>
      <c r="M47" s="430">
        <f t="shared" ca="1" si="13"/>
        <v>-19342.574631855765</v>
      </c>
      <c r="N47" s="430">
        <f t="shared" ca="1" si="13"/>
        <v>-24859.722991547867</v>
      </c>
      <c r="O47" s="430">
        <f t="shared" ca="1" si="13"/>
        <v>-30178.83212107807</v>
      </c>
      <c r="P47" s="430">
        <f t="shared" ca="1" si="13"/>
        <v>-35397.218856150561</v>
      </c>
      <c r="Q47" s="430">
        <f t="shared" ca="1" si="13"/>
        <v>-40519.631135133721</v>
      </c>
      <c r="R47" s="430">
        <f t="shared" ca="1" si="13"/>
        <v>-45549.710654847164</v>
      </c>
      <c r="S47" s="430">
        <f t="shared" ca="1" si="13"/>
        <v>-50490.13978722391</v>
      </c>
      <c r="T47" s="430">
        <f t="shared" ca="1" si="13"/>
        <v>-55342.765831597586</v>
      </c>
      <c r="U47" s="430">
        <f t="shared" ca="1" si="13"/>
        <v>-60108.705950288822</v>
      </c>
      <c r="V47" s="430">
        <f t="shared" ca="1" si="13"/>
        <v>-64788.43563283181</v>
      </c>
      <c r="W47" s="430">
        <f t="shared" ca="1" si="13"/>
        <v>-69381.863106958466</v>
      </c>
    </row>
    <row r="49" spans="2:23">
      <c r="B49" s="431" t="s">
        <v>441</v>
      </c>
      <c r="C49" s="13" t="s">
        <v>447</v>
      </c>
    </row>
    <row r="51" spans="2:23">
      <c r="B51" s="13" t="s">
        <v>443</v>
      </c>
    </row>
    <row r="52" spans="2:23">
      <c r="B52" s="6" t="s">
        <v>434</v>
      </c>
      <c r="C52" s="420">
        <f>+C41</f>
        <v>47218.03680491836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2:2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2:23">
      <c r="B54" s="6" t="s">
        <v>435</v>
      </c>
      <c r="C54" s="421"/>
      <c r="D54" s="430">
        <f t="shared" ref="D54:W54" ca="1" si="14">+D43</f>
        <v>434.818404282225</v>
      </c>
      <c r="E54" s="430">
        <f t="shared" ca="1" si="14"/>
        <v>1305.0246661733338</v>
      </c>
      <c r="F54" s="430">
        <f t="shared" ca="1" si="14"/>
        <v>2423.0769504458194</v>
      </c>
      <c r="G54" s="430">
        <f t="shared" ca="1" si="14"/>
        <v>2755.0802802084299</v>
      </c>
      <c r="H54" s="430">
        <f t="shared" ca="1" si="14"/>
        <v>3137.5974201977524</v>
      </c>
      <c r="I54" s="430">
        <f t="shared" ca="1" si="14"/>
        <v>3546.5472281383149</v>
      </c>
      <c r="J54" s="430">
        <f t="shared" ca="1" si="14"/>
        <v>3983.8110262108544</v>
      </c>
      <c r="K54" s="430">
        <f t="shared" ca="1" si="14"/>
        <v>4426.6594129395417</v>
      </c>
      <c r="L54" s="430">
        <f t="shared" ca="1" si="14"/>
        <v>4743.2271082195266</v>
      </c>
      <c r="M54" s="430">
        <f t="shared" ca="1" si="14"/>
        <v>4682.4318368571558</v>
      </c>
      <c r="N54" s="430">
        <f t="shared" ca="1" si="14"/>
        <v>3355.1593633896655</v>
      </c>
      <c r="O54" s="430">
        <f t="shared" ca="1" si="14"/>
        <v>3157.1201332277628</v>
      </c>
      <c r="P54" s="430">
        <f t="shared" ca="1" si="14"/>
        <v>3056.3977387700547</v>
      </c>
      <c r="Q54" s="430">
        <f t="shared" ca="1" si="14"/>
        <v>2960.4232826807211</v>
      </c>
      <c r="R54" s="430">
        <f t="shared" ca="1" si="14"/>
        <v>2868.0905234110028</v>
      </c>
      <c r="S54" s="430">
        <f t="shared" ca="1" si="14"/>
        <v>2778.4401360743068</v>
      </c>
      <c r="T54" s="430">
        <f t="shared" ca="1" si="14"/>
        <v>2690.6370480712349</v>
      </c>
      <c r="U54" s="430">
        <f t="shared" ca="1" si="14"/>
        <v>2603.9511223887962</v>
      </c>
      <c r="V54" s="430">
        <f t="shared" ca="1" si="14"/>
        <v>2517.7406862405519</v>
      </c>
      <c r="W54" s="430">
        <f t="shared" ca="1" si="14"/>
        <v>2431.4384778242193</v>
      </c>
    </row>
    <row r="55" spans="2:23">
      <c r="B55" s="6" t="s">
        <v>436</v>
      </c>
      <c r="C55" s="6"/>
      <c r="D55" s="430">
        <f t="shared" ref="D55:W55" si="15">+D44</f>
        <v>20.825751106321409</v>
      </c>
      <c r="E55" s="430">
        <f t="shared" si="15"/>
        <v>20.825751106321409</v>
      </c>
      <c r="F55" s="430">
        <f t="shared" si="15"/>
        <v>20.825751106321409</v>
      </c>
      <c r="G55" s="430">
        <f t="shared" si="15"/>
        <v>20.825751106321409</v>
      </c>
      <c r="H55" s="430">
        <f t="shared" si="15"/>
        <v>20.825751106321409</v>
      </c>
      <c r="I55" s="430">
        <f t="shared" si="15"/>
        <v>20.825751106321409</v>
      </c>
      <c r="J55" s="430">
        <f t="shared" si="15"/>
        <v>20.825751106321409</v>
      </c>
      <c r="K55" s="430">
        <f t="shared" si="15"/>
        <v>20.825751106321409</v>
      </c>
      <c r="L55" s="430">
        <f t="shared" si="15"/>
        <v>20.825751106321409</v>
      </c>
      <c r="M55" s="430">
        <f t="shared" si="15"/>
        <v>20.825751106321409</v>
      </c>
      <c r="N55" s="430">
        <f t="shared" si="15"/>
        <v>20.825751106321409</v>
      </c>
      <c r="O55" s="430">
        <f t="shared" si="15"/>
        <v>20.825751106321409</v>
      </c>
      <c r="P55" s="430">
        <f t="shared" si="15"/>
        <v>20.825751106321409</v>
      </c>
      <c r="Q55" s="430">
        <f t="shared" si="15"/>
        <v>20.825751106321409</v>
      </c>
      <c r="R55" s="430">
        <f t="shared" si="15"/>
        <v>20.825751106321409</v>
      </c>
      <c r="S55" s="430">
        <f t="shared" si="15"/>
        <v>2161.988996302438</v>
      </c>
      <c r="T55" s="430">
        <f t="shared" si="15"/>
        <v>2161.988996302438</v>
      </c>
      <c r="U55" s="430">
        <f t="shared" si="15"/>
        <v>2161.988996302438</v>
      </c>
      <c r="V55" s="430">
        <f t="shared" si="15"/>
        <v>2161.988996302438</v>
      </c>
      <c r="W55" s="430">
        <f t="shared" si="15"/>
        <v>2161.988996302438</v>
      </c>
    </row>
    <row r="56" spans="2:23">
      <c r="B56" s="6" t="s">
        <v>439</v>
      </c>
      <c r="C56" s="6"/>
      <c r="D56" s="430">
        <f t="shared" ref="D56:W56" ca="1" si="16">+D28</f>
        <v>92.055389196624617</v>
      </c>
      <c r="E56" s="430">
        <f t="shared" ca="1" si="16"/>
        <v>276.2867265337884</v>
      </c>
      <c r="F56" s="430">
        <f t="shared" ca="1" si="16"/>
        <v>512.9895366201697</v>
      </c>
      <c r="G56" s="430">
        <f t="shared" ca="1" si="16"/>
        <v>583.27794997820979</v>
      </c>
      <c r="H56" s="430">
        <f t="shared" ca="1" si="16"/>
        <v>664.26064033655416</v>
      </c>
      <c r="I56" s="430">
        <f t="shared" ca="1" si="16"/>
        <v>750.83938990442812</v>
      </c>
      <c r="J56" s="430">
        <f t="shared" ca="1" si="16"/>
        <v>843.41249333506266</v>
      </c>
      <c r="K56" s="430">
        <f t="shared" ca="1" si="16"/>
        <v>937.16790983520355</v>
      </c>
      <c r="L56" s="430">
        <f t="shared" ca="1" si="16"/>
        <v>1004.1884455555883</v>
      </c>
      <c r="M56" s="430">
        <f t="shared" ca="1" si="16"/>
        <v>991.31748077704833</v>
      </c>
      <c r="N56" s="430">
        <f t="shared" ca="1" si="16"/>
        <v>2242.026714238038</v>
      </c>
      <c r="O56" s="430">
        <f t="shared" ca="1" si="16"/>
        <v>2360.4844395728155</v>
      </c>
      <c r="P56" s="430">
        <f t="shared" ca="1" si="16"/>
        <v>2378.4804480571297</v>
      </c>
      <c r="Q56" s="430">
        <f t="shared" ca="1" si="16"/>
        <v>2388.4514187923487</v>
      </c>
      <c r="R56" s="430">
        <f t="shared" ca="1" si="16"/>
        <v>2391.3655149557248</v>
      </c>
      <c r="S56" s="430">
        <f t="shared" ca="1" si="16"/>
        <v>2388.0378524417083</v>
      </c>
      <c r="T56" s="430">
        <f t="shared" ca="1" si="16"/>
        <v>2379.1528809048095</v>
      </c>
      <c r="U56" s="430">
        <f t="shared" ca="1" si="16"/>
        <v>2365.2834036576519</v>
      </c>
      <c r="V56" s="430">
        <f t="shared" ca="1" si="16"/>
        <v>2346.906738104813</v>
      </c>
      <c r="W56" s="430">
        <f t="shared" ca="1" si="16"/>
        <v>2324.4184432512511</v>
      </c>
    </row>
    <row r="57" spans="2:23" ht="30">
      <c r="B57" s="424" t="s">
        <v>440</v>
      </c>
      <c r="C57" s="6"/>
      <c r="D57" s="430">
        <f>+'Nitric Acid'!C233*'Nitric Acid'!$C$98</f>
        <v>-4482.6436738692473</v>
      </c>
      <c r="E57" s="430">
        <f ca="1">+'Nitric Acid'!D233*'Nitric Acid'!$C$98</f>
        <v>-264.08747217081213</v>
      </c>
      <c r="F57" s="430">
        <f ca="1">+'Nitric Acid'!E233*'Nitric Acid'!$C$98</f>
        <v>440.67468745748505</v>
      </c>
      <c r="G57" s="430">
        <f ca="1">+'Nitric Acid'!F233*'Nitric Acid'!$C$98</f>
        <v>778.35111416681082</v>
      </c>
      <c r="H57" s="430">
        <f ca="1">+'Nitric Acid'!G233*'Nitric Acid'!$C$98</f>
        <v>1108.2530421881952</v>
      </c>
      <c r="I57" s="430">
        <f ca="1">+'Nitric Acid'!H233*'Nitric Acid'!$C$98</f>
        <v>1424.5183051123281</v>
      </c>
      <c r="J57" s="430">
        <f ca="1">+'Nitric Acid'!I233*'Nitric Acid'!$C$98</f>
        <v>1731.6316399151785</v>
      </c>
      <c r="K57" s="430">
        <f ca="1">+'Nitric Acid'!J233*'Nitric Acid'!$C$98</f>
        <v>2023.107507515113</v>
      </c>
      <c r="L57" s="430">
        <f ca="1">+'Nitric Acid'!K233*'Nitric Acid'!$C$98</f>
        <v>2245.7825366299644</v>
      </c>
      <c r="M57" s="430">
        <f ca="1">+'Nitric Acid'!L233*'Nitric Acid'!$C$98</f>
        <v>2295.6167815337953</v>
      </c>
      <c r="N57" s="430">
        <f ca="1">+'Nitric Acid'!M233*'Nitric Acid'!$C$98</f>
        <v>2333.3158506318432</v>
      </c>
      <c r="O57" s="430">
        <f ca="1">+'Nitric Acid'!N233*'Nitric Acid'!$C$98</f>
        <v>2360.4844395728155</v>
      </c>
      <c r="P57" s="430">
        <f ca="1">+'Nitric Acid'!O233*'Nitric Acid'!$C$98</f>
        <v>2378.4804480571297</v>
      </c>
      <c r="Q57" s="430">
        <f ca="1">+'Nitric Acid'!P233*'Nitric Acid'!$C$98</f>
        <v>2388.4514187923487</v>
      </c>
      <c r="R57" s="430">
        <f ca="1">+'Nitric Acid'!Q233*'Nitric Acid'!$C$98</f>
        <v>2391.3655149557248</v>
      </c>
      <c r="S57" s="430">
        <f ca="1">+'Nitric Acid'!R233*'Nitric Acid'!$C$98</f>
        <v>2388.0378524417083</v>
      </c>
      <c r="T57" s="430">
        <f ca="1">+'Nitric Acid'!S233*'Nitric Acid'!$C$98</f>
        <v>2379.1528809048095</v>
      </c>
      <c r="U57" s="430">
        <f ca="1">+'Nitric Acid'!T233*'Nitric Acid'!$C$98</f>
        <v>2365.2834036576519</v>
      </c>
      <c r="V57" s="430">
        <f ca="1">+'Nitric Acid'!U233*'Nitric Acid'!$C$98</f>
        <v>2346.906738104813</v>
      </c>
      <c r="W57" s="430">
        <f ca="1">+'Nitric Acid'!V233*'Nitric Acid'!$C$98</f>
        <v>2324.4184432512511</v>
      </c>
    </row>
    <row r="58" spans="2:23">
      <c r="B58" s="417" t="s">
        <v>438</v>
      </c>
      <c r="C58" s="6"/>
      <c r="D58" s="430">
        <f t="shared" ref="D58:W58" si="17">+D45</f>
        <v>3635.7888339787132</v>
      </c>
      <c r="E58" s="430">
        <f t="shared" si="17"/>
        <v>3152.6872988710161</v>
      </c>
      <c r="F58" s="430">
        <f t="shared" si="17"/>
        <v>1921.8263700816913</v>
      </c>
      <c r="G58" s="430">
        <f t="shared" si="17"/>
        <v>1557.8563848633689</v>
      </c>
      <c r="H58" s="430">
        <f t="shared" si="17"/>
        <v>1217.0648167637664</v>
      </c>
      <c r="I58" s="430">
        <f t="shared" si="17"/>
        <v>894.75485391858922</v>
      </c>
      <c r="J58" s="430">
        <f t="shared" si="17"/>
        <v>586.55605907366601</v>
      </c>
      <c r="K58" s="430">
        <f t="shared" si="17"/>
        <v>289.16689534545378</v>
      </c>
      <c r="L58" s="430">
        <f t="shared" si="17"/>
        <v>5.0320863083196688E-13</v>
      </c>
      <c r="M58" s="430">
        <f t="shared" si="17"/>
        <v>4.9838959828147809E-13</v>
      </c>
      <c r="N58" s="430">
        <f t="shared" si="17"/>
        <v>4.9333260457636832E-13</v>
      </c>
      <c r="O58" s="430">
        <f t="shared" si="17"/>
        <v>4.8866422785868084E-13</v>
      </c>
      <c r="P58" s="430">
        <f t="shared" si="17"/>
        <v>4.8439832433661011E-13</v>
      </c>
      <c r="Q58" s="430">
        <f t="shared" si="17"/>
        <v>4.8043122416016904E-13</v>
      </c>
      <c r="R58" s="430">
        <f t="shared" si="17"/>
        <v>4.7669969178355006E-13</v>
      </c>
      <c r="S58" s="430">
        <f t="shared" ca="1" si="17"/>
        <v>0</v>
      </c>
      <c r="T58" s="430">
        <f t="shared" ca="1" si="17"/>
        <v>0</v>
      </c>
      <c r="U58" s="430">
        <f t="shared" ca="1" si="17"/>
        <v>0</v>
      </c>
      <c r="V58" s="430">
        <f t="shared" ca="1" si="17"/>
        <v>0</v>
      </c>
      <c r="W58" s="430">
        <f t="shared" ca="1" si="17"/>
        <v>0</v>
      </c>
    </row>
    <row r="59" spans="2:23">
      <c r="B59" s="6" t="s">
        <v>437</v>
      </c>
      <c r="C59" s="6"/>
      <c r="D59" s="430">
        <f t="shared" ref="D59:W59" ca="1" si="18">+D54+D55+D58+D56-D57</f>
        <v>10172.050272556487</v>
      </c>
      <c r="E59" s="430">
        <f t="shared" ca="1" si="18"/>
        <v>6632.8636939730804</v>
      </c>
      <c r="F59" s="430">
        <f t="shared" ca="1" si="18"/>
        <v>6907.7886525904069</v>
      </c>
      <c r="G59" s="430">
        <f t="shared" ca="1" si="18"/>
        <v>6597.3359928884884</v>
      </c>
      <c r="H59" s="430">
        <f t="shared" ca="1" si="18"/>
        <v>6355.8659191015267</v>
      </c>
      <c r="I59" s="430">
        <f t="shared" ca="1" si="18"/>
        <v>6160.0612375725868</v>
      </c>
      <c r="J59" s="430">
        <f t="shared" ca="1" si="18"/>
        <v>6007.716828159666</v>
      </c>
      <c r="K59" s="430">
        <f t="shared" ca="1" si="18"/>
        <v>5877.7767876753151</v>
      </c>
      <c r="L59" s="430">
        <f t="shared" ca="1" si="18"/>
        <v>5663.6220134475898</v>
      </c>
      <c r="M59" s="430">
        <f t="shared" ca="1" si="18"/>
        <v>5540.1215324028472</v>
      </c>
      <c r="N59" s="430">
        <f t="shared" ca="1" si="18"/>
        <v>5425.8592232982992</v>
      </c>
      <c r="O59" s="430">
        <f t="shared" ca="1" si="18"/>
        <v>5319.1091295302012</v>
      </c>
      <c r="P59" s="430">
        <f t="shared" ca="1" si="18"/>
        <v>5218.3867350724922</v>
      </c>
      <c r="Q59" s="430">
        <f t="shared" ca="1" si="18"/>
        <v>5122.412278983159</v>
      </c>
      <c r="R59" s="430">
        <f t="shared" ca="1" si="18"/>
        <v>5030.0795197134412</v>
      </c>
      <c r="S59" s="430">
        <f t="shared" ca="1" si="18"/>
        <v>4940.4291323767447</v>
      </c>
      <c r="T59" s="430">
        <f t="shared" ca="1" si="18"/>
        <v>4852.6260443736728</v>
      </c>
      <c r="U59" s="430">
        <f t="shared" ca="1" si="18"/>
        <v>4765.9401186912346</v>
      </c>
      <c r="V59" s="430">
        <f t="shared" ca="1" si="18"/>
        <v>4679.7296825429894</v>
      </c>
      <c r="W59" s="430">
        <f t="shared" ca="1" si="18"/>
        <v>4593.4274741266572</v>
      </c>
    </row>
    <row r="60" spans="2:23">
      <c r="B60" s="6" t="s">
        <v>444</v>
      </c>
      <c r="C60" s="6"/>
      <c r="D60" s="430">
        <f ca="1">C52-D59</f>
        <v>37045.986532361872</v>
      </c>
      <c r="E60" s="430">
        <f t="shared" ref="E60:W60" ca="1" si="19">D60-E59</f>
        <v>30413.122838388794</v>
      </c>
      <c r="F60" s="430">
        <f t="shared" ca="1" si="19"/>
        <v>23505.334185798387</v>
      </c>
      <c r="G60" s="430">
        <f t="shared" ca="1" si="19"/>
        <v>16907.998192909898</v>
      </c>
      <c r="H60" s="430">
        <f t="shared" ca="1" si="19"/>
        <v>10552.132273808371</v>
      </c>
      <c r="I60" s="430">
        <f t="shared" ca="1" si="19"/>
        <v>4392.071036235784</v>
      </c>
      <c r="J60" s="430">
        <f t="shared" ca="1" si="19"/>
        <v>-1615.6457919238819</v>
      </c>
      <c r="K60" s="430">
        <f t="shared" ca="1" si="19"/>
        <v>-7493.422579599197</v>
      </c>
      <c r="L60" s="430">
        <f t="shared" ca="1" si="19"/>
        <v>-13157.044593046787</v>
      </c>
      <c r="M60" s="430">
        <f t="shared" ca="1" si="19"/>
        <v>-18697.166125449636</v>
      </c>
      <c r="N60" s="430">
        <f t="shared" ca="1" si="19"/>
        <v>-24123.025348747935</v>
      </c>
      <c r="O60" s="430">
        <f t="shared" ca="1" si="19"/>
        <v>-29442.134478278138</v>
      </c>
      <c r="P60" s="430">
        <f t="shared" ca="1" si="19"/>
        <v>-34660.521213350628</v>
      </c>
      <c r="Q60" s="430">
        <f t="shared" ca="1" si="19"/>
        <v>-39782.933492333788</v>
      </c>
      <c r="R60" s="430">
        <f t="shared" ca="1" si="19"/>
        <v>-44813.013012047231</v>
      </c>
      <c r="S60" s="430">
        <f t="shared" ca="1" si="19"/>
        <v>-49753.442144423978</v>
      </c>
      <c r="T60" s="430">
        <f t="shared" ca="1" si="19"/>
        <v>-54606.068188797653</v>
      </c>
      <c r="U60" s="430">
        <f t="shared" ca="1" si="19"/>
        <v>-59372.00830748889</v>
      </c>
      <c r="V60" s="430">
        <f t="shared" ca="1" si="19"/>
        <v>-64051.737990031877</v>
      </c>
      <c r="W60" s="430">
        <f t="shared" ca="1" si="19"/>
        <v>-68645.165464158534</v>
      </c>
    </row>
    <row r="62" spans="2:23">
      <c r="B62" s="13" t="s">
        <v>441</v>
      </c>
      <c r="C62" s="13" t="s">
        <v>445</v>
      </c>
    </row>
  </sheetData>
  <pageMargins left="0" right="0" top="0.74803149606299213" bottom="0.74803149606299213" header="0.31496062992125984" footer="0.31496062992125984"/>
  <pageSetup scale="7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57"/>
  <sheetViews>
    <sheetView topLeftCell="A41" zoomScaleNormal="100" workbookViewId="0">
      <selection activeCell="E55" sqref="E55"/>
    </sheetView>
  </sheetViews>
  <sheetFormatPr defaultRowHeight="15"/>
  <cols>
    <col min="2" max="2" width="36.140625" customWidth="1"/>
    <col min="3" max="3" width="11.140625" style="318" customWidth="1"/>
    <col min="4" max="4" width="15.7109375" style="318" customWidth="1"/>
    <col min="5" max="5" width="11" customWidth="1"/>
    <col min="6" max="6" width="11.140625" customWidth="1"/>
  </cols>
  <sheetData>
    <row r="3" spans="1:5" s="67" customFormat="1">
      <c r="B3" s="261" t="s">
        <v>381</v>
      </c>
      <c r="C3" s="348"/>
      <c r="D3" s="348">
        <v>365</v>
      </c>
    </row>
    <row r="4" spans="1:5" s="67" customFormat="1">
      <c r="C4" s="318"/>
      <c r="D4" s="318"/>
    </row>
    <row r="5" spans="1:5">
      <c r="B5" s="279" t="s">
        <v>228</v>
      </c>
      <c r="C5" s="316"/>
      <c r="D5" s="316" t="s">
        <v>229</v>
      </c>
      <c r="E5" s="63"/>
    </row>
    <row r="6" spans="1:5">
      <c r="B6" s="206" t="s">
        <v>382</v>
      </c>
      <c r="C6" s="332"/>
      <c r="D6" s="317">
        <v>30</v>
      </c>
      <c r="E6" s="63"/>
    </row>
    <row r="8" spans="1:5">
      <c r="B8" s="280" t="s">
        <v>230</v>
      </c>
      <c r="C8" s="319"/>
      <c r="D8" s="319" t="s">
        <v>229</v>
      </c>
    </row>
    <row r="9" spans="1:5">
      <c r="B9" s="207" t="s">
        <v>89</v>
      </c>
      <c r="C9" s="333"/>
      <c r="D9" s="320">
        <v>30</v>
      </c>
      <c r="E9" s="63"/>
    </row>
    <row r="10" spans="1:5" s="67" customFormat="1">
      <c r="B10" s="207"/>
      <c r="C10" s="334"/>
      <c r="D10" s="321"/>
      <c r="E10" s="19"/>
    </row>
    <row r="11" spans="1:5" s="67" customFormat="1">
      <c r="A11" s="250"/>
      <c r="B11" s="247" t="s">
        <v>254</v>
      </c>
      <c r="C11" s="323"/>
      <c r="D11" s="322" t="s">
        <v>229</v>
      </c>
    </row>
    <row r="12" spans="1:5" s="67" customFormat="1">
      <c r="A12" s="248"/>
      <c r="B12" s="249" t="s">
        <v>255</v>
      </c>
      <c r="C12" s="335"/>
      <c r="D12" s="320">
        <v>30</v>
      </c>
    </row>
    <row r="14" spans="1:5" s="67" customFormat="1">
      <c r="B14" s="247" t="s">
        <v>257</v>
      </c>
      <c r="C14" s="323"/>
      <c r="D14" s="323" t="s">
        <v>229</v>
      </c>
    </row>
    <row r="15" spans="1:5" s="67" customFormat="1">
      <c r="B15" s="62"/>
      <c r="C15" s="324"/>
      <c r="D15" s="324">
        <v>45</v>
      </c>
    </row>
    <row r="16" spans="1:5" s="67" customFormat="1">
      <c r="C16" s="318"/>
      <c r="D16" s="318"/>
    </row>
    <row r="17" spans="1:24" s="67" customFormat="1">
      <c r="B17" s="247" t="s">
        <v>378</v>
      </c>
      <c r="C17" s="323"/>
      <c r="D17" s="323" t="s">
        <v>229</v>
      </c>
    </row>
    <row r="18" spans="1:24" s="67" customFormat="1">
      <c r="B18" s="62"/>
      <c r="C18" s="324"/>
      <c r="D18" s="324">
        <v>30</v>
      </c>
    </row>
    <row r="19" spans="1:24" s="67" customFormat="1">
      <c r="B19" s="58"/>
      <c r="C19" s="341"/>
      <c r="D19" s="341"/>
    </row>
    <row r="20" spans="1:24" ht="18.75">
      <c r="A20" s="443" t="s">
        <v>231</v>
      </c>
      <c r="B20" s="443"/>
      <c r="C20" s="443"/>
      <c r="D20" s="443"/>
      <c r="E20" s="443"/>
      <c r="F20" s="443"/>
      <c r="G20" s="443"/>
      <c r="H20" s="443"/>
      <c r="I20" s="443"/>
      <c r="J20" s="443"/>
      <c r="K20" s="443"/>
      <c r="L20" s="443"/>
      <c r="M20" s="443"/>
      <c r="N20" s="443"/>
      <c r="O20" s="443"/>
      <c r="P20" s="443"/>
      <c r="Q20" s="443"/>
      <c r="R20" s="443"/>
      <c r="S20" s="443"/>
    </row>
    <row r="21" spans="1:24">
      <c r="A21" s="442" t="s">
        <v>181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</row>
    <row r="22" spans="1:24">
      <c r="A22" s="237"/>
      <c r="B22" s="238"/>
      <c r="C22" s="444" t="s">
        <v>368</v>
      </c>
      <c r="D22" s="444"/>
      <c r="E22" s="239">
        <v>82627.033698117535</v>
      </c>
      <c r="F22" s="236"/>
      <c r="G22" s="236"/>
      <c r="H22" s="236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</row>
    <row r="23" spans="1:24">
      <c r="A23" s="219" t="s">
        <v>182</v>
      </c>
      <c r="B23" s="218" t="s">
        <v>70</v>
      </c>
      <c r="C23" s="222">
        <v>-2</v>
      </c>
      <c r="D23" s="222">
        <v>-1</v>
      </c>
      <c r="E23" s="222">
        <v>1</v>
      </c>
      <c r="F23" s="222" t="s">
        <v>126</v>
      </c>
      <c r="G23" s="222" t="s">
        <v>127</v>
      </c>
      <c r="H23" s="222" t="s">
        <v>128</v>
      </c>
      <c r="I23" s="222" t="s">
        <v>129</v>
      </c>
      <c r="J23" s="222" t="s">
        <v>130</v>
      </c>
      <c r="K23" s="222" t="s">
        <v>131</v>
      </c>
      <c r="L23" s="222" t="s">
        <v>132</v>
      </c>
      <c r="M23" s="222" t="s">
        <v>133</v>
      </c>
      <c r="N23" s="222" t="s">
        <v>134</v>
      </c>
      <c r="O23" s="222" t="s">
        <v>135</v>
      </c>
      <c r="P23" s="222" t="s">
        <v>136</v>
      </c>
      <c r="Q23" s="222" t="s">
        <v>137</v>
      </c>
      <c r="R23" s="222" t="s">
        <v>138</v>
      </c>
      <c r="S23" s="222" t="s">
        <v>139</v>
      </c>
      <c r="T23" s="222" t="s">
        <v>417</v>
      </c>
      <c r="U23" s="222" t="s">
        <v>418</v>
      </c>
      <c r="V23" s="222" t="s">
        <v>419</v>
      </c>
      <c r="W23" s="222" t="s">
        <v>420</v>
      </c>
      <c r="X23" s="222" t="s">
        <v>421</v>
      </c>
    </row>
    <row r="24" spans="1:24">
      <c r="A24" s="220" t="s">
        <v>183</v>
      </c>
      <c r="B24" s="221"/>
      <c r="C24" s="326" t="s">
        <v>367</v>
      </c>
      <c r="D24" s="326"/>
      <c r="E24" s="205">
        <f>'Nitric Acid'!C111</f>
        <v>0.8</v>
      </c>
      <c r="F24" s="205">
        <f>'Nitric Acid'!D111</f>
        <v>0.9</v>
      </c>
      <c r="G24" s="205">
        <f>'Nitric Acid'!E111</f>
        <v>1</v>
      </c>
      <c r="H24" s="205">
        <f>'Nitric Acid'!F111</f>
        <v>1</v>
      </c>
      <c r="I24" s="205">
        <f>'Nitric Acid'!G111</f>
        <v>1</v>
      </c>
      <c r="J24" s="205">
        <f>'Nitric Acid'!H111</f>
        <v>1</v>
      </c>
      <c r="K24" s="205">
        <f>'Nitric Acid'!I111</f>
        <v>1</v>
      </c>
      <c r="L24" s="205">
        <f>'Nitric Acid'!J111</f>
        <v>1</v>
      </c>
      <c r="M24" s="205">
        <f>'Nitric Acid'!K111</f>
        <v>1</v>
      </c>
      <c r="N24" s="205">
        <f>'Nitric Acid'!L111</f>
        <v>1</v>
      </c>
      <c r="O24" s="205">
        <f>'Nitric Acid'!M111</f>
        <v>1</v>
      </c>
      <c r="P24" s="205">
        <f>'Nitric Acid'!N111</f>
        <v>1</v>
      </c>
      <c r="Q24" s="205">
        <f>'Nitric Acid'!O111</f>
        <v>1</v>
      </c>
      <c r="R24" s="205">
        <f>'Nitric Acid'!P111</f>
        <v>1</v>
      </c>
      <c r="S24" s="205">
        <f>'Nitric Acid'!Q111</f>
        <v>1</v>
      </c>
      <c r="T24" s="205">
        <f>'Nitric Acid'!R111</f>
        <v>1</v>
      </c>
      <c r="U24" s="205">
        <f>'Nitric Acid'!S111</f>
        <v>1</v>
      </c>
      <c r="V24" s="205">
        <f>'Nitric Acid'!T111</f>
        <v>1</v>
      </c>
      <c r="W24" s="205">
        <f>'Nitric Acid'!U111</f>
        <v>1</v>
      </c>
      <c r="X24" s="205">
        <f>'Nitric Acid'!V111</f>
        <v>1</v>
      </c>
    </row>
    <row r="25" spans="1:24">
      <c r="A25" s="216" t="s">
        <v>41</v>
      </c>
      <c r="B25" s="213" t="s">
        <v>232</v>
      </c>
      <c r="C25" s="327"/>
      <c r="D25" s="32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</row>
    <row r="26" spans="1:24">
      <c r="A26" s="216">
        <v>1</v>
      </c>
      <c r="B26" s="213" t="s">
        <v>233</v>
      </c>
      <c r="C26" s="327"/>
      <c r="D26" s="32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</row>
    <row r="27" spans="1:24">
      <c r="A27" s="214"/>
      <c r="B27" s="209" t="s">
        <v>234</v>
      </c>
      <c r="C27" s="310"/>
      <c r="D27" s="310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407"/>
      <c r="U27" s="208"/>
      <c r="V27" s="208"/>
      <c r="W27" s="208"/>
      <c r="X27" s="208"/>
    </row>
    <row r="28" spans="1:24">
      <c r="A28" s="214"/>
      <c r="B28" s="209" t="s">
        <v>235</v>
      </c>
      <c r="C28" s="310">
        <v>0</v>
      </c>
      <c r="D28" s="310">
        <v>0</v>
      </c>
      <c r="E28" s="227">
        <f>+('Nitric Acid'!C122/$D$3)*'bal sheet'!$D$12</f>
        <v>1666.2703561643834</v>
      </c>
      <c r="F28" s="227">
        <f>+('Nitric Acid'!D122/$D$3)*'bal sheet'!$D$12</f>
        <v>1874.5541506849315</v>
      </c>
      <c r="G28" s="227">
        <f>+('Nitric Acid'!E122/$D$3)*'bal sheet'!$D$12</f>
        <v>2082.8379452054796</v>
      </c>
      <c r="H28" s="227">
        <f>+('Nitric Acid'!F122/$D$3)*'bal sheet'!$D$12</f>
        <v>2082.8379452054796</v>
      </c>
      <c r="I28" s="227">
        <f>+('Nitric Acid'!G122/$D$3)*'bal sheet'!$D$12</f>
        <v>2082.8379452054796</v>
      </c>
      <c r="J28" s="227">
        <f>+('Nitric Acid'!H122/$D$3)*'bal sheet'!$D$12</f>
        <v>2082.8379452054796</v>
      </c>
      <c r="K28" s="227">
        <f>+('Nitric Acid'!I122/$D$3)*'bal sheet'!$D$12</f>
        <v>2082.8379452054796</v>
      </c>
      <c r="L28" s="227">
        <f>+('Nitric Acid'!J122/$D$3)*'bal sheet'!$D$12</f>
        <v>2082.8379452054796</v>
      </c>
      <c r="M28" s="227">
        <f>+('Nitric Acid'!K122/$D$3)*'bal sheet'!$D$12</f>
        <v>2082.8379452054796</v>
      </c>
      <c r="N28" s="227">
        <f>+('Nitric Acid'!L122/$D$3)*'bal sheet'!$D$12</f>
        <v>2082.8379452054796</v>
      </c>
      <c r="O28" s="227">
        <f>+('Nitric Acid'!M122/$D$3)*'bal sheet'!$D$12</f>
        <v>2082.8379452054796</v>
      </c>
      <c r="P28" s="227">
        <f>+('Nitric Acid'!N122/$D$3)*'bal sheet'!$D$12</f>
        <v>2082.8379452054796</v>
      </c>
      <c r="Q28" s="227">
        <f>+('Nitric Acid'!O122/$D$3)*'bal sheet'!$D$12</f>
        <v>2082.8379452054796</v>
      </c>
      <c r="R28" s="227">
        <f>+('Nitric Acid'!P122/$D$3)*'bal sheet'!$D$12</f>
        <v>2082.8379452054796</v>
      </c>
      <c r="S28" s="227">
        <f>+('Nitric Acid'!Q122/$D$3)*'bal sheet'!$D$12</f>
        <v>2082.8379452054796</v>
      </c>
      <c r="T28" s="227">
        <f>+('Nitric Acid'!R122/$D$3)*'bal sheet'!$D$12</f>
        <v>2082.8379452054796</v>
      </c>
      <c r="U28" s="227">
        <f>+('Nitric Acid'!S122/$D$3)*'bal sheet'!$D$12</f>
        <v>2082.8379452054796</v>
      </c>
      <c r="V28" s="227">
        <f>+('Nitric Acid'!T122/$D$3)*'bal sheet'!$D$12</f>
        <v>2082.8379452054796</v>
      </c>
      <c r="W28" s="227">
        <f>+('Nitric Acid'!U122/$D$3)*'bal sheet'!$D$12</f>
        <v>2082.8379452054796</v>
      </c>
      <c r="X28" s="227">
        <f>+('Nitric Acid'!V122/$D$3)*'bal sheet'!$D$12</f>
        <v>2082.8379452054796</v>
      </c>
    </row>
    <row r="29" spans="1:24">
      <c r="A29" s="214"/>
      <c r="B29" s="342" t="s">
        <v>256</v>
      </c>
      <c r="C29" s="311">
        <v>0</v>
      </c>
      <c r="D29" s="311">
        <v>0</v>
      </c>
      <c r="E29" s="227">
        <f>+('Nitric Acid'!C159/$D$3)*'bal sheet'!$D$15</f>
        <v>1719.6539641939721</v>
      </c>
      <c r="F29" s="227">
        <f>+('Nitric Acid'!D159/$D$3)*'bal sheet'!$D$15</f>
        <v>1910.3836397695886</v>
      </c>
      <c r="G29" s="227">
        <f>+('Nitric Acid'!E159/$D$3)*'bal sheet'!$D$15</f>
        <v>2101.3714277167805</v>
      </c>
      <c r="H29" s="227">
        <f>+('Nitric Acid'!F159/$D$3)*'bal sheet'!$D$15</f>
        <v>2108.5910490845031</v>
      </c>
      <c r="I29" s="227">
        <f>+('Nitric Acid'!G159/$D$3)*'bal sheet'!$D$15</f>
        <v>2116.0904640590111</v>
      </c>
      <c r="J29" s="227">
        <f>+('Nitric Acid'!H159/$D$3)*'bal sheet'!$D$15</f>
        <v>2123.8812266967948</v>
      </c>
      <c r="K29" s="227">
        <f>+('Nitric Acid'!I159/$D$3)*'bal sheet'!$D$15</f>
        <v>2131.9753956884556</v>
      </c>
      <c r="L29" s="227">
        <f>+('Nitric Acid'!J159/$D$3)*'bal sheet'!$D$15</f>
        <v>2140.3855573983465</v>
      </c>
      <c r="M29" s="227">
        <f>+('Nitric Acid'!K159/$D$3)*'bal sheet'!$D$15</f>
        <v>2149.1248499904386</v>
      </c>
      <c r="N29" s="227">
        <f>+('Nitric Acid'!L159/$D$3)*'bal sheet'!$D$15</f>
        <v>2158.2069886927425</v>
      </c>
      <c r="O29" s="227">
        <f>+('Nitric Acid'!M159/$D$3)*'bal sheet'!$D$15</f>
        <v>2167.6462922551877</v>
      </c>
      <c r="P29" s="227">
        <f>+('Nitric Acid'!N159/$D$3)*'bal sheet'!$D$15</f>
        <v>2177.4577106585321</v>
      </c>
      <c r="Q29" s="227">
        <f>+('Nitric Acid'!O159/$D$3)*'bal sheet'!$D$15</f>
        <v>2187.6568541347042</v>
      </c>
      <c r="R29" s="227">
        <f>+('Nitric Acid'!P159/$D$3)*'bal sheet'!$D$15</f>
        <v>2198.2600235619234</v>
      </c>
      <c r="S29" s="227">
        <f>+('Nitric Acid'!Q159/$D$3)*'bal sheet'!$D$15</f>
        <v>2209.2842423010616</v>
      </c>
      <c r="T29" s="227">
        <f>+('Nitric Acid'!R159/$D$3)*'bal sheet'!$D$15</f>
        <v>2220.7472895429305</v>
      </c>
      <c r="U29" s="227">
        <f>+('Nitric Acid'!S159/$D$3)*'bal sheet'!$D$15</f>
        <v>2232.6677352396391</v>
      </c>
      <c r="V29" s="227">
        <f>+('Nitric Acid'!T159/$D$3)*'bal sheet'!$D$15</f>
        <v>2245.0649766967126</v>
      </c>
      <c r="W29" s="227">
        <f>+('Nitric Acid'!U159/$D$3)*'bal sheet'!$D$15</f>
        <v>2257.9592769064352</v>
      </c>
      <c r="X29" s="227">
        <f>+('Nitric Acid'!V159/$D$3)*'bal sheet'!$D$15</f>
        <v>2271.3718047068332</v>
      </c>
    </row>
    <row r="30" spans="1:24">
      <c r="A30" s="214"/>
      <c r="B30" s="212" t="s">
        <v>236</v>
      </c>
      <c r="C30" s="312">
        <v>0</v>
      </c>
      <c r="D30" s="312">
        <v>0</v>
      </c>
      <c r="E30" s="227">
        <f>+(('Nitric Acid'!C126+'Nitric Acid'!C128+'Nitric Acid'!C133+'Nitric Acid'!C135)/$D$3)*'bal sheet'!$D$6</f>
        <v>561.43171232876716</v>
      </c>
      <c r="F30" s="227">
        <f>+('Nitric Acid'!D126/$D$3)*'bal sheet'!$D$6</f>
        <v>512.85136130136982</v>
      </c>
      <c r="G30" s="227">
        <f>+('Nitric Acid'!E126/$D$3)*'bal sheet'!$D$6</f>
        <v>569.83484589041097</v>
      </c>
      <c r="H30" s="227">
        <f>+('Nitric Acid'!F126/$D$3)*'bal sheet'!$D$6</f>
        <v>569.83484589041097</v>
      </c>
      <c r="I30" s="227">
        <f>+('Nitric Acid'!G126/$D$3)*'bal sheet'!$D$6</f>
        <v>569.83484589041097</v>
      </c>
      <c r="J30" s="227">
        <f>+('Nitric Acid'!H126/$D$3)*'bal sheet'!$D$6</f>
        <v>569.83484589041097</v>
      </c>
      <c r="K30" s="227">
        <f>+('Nitric Acid'!I126/$D$3)*'bal sheet'!$D$6</f>
        <v>569.83484589041097</v>
      </c>
      <c r="L30" s="227">
        <f>+('Nitric Acid'!J126/$D$3)*'bal sheet'!$D$6</f>
        <v>569.83484589041097</v>
      </c>
      <c r="M30" s="227">
        <f>+('Nitric Acid'!K126/$D$3)*'bal sheet'!$D$6</f>
        <v>569.83484589041097</v>
      </c>
      <c r="N30" s="227">
        <f>+('Nitric Acid'!L126/$D$3)*'bal sheet'!$D$6</f>
        <v>569.83484589041097</v>
      </c>
      <c r="O30" s="227">
        <f>+('Nitric Acid'!M126/$D$3)*'bal sheet'!$D$6</f>
        <v>569.83484589041097</v>
      </c>
      <c r="P30" s="227">
        <f>+('Nitric Acid'!N126/$D$3)*'bal sheet'!$D$6</f>
        <v>569.83484589041097</v>
      </c>
      <c r="Q30" s="227">
        <f>+('Nitric Acid'!O126/$D$3)*'bal sheet'!$D$6</f>
        <v>569.83484589041097</v>
      </c>
      <c r="R30" s="227">
        <f>+('Nitric Acid'!P126/$D$3)*'bal sheet'!$D$6</f>
        <v>569.83484589041097</v>
      </c>
      <c r="S30" s="227">
        <f>+('Nitric Acid'!Q126/$D$3)*'bal sheet'!$D$6</f>
        <v>569.83484589041097</v>
      </c>
      <c r="T30" s="227">
        <f>+('Nitric Acid'!R126/$D$3)*'bal sheet'!$D$6</f>
        <v>569.83484589041097</v>
      </c>
      <c r="U30" s="227">
        <f>+('Nitric Acid'!S126/$D$3)*'bal sheet'!$D$6</f>
        <v>569.83484589041097</v>
      </c>
      <c r="V30" s="227">
        <f>+('Nitric Acid'!T126/$D$3)*'bal sheet'!$D$6</f>
        <v>569.83484589041097</v>
      </c>
      <c r="W30" s="227">
        <f>+('Nitric Acid'!U126/$D$3)*'bal sheet'!$D$6</f>
        <v>569.83484589041097</v>
      </c>
      <c r="X30" s="227">
        <f>+('Nitric Acid'!V126/$D$3)*'bal sheet'!$D$6</f>
        <v>569.83484589041097</v>
      </c>
    </row>
    <row r="31" spans="1:24">
      <c r="A31" s="214"/>
      <c r="B31" s="209" t="s">
        <v>383</v>
      </c>
      <c r="C31" s="336">
        <f>+G31/2</f>
        <v>41.896701369863017</v>
      </c>
      <c r="D31" s="313">
        <f>+E31</f>
        <v>79.875936986301369</v>
      </c>
      <c r="E31" s="227">
        <f>+('Nitric Acid'!C151+'Nitric Acid'!C153)/'bal sheet'!$D$3*'bal sheet'!$D$18</f>
        <v>79.875936986301369</v>
      </c>
      <c r="F31" s="227">
        <f>+('Nitric Acid'!D151+'Nitric Acid'!D153)/'bal sheet'!$D$3*'bal sheet'!$D$18</f>
        <v>81.78689589041096</v>
      </c>
      <c r="G31" s="227">
        <f>+('Nitric Acid'!E151+'Nitric Acid'!E153)/'bal sheet'!$D$3*'bal sheet'!$D$18</f>
        <v>83.793402739726034</v>
      </c>
      <c r="H31" s="227">
        <f>+('Nitric Acid'!F151+'Nitric Acid'!F153)/'bal sheet'!$D$3*'bal sheet'!$D$18</f>
        <v>85.900234931506859</v>
      </c>
      <c r="I31" s="227">
        <f>+('Nitric Acid'!G151+'Nitric Acid'!G153)/'bal sheet'!$D$3*'bal sheet'!$D$18</f>
        <v>88.11240873287673</v>
      </c>
      <c r="J31" s="227">
        <f>+('Nitric Acid'!H151+'Nitric Acid'!H153)/'bal sheet'!$D$3*'bal sheet'!$D$18</f>
        <v>90.435191224315076</v>
      </c>
      <c r="K31" s="227">
        <f>+('Nitric Acid'!I151+'Nitric Acid'!I153)/'bal sheet'!$D$3*'bal sheet'!$D$18</f>
        <v>92.874112840325367</v>
      </c>
      <c r="L31" s="227">
        <f>+('Nitric Acid'!J151+'Nitric Acid'!J153)/'bal sheet'!$D$3*'bal sheet'!$D$18</f>
        <v>95.434980537136155</v>
      </c>
      <c r="M31" s="227">
        <f>+('Nitric Acid'!K151+'Nitric Acid'!K153)/'bal sheet'!$D$3*'bal sheet'!$D$18</f>
        <v>98.123891618787482</v>
      </c>
      <c r="N31" s="227">
        <f>+('Nitric Acid'!L151+'Nitric Acid'!L153)/'bal sheet'!$D$3*'bal sheet'!$D$18</f>
        <v>100.94724825452138</v>
      </c>
      <c r="O31" s="227">
        <f>+('Nitric Acid'!M151+'Nitric Acid'!M153)/'bal sheet'!$D$3*'bal sheet'!$D$18</f>
        <v>103.91177272204196</v>
      </c>
      <c r="P31" s="227">
        <f>+('Nitric Acid'!N151+'Nitric Acid'!N153)/'bal sheet'!$D$3*'bal sheet'!$D$18</f>
        <v>107.02452341293858</v>
      </c>
      <c r="Q31" s="227">
        <f>+('Nitric Acid'!O151+'Nitric Acid'!O153)/'bal sheet'!$D$3*'bal sheet'!$D$18</f>
        <v>110.29291163838003</v>
      </c>
      <c r="R31" s="227">
        <f>+('Nitric Acid'!P151+'Nitric Acid'!P153)/'bal sheet'!$D$3*'bal sheet'!$D$18</f>
        <v>113.72471927509356</v>
      </c>
      <c r="S31" s="227">
        <f>+('Nitric Acid'!Q151+'Nitric Acid'!Q153)/'bal sheet'!$D$3*'bal sheet'!$D$18</f>
        <v>117.32811729364278</v>
      </c>
      <c r="T31" s="227">
        <f>+('Nitric Acid'!R151+'Nitric Acid'!R153)/'bal sheet'!$D$3*'bal sheet'!$D$18</f>
        <v>121.11168521311942</v>
      </c>
      <c r="U31" s="227">
        <f>+('Nitric Acid'!S151+'Nitric Acid'!S153)/'bal sheet'!$D$3*'bal sheet'!$D$18</f>
        <v>125.08443152856989</v>
      </c>
      <c r="V31" s="227">
        <f>+('Nitric Acid'!T151+'Nitric Acid'!T153)/'bal sheet'!$D$3*'bal sheet'!$D$18</f>
        <v>129.25581515979292</v>
      </c>
      <c r="W31" s="227">
        <f>+('Nitric Acid'!U151+'Nitric Acid'!U153)/'bal sheet'!$D$3*'bal sheet'!$D$18</f>
        <v>133.6357679725771</v>
      </c>
      <c r="X31" s="227">
        <f>+('Nitric Acid'!V151+'Nitric Acid'!V153)/'bal sheet'!$D$3*'bal sheet'!$D$18</f>
        <v>138.23471842600048</v>
      </c>
    </row>
    <row r="32" spans="1:24">
      <c r="A32" s="214"/>
      <c r="B32" s="245" t="s">
        <v>237</v>
      </c>
      <c r="C32" s="337">
        <f>SUM(C28:C31)</f>
        <v>41.896701369863017</v>
      </c>
      <c r="D32" s="314">
        <f>SUM(D28:D31)</f>
        <v>79.875936986301369</v>
      </c>
      <c r="E32" s="246">
        <f>SUM(E28:E31)</f>
        <v>4027.2319696734244</v>
      </c>
      <c r="F32" s="246">
        <f t="shared" ref="F32:S32" si="0">SUM(F28:F31)</f>
        <v>4379.576047646301</v>
      </c>
      <c r="G32" s="246">
        <f t="shared" si="0"/>
        <v>4837.8376215523967</v>
      </c>
      <c r="H32" s="246">
        <f t="shared" si="0"/>
        <v>4847.1640751119012</v>
      </c>
      <c r="I32" s="246">
        <f t="shared" si="0"/>
        <v>4856.8756638877785</v>
      </c>
      <c r="J32" s="246">
        <f t="shared" si="0"/>
        <v>4866.9892090169997</v>
      </c>
      <c r="K32" s="246">
        <f t="shared" si="0"/>
        <v>4877.5222996246721</v>
      </c>
      <c r="L32" s="246">
        <f t="shared" si="0"/>
        <v>4888.4933290313729</v>
      </c>
      <c r="M32" s="246">
        <f t="shared" si="0"/>
        <v>4899.921532705117</v>
      </c>
      <c r="N32" s="246">
        <f t="shared" si="0"/>
        <v>4911.8270280431543</v>
      </c>
      <c r="O32" s="246">
        <f t="shared" si="0"/>
        <v>4924.2308560731199</v>
      </c>
      <c r="P32" s="246">
        <f t="shared" si="0"/>
        <v>4937.1550251673616</v>
      </c>
      <c r="Q32" s="246">
        <f t="shared" si="0"/>
        <v>4950.6225568689752</v>
      </c>
      <c r="R32" s="246">
        <f t="shared" si="0"/>
        <v>4964.6575339329074</v>
      </c>
      <c r="S32" s="246">
        <f t="shared" si="0"/>
        <v>4979.2851506905954</v>
      </c>
      <c r="T32" s="246">
        <f t="shared" ref="T32:X32" si="1">SUM(T28:T31)</f>
        <v>4994.5317658519407</v>
      </c>
      <c r="U32" s="246">
        <f t="shared" si="1"/>
        <v>5010.4249578640993</v>
      </c>
      <c r="V32" s="246">
        <f t="shared" si="1"/>
        <v>5026.9935829523965</v>
      </c>
      <c r="W32" s="246">
        <f t="shared" si="1"/>
        <v>5044.2678359749025</v>
      </c>
      <c r="X32" s="246">
        <f t="shared" si="1"/>
        <v>5062.2793142287246</v>
      </c>
    </row>
    <row r="33" spans="1:24">
      <c r="A33" s="216">
        <v>2</v>
      </c>
      <c r="B33" s="242" t="s">
        <v>238</v>
      </c>
      <c r="C33" s="315">
        <v>0</v>
      </c>
      <c r="D33" s="315">
        <v>0</v>
      </c>
      <c r="E33" s="227">
        <f ca="1">'Nitric Acid'!E208</f>
        <v>200.00000000000023</v>
      </c>
      <c r="F33" s="227">
        <f ca="1">'Nitric Acid'!F208</f>
        <v>200.00000000000023</v>
      </c>
      <c r="G33" s="227">
        <f ca="1">'Nitric Acid'!G208</f>
        <v>200.00000000000023</v>
      </c>
      <c r="H33" s="227">
        <f ca="1">'Nitric Acid'!H208</f>
        <v>200.00000000000023</v>
      </c>
      <c r="I33" s="227">
        <f ca="1">'Nitric Acid'!I208</f>
        <v>200.00000000000023</v>
      </c>
      <c r="J33" s="227">
        <f ca="1">'Nitric Acid'!J208</f>
        <v>200.00000000000023</v>
      </c>
      <c r="K33" s="227">
        <f ca="1">'Nitric Acid'!K208</f>
        <v>533.17809955498728</v>
      </c>
      <c r="L33" s="227">
        <f ca="1">'Nitric Acid'!L208</f>
        <v>2979.2772589599099</v>
      </c>
      <c r="M33" s="227">
        <f ca="1">'Nitric Acid'!M208</f>
        <v>9873.0651598081313</v>
      </c>
      <c r="N33" s="227">
        <f ca="1">'Nitric Acid'!N208</f>
        <v>16705.580497629686</v>
      </c>
      <c r="O33" s="227">
        <f ca="1">'Nitric Acid'!O208</f>
        <v>22210.325029291824</v>
      </c>
      <c r="P33" s="227">
        <f ca="1">'Nitric Acid'!P208</f>
        <v>27516.509989727783</v>
      </c>
      <c r="Q33" s="227">
        <f ca="1">'Nitric Acid'!Q208</f>
        <v>32721.429193098662</v>
      </c>
      <c r="R33" s="227">
        <f ca="1">'Nitric Acid'!R208</f>
        <v>37829.806495017889</v>
      </c>
      <c r="S33" s="227">
        <f ca="1">'Nitric Acid'!S208</f>
        <v>42845.258397973637</v>
      </c>
      <c r="T33" s="227">
        <f ca="1">'Nitric Acid'!T208</f>
        <v>47769.440915189036</v>
      </c>
      <c r="U33" s="227">
        <f ca="1">'Nitric Acid'!U208</f>
        <v>52604.17376755055</v>
      </c>
      <c r="V33" s="227">
        <f ca="1">'Nitric Acid'!V208</f>
        <v>57350.545261153486</v>
      </c>
      <c r="W33" s="227">
        <f ca="1">'Nitric Acid'!W208</f>
        <v>62009.000690673973</v>
      </c>
      <c r="X33" s="227">
        <f ca="1">'Nitric Acid'!X208</f>
        <v>66579.416686546814</v>
      </c>
    </row>
    <row r="34" spans="1:24">
      <c r="A34" s="216">
        <v>3</v>
      </c>
      <c r="B34" s="213" t="s">
        <v>239</v>
      </c>
      <c r="C34" s="327"/>
      <c r="D34" s="327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</row>
    <row r="35" spans="1:24">
      <c r="A35" s="214"/>
      <c r="B35" s="209" t="s">
        <v>240</v>
      </c>
      <c r="C35" s="227">
        <f>+'Nitric Acid'!D36</f>
        <v>14165.411041475507</v>
      </c>
      <c r="D35" s="227">
        <f>+E35</f>
        <v>46362.494062500002</v>
      </c>
      <c r="E35" s="227">
        <f>+'Nitric Acid'!C32-'Project Cost'!I13</f>
        <v>46362.494062500002</v>
      </c>
      <c r="F35" s="227">
        <f>E35</f>
        <v>46362.494062500002</v>
      </c>
      <c r="G35" s="227">
        <f t="shared" ref="G35:S35" si="2">F35</f>
        <v>46362.494062500002</v>
      </c>
      <c r="H35" s="227">
        <f t="shared" si="2"/>
        <v>46362.494062500002</v>
      </c>
      <c r="I35" s="227">
        <f t="shared" si="2"/>
        <v>46362.494062500002</v>
      </c>
      <c r="J35" s="227">
        <f t="shared" si="2"/>
        <v>46362.494062500002</v>
      </c>
      <c r="K35" s="227">
        <f t="shared" si="2"/>
        <v>46362.494062500002</v>
      </c>
      <c r="L35" s="227">
        <f t="shared" si="2"/>
        <v>46362.494062500002</v>
      </c>
      <c r="M35" s="227">
        <f t="shared" si="2"/>
        <v>46362.494062500002</v>
      </c>
      <c r="N35" s="227">
        <f t="shared" si="2"/>
        <v>46362.494062500002</v>
      </c>
      <c r="O35" s="227">
        <f t="shared" si="2"/>
        <v>46362.494062500002</v>
      </c>
      <c r="P35" s="227">
        <f t="shared" si="2"/>
        <v>46362.494062500002</v>
      </c>
      <c r="Q35" s="227">
        <f t="shared" si="2"/>
        <v>46362.494062500002</v>
      </c>
      <c r="R35" s="227">
        <f t="shared" si="2"/>
        <v>46362.494062500002</v>
      </c>
      <c r="S35" s="227">
        <f t="shared" si="2"/>
        <v>46362.494062500002</v>
      </c>
      <c r="T35" s="227">
        <f t="shared" ref="T35" si="3">S35</f>
        <v>46362.494062500002</v>
      </c>
      <c r="U35" s="227">
        <f t="shared" ref="U35" si="4">T35</f>
        <v>46362.494062500002</v>
      </c>
      <c r="V35" s="227">
        <f t="shared" ref="V35" si="5">U35</f>
        <v>46362.494062500002</v>
      </c>
      <c r="W35" s="227">
        <f t="shared" ref="W35" si="6">V35</f>
        <v>46362.494062500002</v>
      </c>
      <c r="X35" s="227">
        <f t="shared" ref="X35" si="7">W35</f>
        <v>46362.494062500002</v>
      </c>
    </row>
    <row r="36" spans="1:24">
      <c r="A36" s="214"/>
      <c r="B36" s="212" t="s">
        <v>241</v>
      </c>
      <c r="C36" s="312">
        <v>0</v>
      </c>
      <c r="D36" s="312">
        <v>0</v>
      </c>
      <c r="E36" s="229">
        <f>SUM('Nitric Acid'!$C$166:'Nitric Acid'!C166)</f>
        <v>2161.988996302438</v>
      </c>
      <c r="F36" s="229">
        <f>SUM('Nitric Acid'!$C$166:'Nitric Acid'!D166)</f>
        <v>4323.9779926048759</v>
      </c>
      <c r="G36" s="229">
        <f>SUM('Nitric Acid'!$C$166:'Nitric Acid'!E166)</f>
        <v>6485.9669889073139</v>
      </c>
      <c r="H36" s="229">
        <f>SUM('Nitric Acid'!$C$166:'Nitric Acid'!F166)</f>
        <v>8647.9559852097518</v>
      </c>
      <c r="I36" s="229">
        <f>SUM('Nitric Acid'!$C$166:'Nitric Acid'!G166)</f>
        <v>10809.94498151219</v>
      </c>
      <c r="J36" s="229">
        <f>SUM('Nitric Acid'!$C$166:'Nitric Acid'!H166)</f>
        <v>12971.933977814628</v>
      </c>
      <c r="K36" s="229">
        <f>SUM('Nitric Acid'!$C$166:'Nitric Acid'!I166)</f>
        <v>15133.922974117066</v>
      </c>
      <c r="L36" s="229">
        <f>SUM('Nitric Acid'!$C$166:'Nitric Acid'!J166)</f>
        <v>17295.911970419504</v>
      </c>
      <c r="M36" s="229">
        <f>SUM('Nitric Acid'!$C$166:'Nitric Acid'!K166)</f>
        <v>19457.900966721943</v>
      </c>
      <c r="N36" s="229">
        <f>SUM('Nitric Acid'!$C$166:'Nitric Acid'!L166)</f>
        <v>21619.889963024383</v>
      </c>
      <c r="O36" s="229">
        <f>SUM('Nitric Acid'!$C$166:'Nitric Acid'!M166)</f>
        <v>23781.878959326823</v>
      </c>
      <c r="P36" s="229">
        <f>SUM('Nitric Acid'!$C$166:'Nitric Acid'!N166)</f>
        <v>25943.867955629263</v>
      </c>
      <c r="Q36" s="229">
        <f>SUM('Nitric Acid'!$C$166:'Nitric Acid'!O166)</f>
        <v>28105.856951931702</v>
      </c>
      <c r="R36" s="229">
        <f>SUM('Nitric Acid'!$C$166:'Nitric Acid'!P166)</f>
        <v>30267.845948234142</v>
      </c>
      <c r="S36" s="229">
        <f>SUM('Nitric Acid'!$C$166:'Nitric Acid'!Q166)</f>
        <v>32429.834944536582</v>
      </c>
      <c r="T36" s="229">
        <f>SUM('Nitric Acid'!$C$166:'Nitric Acid'!R166)</f>
        <v>34591.823940839022</v>
      </c>
      <c r="U36" s="229">
        <f>SUM('Nitric Acid'!$C$166:'Nitric Acid'!S166)</f>
        <v>36753.812937141462</v>
      </c>
      <c r="V36" s="229">
        <f>SUM('Nitric Acid'!$C$166:'Nitric Acid'!T166)</f>
        <v>38915.801933443901</v>
      </c>
      <c r="W36" s="229">
        <f>SUM('Nitric Acid'!$C$166:'Nitric Acid'!U166)</f>
        <v>41077.790929746341</v>
      </c>
      <c r="X36" s="229">
        <f>SUM('Nitric Acid'!$C$166:'Nitric Acid'!V166)</f>
        <v>43239.779926048781</v>
      </c>
    </row>
    <row r="37" spans="1:24">
      <c r="A37" s="214"/>
      <c r="B37" s="209" t="s">
        <v>242</v>
      </c>
      <c r="C37" s="227">
        <f t="shared" ref="C37:D37" si="8">C35-C36</f>
        <v>14165.411041475507</v>
      </c>
      <c r="D37" s="227">
        <f t="shared" si="8"/>
        <v>46362.494062500002</v>
      </c>
      <c r="E37" s="227">
        <f>E35-E36</f>
        <v>44200.505066197562</v>
      </c>
      <c r="F37" s="227">
        <f t="shared" ref="F37:S37" si="9">F35-F36</f>
        <v>42038.516069895122</v>
      </c>
      <c r="G37" s="227">
        <f t="shared" si="9"/>
        <v>39876.52707359269</v>
      </c>
      <c r="H37" s="227">
        <f t="shared" si="9"/>
        <v>37714.53807729025</v>
      </c>
      <c r="I37" s="227">
        <f t="shared" si="9"/>
        <v>35552.54908098781</v>
      </c>
      <c r="J37" s="227">
        <f t="shared" si="9"/>
        <v>33390.560084685378</v>
      </c>
      <c r="K37" s="227">
        <f t="shared" si="9"/>
        <v>31228.571088382938</v>
      </c>
      <c r="L37" s="227">
        <f t="shared" si="9"/>
        <v>29066.582092080498</v>
      </c>
      <c r="M37" s="227">
        <f t="shared" si="9"/>
        <v>26904.593095778058</v>
      </c>
      <c r="N37" s="227">
        <f t="shared" si="9"/>
        <v>24742.604099475619</v>
      </c>
      <c r="O37" s="227">
        <f t="shared" si="9"/>
        <v>22580.615103173179</v>
      </c>
      <c r="P37" s="227">
        <f t="shared" si="9"/>
        <v>20418.626106870739</v>
      </c>
      <c r="Q37" s="227">
        <f t="shared" si="9"/>
        <v>18256.637110568299</v>
      </c>
      <c r="R37" s="227">
        <f t="shared" si="9"/>
        <v>16094.648114265859</v>
      </c>
      <c r="S37" s="227">
        <f t="shared" si="9"/>
        <v>13932.65911796342</v>
      </c>
      <c r="T37" s="227">
        <f t="shared" ref="T37:X37" si="10">T35-T36</f>
        <v>11770.67012166098</v>
      </c>
      <c r="U37" s="227">
        <f t="shared" si="10"/>
        <v>9608.6811253585402</v>
      </c>
      <c r="V37" s="227">
        <f t="shared" si="10"/>
        <v>7446.6921290561004</v>
      </c>
      <c r="W37" s="227">
        <f t="shared" si="10"/>
        <v>5284.7031327536606</v>
      </c>
      <c r="X37" s="227">
        <f t="shared" si="10"/>
        <v>3122.7141364512208</v>
      </c>
    </row>
    <row r="38" spans="1:24">
      <c r="A38" s="211" t="s">
        <v>205</v>
      </c>
      <c r="B38" s="213" t="s">
        <v>243</v>
      </c>
      <c r="C38" s="232">
        <f t="shared" ref="C38:D38" si="11">C32+C33+C37</f>
        <v>14207.307742845371</v>
      </c>
      <c r="D38" s="232">
        <f t="shared" si="11"/>
        <v>46442.369999486305</v>
      </c>
      <c r="E38" s="232">
        <f ca="1">E32+E33+E37</f>
        <v>48427.737035870989</v>
      </c>
      <c r="F38" s="232">
        <f t="shared" ref="F38:S38" ca="1" si="12">F32+F33+F37</f>
        <v>46618.092117541426</v>
      </c>
      <c r="G38" s="232">
        <f t="shared" ca="1" si="12"/>
        <v>44914.364695145086</v>
      </c>
      <c r="H38" s="232">
        <f t="shared" ca="1" si="12"/>
        <v>42761.702152402155</v>
      </c>
      <c r="I38" s="232">
        <f t="shared" ca="1" si="12"/>
        <v>40609.424744875592</v>
      </c>
      <c r="J38" s="232">
        <f t="shared" ca="1" si="12"/>
        <v>38457.549293702381</v>
      </c>
      <c r="K38" s="232">
        <f t="shared" ca="1" si="12"/>
        <v>36639.271487562597</v>
      </c>
      <c r="L38" s="232">
        <f t="shared" ca="1" si="12"/>
        <v>36934.352680071781</v>
      </c>
      <c r="M38" s="232">
        <f t="shared" ca="1" si="12"/>
        <v>41677.579788291303</v>
      </c>
      <c r="N38" s="232">
        <f t="shared" ca="1" si="12"/>
        <v>46360.011625148458</v>
      </c>
      <c r="O38" s="232">
        <f t="shared" ca="1" si="12"/>
        <v>49715.170988538121</v>
      </c>
      <c r="P38" s="232">
        <f t="shared" ca="1" si="12"/>
        <v>52872.291121765884</v>
      </c>
      <c r="Q38" s="232">
        <f t="shared" ca="1" si="12"/>
        <v>55928.688860535935</v>
      </c>
      <c r="R38" s="232">
        <f t="shared" ca="1" si="12"/>
        <v>58889.112143216655</v>
      </c>
      <c r="S38" s="232">
        <f t="shared" ca="1" si="12"/>
        <v>61757.202666627651</v>
      </c>
      <c r="T38" s="232">
        <f t="shared" ref="T38:X38" ca="1" si="13">T32+T33+T37</f>
        <v>64534.642802701957</v>
      </c>
      <c r="U38" s="232">
        <f t="shared" ca="1" si="13"/>
        <v>67223.279850773193</v>
      </c>
      <c r="V38" s="232">
        <f t="shared" ca="1" si="13"/>
        <v>69824.23097316199</v>
      </c>
      <c r="W38" s="232">
        <f t="shared" ca="1" si="13"/>
        <v>72337.971659402538</v>
      </c>
      <c r="X38" s="232">
        <f t="shared" ca="1" si="13"/>
        <v>74764.410137226761</v>
      </c>
    </row>
    <row r="39" spans="1:24">
      <c r="A39" s="216" t="s">
        <v>42</v>
      </c>
      <c r="B39" s="213" t="s">
        <v>244</v>
      </c>
      <c r="C39" s="327"/>
      <c r="D39" s="327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</row>
    <row r="40" spans="1:24">
      <c r="A40" s="216">
        <v>1</v>
      </c>
      <c r="B40" s="213" t="s">
        <v>245</v>
      </c>
      <c r="C40" s="327"/>
      <c r="D40" s="327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</row>
    <row r="41" spans="1:24">
      <c r="A41" s="214"/>
      <c r="B41" s="209" t="s">
        <v>246</v>
      </c>
      <c r="C41" s="310">
        <v>0</v>
      </c>
      <c r="D41" s="310">
        <v>0</v>
      </c>
      <c r="E41" s="227">
        <f>$D$9*'Nitric Acid'!$C$40*'Nitric Acid'!$C$3*'Nitric Acid'!$C$12*E24/100000</f>
        <v>605.06100000000004</v>
      </c>
      <c r="F41" s="227">
        <f>$D$9*'Nitric Acid'!$C$40*'Nitric Acid'!$C$3*'Nitric Acid'!$C$12*F24/100000</f>
        <v>680.693625</v>
      </c>
      <c r="G41" s="227">
        <f>$D$9*'Nitric Acid'!$C$40*'Nitric Acid'!$C$3*'Nitric Acid'!$C$12*G24/100000</f>
        <v>756.32624999999996</v>
      </c>
      <c r="H41" s="227">
        <f>$D$9*'Nitric Acid'!$C$40*'Nitric Acid'!$C$3*'Nitric Acid'!$C$12*H24/100000</f>
        <v>756.32624999999996</v>
      </c>
      <c r="I41" s="227">
        <f>$D$9*'Nitric Acid'!$C$40*'Nitric Acid'!$C$3*'Nitric Acid'!$C$12*I24/100000</f>
        <v>756.32624999999996</v>
      </c>
      <c r="J41" s="227">
        <f>$D$9*'Nitric Acid'!$C$40*'Nitric Acid'!$C$3*'Nitric Acid'!$C$12*J24/100000</f>
        <v>756.32624999999996</v>
      </c>
      <c r="K41" s="227">
        <f>$D$9*'Nitric Acid'!$C$40*'Nitric Acid'!$C$3*'Nitric Acid'!$C$12*K24/100000</f>
        <v>756.32624999999996</v>
      </c>
      <c r="L41" s="227">
        <f>$D$9*'Nitric Acid'!$C$40*'Nitric Acid'!$C$3*'Nitric Acid'!$C$12*L24/100000</f>
        <v>756.32624999999996</v>
      </c>
      <c r="M41" s="227">
        <f>$D$9*'Nitric Acid'!$C$40*'Nitric Acid'!$C$3*'Nitric Acid'!$C$12*M24/100000</f>
        <v>756.32624999999996</v>
      </c>
      <c r="N41" s="227">
        <f>$D$9*'Nitric Acid'!$C$40*'Nitric Acid'!$C$3*'Nitric Acid'!$C$12*N24/100000</f>
        <v>756.32624999999996</v>
      </c>
      <c r="O41" s="227">
        <f>$D$9*'Nitric Acid'!$C$40*'Nitric Acid'!$C$3*'Nitric Acid'!$C$12*O24/100000</f>
        <v>756.32624999999996</v>
      </c>
      <c r="P41" s="227">
        <f>$D$9*'Nitric Acid'!$C$40*'Nitric Acid'!$C$3*'Nitric Acid'!$C$12*P24/100000</f>
        <v>756.32624999999996</v>
      </c>
      <c r="Q41" s="227">
        <f>$D$9*'Nitric Acid'!$C$40*'Nitric Acid'!$C$3*'Nitric Acid'!$C$12*Q24/100000</f>
        <v>756.32624999999996</v>
      </c>
      <c r="R41" s="227">
        <f>$D$9*'Nitric Acid'!$C$40*'Nitric Acid'!$C$3*'Nitric Acid'!$C$12*R24/100000</f>
        <v>756.32624999999996</v>
      </c>
      <c r="S41" s="227">
        <f>$D$9*'Nitric Acid'!$C$40*'Nitric Acid'!$C$3*'Nitric Acid'!$C$12*S24/100000</f>
        <v>756.32624999999996</v>
      </c>
      <c r="T41" s="227">
        <f>$D$9*'Nitric Acid'!$C$40*'Nitric Acid'!$C$3*'Nitric Acid'!$C$12*T24/100000</f>
        <v>756.32624999999996</v>
      </c>
      <c r="U41" s="227">
        <f>$D$9*'Nitric Acid'!$C$40*'Nitric Acid'!$C$3*'Nitric Acid'!$C$12*U24/100000</f>
        <v>756.32624999999996</v>
      </c>
      <c r="V41" s="227">
        <f>$D$9*'Nitric Acid'!$C$40*'Nitric Acid'!$C$3*'Nitric Acid'!$C$12*V24/100000</f>
        <v>756.32624999999996</v>
      </c>
      <c r="W41" s="227">
        <f>$D$9*'Nitric Acid'!$C$40*'Nitric Acid'!$C$3*'Nitric Acid'!$C$12*W24/100000</f>
        <v>756.32624999999996</v>
      </c>
      <c r="X41" s="227">
        <f>$D$9*'Nitric Acid'!$C$40*'Nitric Acid'!$C$3*'Nitric Acid'!$C$12*X24/100000</f>
        <v>756.32624999999996</v>
      </c>
    </row>
    <row r="42" spans="1:24">
      <c r="A42" s="214"/>
      <c r="B42" s="209" t="s">
        <v>247</v>
      </c>
      <c r="C42" s="336">
        <f>+C31</f>
        <v>41.896701369863017</v>
      </c>
      <c r="D42" s="313">
        <f>+D31</f>
        <v>79.875936986301369</v>
      </c>
      <c r="E42" s="227">
        <v>0</v>
      </c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</row>
    <row r="43" spans="1:24">
      <c r="A43" s="214"/>
      <c r="B43" s="213" t="s">
        <v>248</v>
      </c>
      <c r="C43" s="227">
        <f t="shared" ref="C43:D43" si="14">SUM(C41:C42)</f>
        <v>41.896701369863017</v>
      </c>
      <c r="D43" s="227">
        <f t="shared" si="14"/>
        <v>79.875936986301369</v>
      </c>
      <c r="E43" s="227">
        <f>SUM(E41:E42)</f>
        <v>605.06100000000004</v>
      </c>
      <c r="F43" s="227">
        <f t="shared" ref="F43:S43" si="15">SUM(F41:F42)</f>
        <v>680.693625</v>
      </c>
      <c r="G43" s="227">
        <f t="shared" si="15"/>
        <v>756.32624999999996</v>
      </c>
      <c r="H43" s="227">
        <f t="shared" si="15"/>
        <v>756.32624999999996</v>
      </c>
      <c r="I43" s="227">
        <f t="shared" si="15"/>
        <v>756.32624999999996</v>
      </c>
      <c r="J43" s="227">
        <f t="shared" si="15"/>
        <v>756.32624999999996</v>
      </c>
      <c r="K43" s="227">
        <f t="shared" si="15"/>
        <v>756.32624999999996</v>
      </c>
      <c r="L43" s="227">
        <f t="shared" si="15"/>
        <v>756.32624999999996</v>
      </c>
      <c r="M43" s="227">
        <f t="shared" si="15"/>
        <v>756.32624999999996</v>
      </c>
      <c r="N43" s="227">
        <f t="shared" si="15"/>
        <v>756.32624999999996</v>
      </c>
      <c r="O43" s="227">
        <f t="shared" si="15"/>
        <v>756.32624999999996</v>
      </c>
      <c r="P43" s="227">
        <f t="shared" si="15"/>
        <v>756.32624999999996</v>
      </c>
      <c r="Q43" s="227">
        <f t="shared" si="15"/>
        <v>756.32624999999996</v>
      </c>
      <c r="R43" s="227">
        <f t="shared" si="15"/>
        <v>756.32624999999996</v>
      </c>
      <c r="S43" s="227">
        <f t="shared" si="15"/>
        <v>756.32624999999996</v>
      </c>
      <c r="T43" s="227">
        <f t="shared" ref="T43:X43" si="16">SUM(T41:T42)</f>
        <v>756.32624999999996</v>
      </c>
      <c r="U43" s="227">
        <f t="shared" si="16"/>
        <v>756.32624999999996</v>
      </c>
      <c r="V43" s="227">
        <f t="shared" si="16"/>
        <v>756.32624999999996</v>
      </c>
      <c r="W43" s="227">
        <f t="shared" si="16"/>
        <v>756.32624999999996</v>
      </c>
      <c r="X43" s="227">
        <f t="shared" si="16"/>
        <v>756.32624999999996</v>
      </c>
    </row>
    <row r="44" spans="1:24">
      <c r="A44" s="223">
        <v>2</v>
      </c>
      <c r="B44" s="224" t="s">
        <v>249</v>
      </c>
      <c r="C44" s="328">
        <v>0</v>
      </c>
      <c r="D44" s="328">
        <v>0</v>
      </c>
      <c r="E44" s="231">
        <f ca="1">'Nitric Acid'!E205</f>
        <v>4301.3990471007619</v>
      </c>
      <c r="F44" s="231">
        <f ca="1">'Nitric Acid'!F205</f>
        <v>5242.6750580282223</v>
      </c>
      <c r="G44" s="231">
        <f ca="1">'Nitric Acid'!G205</f>
        <v>5171.8162806164146</v>
      </c>
      <c r="H44" s="231">
        <f ca="1">'Nitric Acid'!H205</f>
        <v>4395.651678095408</v>
      </c>
      <c r="I44" s="231">
        <f ca="1">'Nitric Acid'!I205</f>
        <v>3237.3550708014509</v>
      </c>
      <c r="J44" s="231">
        <f ca="1">'Nitric Acid'!J205</f>
        <v>1670.5106119202765</v>
      </c>
      <c r="K44" s="231">
        <f ca="1">'Nitric Acid'!K205</f>
        <v>0</v>
      </c>
      <c r="L44" s="231">
        <f ca="1">'Nitric Acid'!L205</f>
        <v>0</v>
      </c>
      <c r="M44" s="231">
        <f ca="1">'Nitric Acid'!M205</f>
        <v>0</v>
      </c>
      <c r="N44" s="231">
        <f ca="1">'Nitric Acid'!N205</f>
        <v>0</v>
      </c>
      <c r="O44" s="231">
        <f ca="1">'Nitric Acid'!O205</f>
        <v>0</v>
      </c>
      <c r="P44" s="231">
        <f ca="1">'Nitric Acid'!P205</f>
        <v>0</v>
      </c>
      <c r="Q44" s="231">
        <f ca="1">'Nitric Acid'!Q205</f>
        <v>0</v>
      </c>
      <c r="R44" s="231">
        <f ca="1">'Nitric Acid'!R205</f>
        <v>0</v>
      </c>
      <c r="S44" s="231">
        <f ca="1">'Nitric Acid'!S205</f>
        <v>0</v>
      </c>
      <c r="T44" s="231">
        <f ca="1">'Nitric Acid'!T205</f>
        <v>0</v>
      </c>
      <c r="U44" s="231">
        <f ca="1">'Nitric Acid'!U205</f>
        <v>0</v>
      </c>
      <c r="V44" s="231">
        <f ca="1">'Nitric Acid'!V205</f>
        <v>0</v>
      </c>
      <c r="W44" s="231">
        <f ca="1">'Nitric Acid'!W205</f>
        <v>0</v>
      </c>
      <c r="X44" s="231">
        <f ca="1">'Nitric Acid'!X205</f>
        <v>0</v>
      </c>
    </row>
    <row r="45" spans="1:24">
      <c r="A45" s="225">
        <v>3</v>
      </c>
      <c r="B45" s="226" t="s">
        <v>250</v>
      </c>
      <c r="C45" s="329">
        <v>0</v>
      </c>
      <c r="D45" s="229">
        <f>+'Nitric Acid'!E221-'Project Cost'!I13</f>
        <v>32197.083021024493</v>
      </c>
      <c r="E45" s="229">
        <f>+'Nitric Acid'!F221</f>
        <v>28921.047543012493</v>
      </c>
      <c r="F45" s="229">
        <f>+'Nitric Acid'!G221</f>
        <v>24789.469322582139</v>
      </c>
      <c r="G45" s="229">
        <f>+'Nitric Acid'!H221</f>
        <v>20657.891102151785</v>
      </c>
      <c r="H45" s="229">
        <f>+'Nitric Acid'!I221</f>
        <v>16526.312881721431</v>
      </c>
      <c r="I45" s="229">
        <f>+'Nitric Acid'!J221</f>
        <v>12394.734661291075</v>
      </c>
      <c r="J45" s="229">
        <f>+'Nitric Acid'!K221</f>
        <v>8263.1564408607192</v>
      </c>
      <c r="K45" s="229">
        <f>+'Nitric Acid'!L221</f>
        <v>4131.5782204303632</v>
      </c>
      <c r="L45" s="229">
        <f>+'Nitric Acid'!M221</f>
        <v>7.2759576141834259E-12</v>
      </c>
      <c r="M45" s="229">
        <f>+'Nitric Acid'!N221</f>
        <v>7.2759576141834259E-12</v>
      </c>
      <c r="N45" s="229">
        <f>+'Nitric Acid'!O221</f>
        <v>7.2759576141834259E-12</v>
      </c>
      <c r="O45" s="229">
        <f>+'Nitric Acid'!P221</f>
        <v>7.2759576141834259E-12</v>
      </c>
      <c r="P45" s="229">
        <f>+'Nitric Acid'!Q221</f>
        <v>7.2759576141834259E-12</v>
      </c>
      <c r="Q45" s="229">
        <f>+'Nitric Acid'!R221</f>
        <v>7.2759576141834259E-12</v>
      </c>
      <c r="R45" s="229">
        <f>+'Nitric Acid'!S221</f>
        <v>7.2759576141834259E-12</v>
      </c>
      <c r="S45" s="229">
        <f>+'Nitric Acid'!T221</f>
        <v>0</v>
      </c>
      <c r="T45" s="229">
        <f>+'Nitric Acid'!U221</f>
        <v>0</v>
      </c>
      <c r="U45" s="229">
        <f>+'Nitric Acid'!V221</f>
        <v>0</v>
      </c>
      <c r="V45" s="229">
        <f>+'Nitric Acid'!W221</f>
        <v>0</v>
      </c>
      <c r="W45" s="229">
        <f>+'Nitric Acid'!X221</f>
        <v>0</v>
      </c>
      <c r="X45" s="229">
        <f>+'Nitric Acid'!Y221</f>
        <v>0</v>
      </c>
    </row>
    <row r="46" spans="1:24">
      <c r="A46" s="216">
        <v>4</v>
      </c>
      <c r="B46" s="213" t="s">
        <v>251</v>
      </c>
      <c r="C46" s="227">
        <f>+'Nitric Acid'!D36</f>
        <v>14165.411041475507</v>
      </c>
      <c r="D46" s="227">
        <f>+C46</f>
        <v>14165.411041475507</v>
      </c>
      <c r="E46" s="227">
        <f>('Nitric Acid'!$C$32/('Nitric Acid'!$C$35+'Nitric Acid'!$C$36)*'Nitric Acid'!$C$36)+'Nitric Acid'!E180</f>
        <v>14165.411041475507</v>
      </c>
      <c r="F46" s="227">
        <f>('Nitric Acid'!$C$32/('Nitric Acid'!$C$35+'Nitric Acid'!$C$36)*'Nitric Acid'!$C$36)+SUM('Nitric Acid'!$E$180:F180)</f>
        <v>14165.411041475507</v>
      </c>
      <c r="G46" s="227">
        <f>('Nitric Acid'!$C$32/('Nitric Acid'!$C$35+'Nitric Acid'!$C$36)*'Nitric Acid'!$C$36)+SUM('Nitric Acid'!$E$180:G180)</f>
        <v>14165.411041475507</v>
      </c>
      <c r="H46" s="227">
        <f>('Nitric Acid'!$C$32/('Nitric Acid'!$C$35+'Nitric Acid'!$C$36)*'Nitric Acid'!$C$36)+SUM('Nitric Acid'!$E$180:H180)</f>
        <v>14165.411041475507</v>
      </c>
      <c r="I46" s="227">
        <f>('Nitric Acid'!$C$32/('Nitric Acid'!$C$35+'Nitric Acid'!$C$36)*'Nitric Acid'!$C$36)+SUM('Nitric Acid'!$E$180:I180)</f>
        <v>14165.411041475507</v>
      </c>
      <c r="J46" s="227">
        <f>('Nitric Acid'!$C$32/('Nitric Acid'!$C$35+'Nitric Acid'!$C$36)*'Nitric Acid'!$C$36)+SUM('Nitric Acid'!$E$180:J180)</f>
        <v>14165.411041475507</v>
      </c>
      <c r="K46" s="227">
        <f>('Nitric Acid'!$C$32/('Nitric Acid'!$C$35+'Nitric Acid'!$C$36)*'Nitric Acid'!$C$36)+SUM('Nitric Acid'!$E$180:K180)</f>
        <v>14165.411041475507</v>
      </c>
      <c r="L46" s="227">
        <f>('Nitric Acid'!$C$32/('Nitric Acid'!$C$35+'Nitric Acid'!$C$36)*'Nitric Acid'!$C$36)+SUM('Nitric Acid'!$E$180:L180)</f>
        <v>14165.411041475507</v>
      </c>
      <c r="M46" s="227">
        <f>('Nitric Acid'!$C$32/('Nitric Acid'!$C$35+'Nitric Acid'!$C$36)*'Nitric Acid'!$C$36)+SUM('Nitric Acid'!$E$180:M180)</f>
        <v>14165.411041475507</v>
      </c>
      <c r="N46" s="227">
        <f>('Nitric Acid'!$C$32/('Nitric Acid'!$C$35+'Nitric Acid'!$C$36)*'Nitric Acid'!$C$36)+SUM('Nitric Acid'!$E$180:N180)</f>
        <v>14165.411041475507</v>
      </c>
      <c r="O46" s="227">
        <f>('Nitric Acid'!$C$32/('Nitric Acid'!$C$35+'Nitric Acid'!$C$36)*'Nitric Acid'!$C$36)+SUM('Nitric Acid'!$E$180:O180)</f>
        <v>14165.411041475507</v>
      </c>
      <c r="P46" s="227">
        <f>('Nitric Acid'!$C$32/('Nitric Acid'!$C$35+'Nitric Acid'!$C$36)*'Nitric Acid'!$C$36)+SUM('Nitric Acid'!$E$180:P180)</f>
        <v>14165.411041475507</v>
      </c>
      <c r="Q46" s="227">
        <f>('Nitric Acid'!$C$32/('Nitric Acid'!$C$35+'Nitric Acid'!$C$36)*'Nitric Acid'!$C$36)+SUM('Nitric Acid'!$E$180:Q180)</f>
        <v>14165.411041475507</v>
      </c>
      <c r="R46" s="227">
        <f>('Nitric Acid'!$C$32/('Nitric Acid'!$C$35+'Nitric Acid'!$C$36)*'Nitric Acid'!$C$36)+SUM('Nitric Acid'!$E$180:R180)</f>
        <v>14165.411041475507</v>
      </c>
      <c r="S46" s="227">
        <f>('Nitric Acid'!$C$32/('Nitric Acid'!$C$35+'Nitric Acid'!$C$36)*'Nitric Acid'!$C$36)+SUM('Nitric Acid'!$E$180:S180)</f>
        <v>14165.411041475507</v>
      </c>
      <c r="T46" s="227">
        <f>('Nitric Acid'!$C$32/('Nitric Acid'!$C$35+'Nitric Acid'!$C$36)*'Nitric Acid'!$C$36)+SUM('Nitric Acid'!$E$180:T180)</f>
        <v>14165.411041475507</v>
      </c>
      <c r="U46" s="227">
        <f>('Nitric Acid'!$C$32/('Nitric Acid'!$C$35+'Nitric Acid'!$C$36)*'Nitric Acid'!$C$36)+SUM('Nitric Acid'!$E$180:U180)</f>
        <v>14165.411041475507</v>
      </c>
      <c r="V46" s="227">
        <f>('Nitric Acid'!$C$32/('Nitric Acid'!$C$35+'Nitric Acid'!$C$36)*'Nitric Acid'!$C$36)+SUM('Nitric Acid'!$E$180:V180)</f>
        <v>14165.411041475507</v>
      </c>
      <c r="W46" s="227">
        <f>('Nitric Acid'!$C$32/('Nitric Acid'!$C$35+'Nitric Acid'!$C$36)*'Nitric Acid'!$C$36)+SUM('Nitric Acid'!$E$180:W180)</f>
        <v>14165.411041475507</v>
      </c>
      <c r="X46" s="227">
        <f>('Nitric Acid'!$C$32/('Nitric Acid'!$C$35+'Nitric Acid'!$C$36)*'Nitric Acid'!$C$36)+SUM('Nitric Acid'!$E$180:X180)</f>
        <v>14165.411041475507</v>
      </c>
    </row>
    <row r="47" spans="1:24">
      <c r="A47" s="216">
        <v>5</v>
      </c>
      <c r="B47" s="213" t="s">
        <v>214</v>
      </c>
      <c r="C47" s="327">
        <v>0</v>
      </c>
      <c r="D47" s="327">
        <v>0</v>
      </c>
      <c r="E47" s="230">
        <f ca="1">'Nitric Acid'!C170</f>
        <v>434.818404282225</v>
      </c>
      <c r="F47" s="230">
        <f ca="1">'Nitric Acid'!D170</f>
        <v>1739.8430704555587</v>
      </c>
      <c r="G47" s="230">
        <f ca="1">'Nitric Acid'!E170</f>
        <v>4162.9200209013779</v>
      </c>
      <c r="H47" s="230">
        <f ca="1">'Nitric Acid'!F170</f>
        <v>6918.0003011098079</v>
      </c>
      <c r="I47" s="230">
        <f ca="1">'Nitric Acid'!G170</f>
        <v>10055.59772130756</v>
      </c>
      <c r="J47" s="230">
        <f ca="1">'Nitric Acid'!H170</f>
        <v>13602.144949445876</v>
      </c>
      <c r="K47" s="230">
        <f ca="1">'Nitric Acid'!I170</f>
        <v>17585.955975656729</v>
      </c>
      <c r="L47" s="230">
        <f ca="1">'Nitric Acid'!J170</f>
        <v>22012.61538859627</v>
      </c>
      <c r="M47" s="230">
        <f ca="1">'Nitric Acid'!K170</f>
        <v>26755.842496815796</v>
      </c>
      <c r="N47" s="230">
        <f ca="1">'Nitric Acid'!L170</f>
        <v>31438.274333672951</v>
      </c>
      <c r="O47" s="230">
        <f ca="1">'Nitric Acid'!M170</f>
        <v>34793.433697062617</v>
      </c>
      <c r="P47" s="230">
        <f ca="1">'Nitric Acid'!N170</f>
        <v>37950.553830290381</v>
      </c>
      <c r="Q47" s="230">
        <f ca="1">'Nitric Acid'!O170</f>
        <v>41006.951569060438</v>
      </c>
      <c r="R47" s="230">
        <f ca="1">'Nitric Acid'!P170</f>
        <v>43967.374851741159</v>
      </c>
      <c r="S47" s="230">
        <f ca="1">'Nitric Acid'!Q170</f>
        <v>46835.465375152162</v>
      </c>
      <c r="T47" s="230">
        <f ca="1">'Nitric Acid'!R170-1</f>
        <v>49612.905511226469</v>
      </c>
      <c r="U47" s="230">
        <f ca="1">'Nitric Acid'!S170-3</f>
        <v>52301.542559297704</v>
      </c>
      <c r="V47" s="230">
        <f ca="1">'Nitric Acid'!T170-6</f>
        <v>54902.493681686501</v>
      </c>
      <c r="W47" s="230">
        <f ca="1">'Nitric Acid'!U170-10</f>
        <v>57416.234367927056</v>
      </c>
      <c r="X47" s="230">
        <f ca="1">'Nitric Acid'!V170-15</f>
        <v>59842.672845751273</v>
      </c>
    </row>
    <row r="48" spans="1:24">
      <c r="A48" s="215" t="s">
        <v>205</v>
      </c>
      <c r="B48" s="210" t="s">
        <v>252</v>
      </c>
      <c r="C48" s="232">
        <f t="shared" ref="C48:D48" si="17">SUM(C43:C47)</f>
        <v>14207.307742845371</v>
      </c>
      <c r="D48" s="232">
        <f t="shared" si="17"/>
        <v>46442.369999486298</v>
      </c>
      <c r="E48" s="230">
        <f ca="1">SUM(E43:E47)</f>
        <v>48427.737035870981</v>
      </c>
      <c r="F48" s="230">
        <f t="shared" ref="F48:S48" ca="1" si="18">SUM(F43:F47)</f>
        <v>46618.092117541426</v>
      </c>
      <c r="G48" s="230">
        <f t="shared" ca="1" si="18"/>
        <v>44914.364695145086</v>
      </c>
      <c r="H48" s="230">
        <f t="shared" ca="1" si="18"/>
        <v>42761.702152402155</v>
      </c>
      <c r="I48" s="230">
        <f t="shared" ca="1" si="18"/>
        <v>40609.424744875592</v>
      </c>
      <c r="J48" s="230">
        <f t="shared" ca="1" si="18"/>
        <v>38457.549293702381</v>
      </c>
      <c r="K48" s="230">
        <f t="shared" ca="1" si="18"/>
        <v>36639.271487562597</v>
      </c>
      <c r="L48" s="230">
        <f t="shared" ca="1" si="18"/>
        <v>36934.352680071781</v>
      </c>
      <c r="M48" s="230">
        <f t="shared" ca="1" si="18"/>
        <v>41677.57978829131</v>
      </c>
      <c r="N48" s="230">
        <f t="shared" ca="1" si="18"/>
        <v>46360.011625148465</v>
      </c>
      <c r="O48" s="230">
        <f t="shared" ca="1" si="18"/>
        <v>49715.170988538128</v>
      </c>
      <c r="P48" s="230">
        <f t="shared" ca="1" si="18"/>
        <v>52872.291121765898</v>
      </c>
      <c r="Q48" s="230">
        <f t="shared" ca="1" si="18"/>
        <v>55928.688860535956</v>
      </c>
      <c r="R48" s="230">
        <f t="shared" ca="1" si="18"/>
        <v>58889.112143216669</v>
      </c>
      <c r="S48" s="230">
        <f t="shared" ca="1" si="18"/>
        <v>61757.202666627665</v>
      </c>
      <c r="T48" s="230">
        <f t="shared" ref="T48:X48" ca="1" si="19">SUM(T43:T47)</f>
        <v>64534.642802701972</v>
      </c>
      <c r="U48" s="230">
        <f t="shared" ca="1" si="19"/>
        <v>67223.279850773208</v>
      </c>
      <c r="V48" s="230">
        <f t="shared" ca="1" si="19"/>
        <v>69824.230973162004</v>
      </c>
      <c r="W48" s="230">
        <f t="shared" ca="1" si="19"/>
        <v>72337.971659402567</v>
      </c>
      <c r="X48" s="230">
        <f t="shared" ca="1" si="19"/>
        <v>74764.410137226776</v>
      </c>
    </row>
    <row r="49" spans="1:24">
      <c r="A49" s="233"/>
      <c r="B49" s="234"/>
      <c r="C49" s="235">
        <f>C38-C48</f>
        <v>0</v>
      </c>
      <c r="D49" s="235">
        <f t="shared" ref="D49" si="20">D38-D48</f>
        <v>0</v>
      </c>
      <c r="E49" s="235">
        <f ca="1">E38-E48</f>
        <v>0</v>
      </c>
      <c r="F49" s="235">
        <f t="shared" ref="F49:S49" ca="1" si="21">F38-F48</f>
        <v>0</v>
      </c>
      <c r="G49" s="235">
        <f t="shared" ca="1" si="21"/>
        <v>0</v>
      </c>
      <c r="H49" s="235">
        <f t="shared" ca="1" si="21"/>
        <v>0</v>
      </c>
      <c r="I49" s="235">
        <f t="shared" ca="1" si="21"/>
        <v>0</v>
      </c>
      <c r="J49" s="235">
        <f t="shared" ca="1" si="21"/>
        <v>0</v>
      </c>
      <c r="K49" s="235">
        <f t="shared" ca="1" si="21"/>
        <v>0</v>
      </c>
      <c r="L49" s="235">
        <f t="shared" ca="1" si="21"/>
        <v>0</v>
      </c>
      <c r="M49" s="235">
        <f t="shared" ca="1" si="21"/>
        <v>0</v>
      </c>
      <c r="N49" s="235">
        <f t="shared" ca="1" si="21"/>
        <v>0</v>
      </c>
      <c r="O49" s="235">
        <f t="shared" ca="1" si="21"/>
        <v>0</v>
      </c>
      <c r="P49" s="235">
        <f t="shared" ca="1" si="21"/>
        <v>0</v>
      </c>
      <c r="Q49" s="235">
        <f t="shared" ca="1" si="21"/>
        <v>0</v>
      </c>
      <c r="R49" s="235">
        <f t="shared" ca="1" si="21"/>
        <v>0</v>
      </c>
      <c r="S49" s="235">
        <f t="shared" ca="1" si="21"/>
        <v>0</v>
      </c>
      <c r="T49" s="235">
        <f ca="1">T38-T48</f>
        <v>0</v>
      </c>
      <c r="U49" s="235">
        <f t="shared" ref="U49:X49" ca="1" si="22">U38-U48</f>
        <v>0</v>
      </c>
      <c r="V49" s="235">
        <f t="shared" ca="1" si="22"/>
        <v>0</v>
      </c>
      <c r="W49" s="235">
        <f t="shared" ca="1" si="22"/>
        <v>0</v>
      </c>
      <c r="X49" s="235">
        <f t="shared" ca="1" si="22"/>
        <v>0</v>
      </c>
    </row>
    <row r="50" spans="1:24" hidden="1">
      <c r="A50" s="233"/>
      <c r="B50" s="234" t="s">
        <v>253</v>
      </c>
      <c r="C50" s="330"/>
      <c r="D50" s="330"/>
      <c r="E50" s="236">
        <v>3</v>
      </c>
      <c r="F50" s="236">
        <v>3</v>
      </c>
      <c r="G50" s="236">
        <v>3</v>
      </c>
      <c r="H50" s="236">
        <v>3</v>
      </c>
      <c r="I50" s="236">
        <v>3</v>
      </c>
      <c r="J50" s="236">
        <v>3</v>
      </c>
      <c r="K50" s="236">
        <v>3</v>
      </c>
      <c r="L50" s="236">
        <v>3</v>
      </c>
      <c r="M50" s="236">
        <v>3</v>
      </c>
      <c r="N50" s="236">
        <v>3</v>
      </c>
      <c r="O50" s="236">
        <v>3</v>
      </c>
      <c r="P50" s="236">
        <v>3</v>
      </c>
      <c r="Q50" s="236">
        <v>3</v>
      </c>
      <c r="R50" s="236">
        <v>3</v>
      </c>
      <c r="S50" s="236">
        <v>3</v>
      </c>
    </row>
    <row r="51" spans="1:24" hidden="1">
      <c r="A51" s="237"/>
      <c r="B51" s="238"/>
      <c r="C51" s="325"/>
      <c r="D51" s="325"/>
      <c r="E51" s="240">
        <v>0.27393623663307581</v>
      </c>
      <c r="F51" s="240">
        <v>0.27287470616545811</v>
      </c>
      <c r="G51" s="240">
        <v>0.27211560399236667</v>
      </c>
      <c r="H51" s="240">
        <v>0.27211560399236667</v>
      </c>
      <c r="I51" s="240">
        <v>0.27211560399236667</v>
      </c>
      <c r="J51" s="240">
        <v>0.27211560399236667</v>
      </c>
      <c r="K51" s="240">
        <v>0.27211560399236667</v>
      </c>
      <c r="L51" s="240">
        <v>0.27211560399236667</v>
      </c>
      <c r="M51" s="240">
        <v>0.27211560399236667</v>
      </c>
      <c r="N51" s="240">
        <v>0.27211560399236667</v>
      </c>
      <c r="O51" s="240">
        <v>0.27211560399236667</v>
      </c>
      <c r="P51" s="240">
        <v>0.27211560399236667</v>
      </c>
      <c r="Q51" s="240">
        <v>0.27211560399236667</v>
      </c>
      <c r="R51" s="240">
        <v>0.27211560399236667</v>
      </c>
      <c r="S51" s="240">
        <v>0.27211560399236667</v>
      </c>
    </row>
    <row r="52" spans="1:24" hidden="1">
      <c r="A52" s="237"/>
      <c r="B52" s="238"/>
      <c r="C52" s="325"/>
      <c r="D52" s="325"/>
      <c r="E52" s="241">
        <v>99.986726371072677</v>
      </c>
      <c r="F52" s="241">
        <v>99.599267750392215</v>
      </c>
      <c r="G52" s="241">
        <v>99.322195457213837</v>
      </c>
      <c r="H52" s="241">
        <v>99.322195457213837</v>
      </c>
      <c r="I52" s="241">
        <v>99.322195457213837</v>
      </c>
      <c r="J52" s="241">
        <v>99.322195457213837</v>
      </c>
      <c r="K52" s="241">
        <v>99.322195457213837</v>
      </c>
      <c r="L52" s="241">
        <v>99.322195457213837</v>
      </c>
      <c r="M52" s="241">
        <v>99.322195457213837</v>
      </c>
      <c r="N52" s="241">
        <v>99.322195457213837</v>
      </c>
      <c r="O52" s="241">
        <v>99.322195457213837</v>
      </c>
      <c r="P52" s="241">
        <v>99.322195457213837</v>
      </c>
      <c r="Q52" s="241">
        <v>99.322195457213837</v>
      </c>
      <c r="R52" s="241">
        <v>99.322195457213837</v>
      </c>
      <c r="S52" s="241">
        <v>99.322195457213837</v>
      </c>
    </row>
    <row r="53" spans="1:24" hidden="1">
      <c r="A53" s="237"/>
      <c r="B53" s="243" t="s">
        <v>47</v>
      </c>
      <c r="C53" s="331"/>
      <c r="D53" s="331"/>
      <c r="E53" s="244">
        <v>68713.033698117535</v>
      </c>
      <c r="F53" s="244">
        <v>83113.927449380149</v>
      </c>
      <c r="G53" s="244">
        <v>97509.076756198367</v>
      </c>
      <c r="H53" s="244">
        <v>97509.076756198367</v>
      </c>
      <c r="I53" s="244">
        <v>97509.076756198367</v>
      </c>
      <c r="J53" s="244">
        <v>97509.076756198367</v>
      </c>
      <c r="K53" s="244">
        <v>97509.076756198367</v>
      </c>
      <c r="L53" s="244">
        <v>97509.076756198367</v>
      </c>
      <c r="M53" s="244">
        <v>97509.076756198367</v>
      </c>
      <c r="N53" s="244">
        <v>97509.076756198367</v>
      </c>
      <c r="O53" s="244">
        <v>97509.076756198367</v>
      </c>
      <c r="P53" s="244">
        <v>97509.076756198367</v>
      </c>
      <c r="Q53" s="244">
        <v>97509.076756198367</v>
      </c>
      <c r="R53" s="244">
        <v>97509.076756198367</v>
      </c>
      <c r="S53" s="244">
        <v>97509.076756198367</v>
      </c>
    </row>
    <row r="54" spans="1:24">
      <c r="T54" s="54">
        <f ca="1">+T49-S49</f>
        <v>0</v>
      </c>
      <c r="U54" s="54">
        <f ca="1">+U49-T49</f>
        <v>0</v>
      </c>
      <c r="V54" s="54">
        <f ca="1">+V49-U49</f>
        <v>0</v>
      </c>
      <c r="W54" s="54">
        <f ca="1">+W49-V49</f>
        <v>0</v>
      </c>
      <c r="X54" s="54">
        <f ca="1">+X49-W49</f>
        <v>0</v>
      </c>
    </row>
    <row r="55" spans="1:24">
      <c r="B55" s="67" t="s">
        <v>323</v>
      </c>
      <c r="C55" s="183">
        <f t="shared" ref="C55:D55" si="23">+C32-C43</f>
        <v>0</v>
      </c>
      <c r="D55" s="183">
        <f t="shared" si="23"/>
        <v>0</v>
      </c>
      <c r="E55" s="183">
        <f>+E32-E43</f>
        <v>3422.1709696734242</v>
      </c>
      <c r="F55" s="183">
        <f t="shared" ref="F55:X55" si="24">+F32-F43</f>
        <v>3698.8824226463012</v>
      </c>
      <c r="G55" s="183">
        <f t="shared" si="24"/>
        <v>4081.5113715523967</v>
      </c>
      <c r="H55" s="183">
        <f t="shared" si="24"/>
        <v>4090.8378251119011</v>
      </c>
      <c r="I55" s="183">
        <f t="shared" si="24"/>
        <v>4100.5494138877784</v>
      </c>
      <c r="J55" s="183">
        <f t="shared" si="24"/>
        <v>4110.6629590169996</v>
      </c>
      <c r="K55" s="183">
        <f t="shared" si="24"/>
        <v>4121.196049624672</v>
      </c>
      <c r="L55" s="183">
        <f t="shared" si="24"/>
        <v>4132.1670790313729</v>
      </c>
      <c r="M55" s="183">
        <f t="shared" si="24"/>
        <v>4143.5952827051169</v>
      </c>
      <c r="N55" s="183">
        <f t="shared" si="24"/>
        <v>4155.5007780431542</v>
      </c>
      <c r="O55" s="183">
        <f t="shared" si="24"/>
        <v>4167.9046060731198</v>
      </c>
      <c r="P55" s="183">
        <f t="shared" si="24"/>
        <v>4180.8287751673615</v>
      </c>
      <c r="Q55" s="183">
        <f t="shared" si="24"/>
        <v>4194.2963068689751</v>
      </c>
      <c r="R55" s="183">
        <f t="shared" si="24"/>
        <v>4208.3312839329074</v>
      </c>
      <c r="S55" s="183">
        <f t="shared" si="24"/>
        <v>4222.9589006905953</v>
      </c>
      <c r="T55" s="183">
        <f t="shared" si="24"/>
        <v>4238.2055158519406</v>
      </c>
      <c r="U55" s="183">
        <f t="shared" si="24"/>
        <v>4254.0987078640992</v>
      </c>
      <c r="V55" s="183">
        <f t="shared" si="24"/>
        <v>4270.6673329523965</v>
      </c>
      <c r="W55" s="183">
        <f t="shared" si="24"/>
        <v>4287.9415859749024</v>
      </c>
      <c r="X55" s="183">
        <f t="shared" si="24"/>
        <v>4305.9530642287245</v>
      </c>
    </row>
    <row r="57" spans="1:24">
      <c r="D57" s="347"/>
    </row>
  </sheetData>
  <mergeCells count="3">
    <mergeCell ref="A21:S21"/>
    <mergeCell ref="A20:S20"/>
    <mergeCell ref="C22:D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K41"/>
  <sheetViews>
    <sheetView workbookViewId="0">
      <selection activeCell="G10" sqref="G10"/>
    </sheetView>
  </sheetViews>
  <sheetFormatPr defaultRowHeight="15"/>
  <cols>
    <col min="3" max="3" width="30.28515625" customWidth="1"/>
    <col min="4" max="8" width="15.28515625" customWidth="1"/>
    <col min="11" max="11" width="15.28515625" customWidth="1"/>
  </cols>
  <sheetData>
    <row r="4" spans="3:11">
      <c r="C4" s="352" t="s">
        <v>384</v>
      </c>
      <c r="D4" s="350"/>
      <c r="E4" s="350"/>
      <c r="F4" s="350" t="s">
        <v>385</v>
      </c>
      <c r="G4" s="350"/>
      <c r="H4" s="350"/>
    </row>
    <row r="5" spans="3:11">
      <c r="C5" s="352"/>
      <c r="D5" s="350"/>
      <c r="E5" s="350"/>
      <c r="F5" s="350"/>
      <c r="G5" s="350"/>
      <c r="H5" s="350"/>
    </row>
    <row r="6" spans="3:11">
      <c r="C6" s="353" t="s">
        <v>386</v>
      </c>
      <c r="D6" s="349"/>
      <c r="E6" s="349"/>
      <c r="F6" s="349"/>
      <c r="G6" s="349"/>
      <c r="H6" s="349"/>
    </row>
    <row r="7" spans="3:11">
      <c r="C7" s="353"/>
      <c r="D7" s="349"/>
      <c r="E7" s="349"/>
      <c r="F7" s="349"/>
      <c r="G7" s="349"/>
      <c r="H7" s="349"/>
    </row>
    <row r="8" spans="3:11">
      <c r="C8" s="353" t="s">
        <v>387</v>
      </c>
      <c r="D8" s="360" t="s">
        <v>388</v>
      </c>
      <c r="E8" s="360" t="s">
        <v>412</v>
      </c>
      <c r="F8" s="360" t="s">
        <v>413</v>
      </c>
      <c r="G8" s="364" t="s">
        <v>414</v>
      </c>
      <c r="H8" s="360"/>
      <c r="I8" s="360"/>
      <c r="J8" s="360"/>
      <c r="K8" s="360"/>
    </row>
    <row r="10" spans="3:11">
      <c r="C10" s="351" t="s">
        <v>389</v>
      </c>
      <c r="D10" s="354">
        <f>+'Project Cost'!I7</f>
        <v>2250</v>
      </c>
      <c r="E10" s="362">
        <f>+D10/D12</f>
        <v>6.1250531688643133E-2</v>
      </c>
      <c r="F10" s="363">
        <f>+E10*('Project Cost'!I10+'Project Cost'!I11+'Project Cost'!I12+'Project Cost'!I15)</f>
        <v>589.72741173968529</v>
      </c>
      <c r="G10" s="363">
        <f>+D10+F10</f>
        <v>2839.7274117396855</v>
      </c>
      <c r="H10" s="354"/>
      <c r="I10" s="354"/>
      <c r="J10" s="354"/>
      <c r="K10" s="354"/>
    </row>
    <row r="11" spans="3:11">
      <c r="C11" s="351" t="s">
        <v>390</v>
      </c>
      <c r="D11" s="354">
        <f>+'Project Cost'!I8+'Project Cost'!I9</f>
        <v>34484.375</v>
      </c>
      <c r="E11" s="365">
        <f>+D11/D12</f>
        <v>0.93874946831135686</v>
      </c>
      <c r="F11" s="363">
        <f>+E11*('Project Cost'!I10+'Project Cost'!I11+'Project Cost'!I12+'Project Cost'!I15)</f>
        <v>9038.3916507603153</v>
      </c>
      <c r="G11" s="363">
        <f>+D11+F11</f>
        <v>43522.766650760313</v>
      </c>
      <c r="H11" s="354"/>
      <c r="I11" s="354"/>
      <c r="J11" s="354"/>
      <c r="K11" s="354"/>
    </row>
    <row r="12" spans="3:11">
      <c r="C12" s="353" t="s">
        <v>333</v>
      </c>
      <c r="D12" s="355">
        <f>SUM(D10:D11)</f>
        <v>36734.375</v>
      </c>
      <c r="E12" s="362">
        <f>SUM(E10:E11)</f>
        <v>1</v>
      </c>
      <c r="F12" s="355">
        <f>SUM(F10:F11)</f>
        <v>9628.1190624999999</v>
      </c>
      <c r="G12" s="355">
        <f>SUM(G10:G11)</f>
        <v>46362.494062500002</v>
      </c>
      <c r="H12" s="355"/>
      <c r="I12" s="355"/>
      <c r="J12" s="355"/>
      <c r="K12" s="355"/>
    </row>
    <row r="13" spans="3:11">
      <c r="C13" s="349"/>
      <c r="D13" s="349"/>
      <c r="E13" s="349"/>
      <c r="F13" s="349"/>
      <c r="G13" s="349"/>
      <c r="H13" s="349"/>
    </row>
    <row r="14" spans="3:11">
      <c r="C14" s="353" t="s">
        <v>391</v>
      </c>
      <c r="D14" s="349"/>
      <c r="E14" s="349"/>
      <c r="F14" s="349"/>
      <c r="G14" s="349"/>
      <c r="H14" s="349"/>
    </row>
    <row r="15" spans="3:11">
      <c r="C15" s="353"/>
      <c r="D15" s="349"/>
      <c r="E15" s="349"/>
      <c r="F15" s="349"/>
      <c r="G15" s="349"/>
      <c r="H15" s="349"/>
    </row>
    <row r="16" spans="3:11">
      <c r="C16" s="351" t="s">
        <v>392</v>
      </c>
      <c r="D16" s="349"/>
      <c r="E16" s="349"/>
      <c r="F16" s="349"/>
      <c r="G16" s="349"/>
      <c r="H16" s="349"/>
    </row>
    <row r="18" spans="3:8" ht="86.25" customHeight="1">
      <c r="C18" s="356" t="s">
        <v>393</v>
      </c>
      <c r="D18" s="356" t="s">
        <v>394</v>
      </c>
      <c r="E18" s="357">
        <v>3.3333333333333333E-2</v>
      </c>
      <c r="F18" s="358" t="s">
        <v>390</v>
      </c>
      <c r="G18" s="357">
        <v>4.7500000000000001E-2</v>
      </c>
      <c r="H18" s="356" t="s">
        <v>54</v>
      </c>
    </row>
    <row r="19" spans="3:8">
      <c r="C19" s="356"/>
      <c r="D19" s="356" t="s">
        <v>395</v>
      </c>
      <c r="E19" s="356" t="s">
        <v>396</v>
      </c>
      <c r="F19" s="356" t="s">
        <v>395</v>
      </c>
      <c r="G19" s="356" t="s">
        <v>396</v>
      </c>
      <c r="H19" s="356"/>
    </row>
    <row r="20" spans="3:8">
      <c r="C20" s="359" t="s">
        <v>397</v>
      </c>
      <c r="D20" s="361">
        <f>+G10</f>
        <v>2839.7274117396855</v>
      </c>
      <c r="E20" s="361">
        <f>$D$20*$E$18</f>
        <v>94.657580391322853</v>
      </c>
      <c r="F20" s="361">
        <f>+G11</f>
        <v>43522.766650760313</v>
      </c>
      <c r="G20" s="361">
        <f>+$G$18*$F$20</f>
        <v>2067.3314159111151</v>
      </c>
      <c r="H20" s="361">
        <f>+E20+G20</f>
        <v>2161.988996302438</v>
      </c>
    </row>
    <row r="21" spans="3:8">
      <c r="C21" s="359" t="s">
        <v>398</v>
      </c>
      <c r="D21" s="361">
        <f>+D20-E20</f>
        <v>2745.0698313483626</v>
      </c>
      <c r="E21" s="361">
        <f t="shared" ref="E21:E39" si="0">$D$20*$E$18</f>
        <v>94.657580391322853</v>
      </c>
      <c r="F21" s="361">
        <f>+F20-G20</f>
        <v>41455.435234849196</v>
      </c>
      <c r="G21" s="361">
        <f>+$G$18*$F$20</f>
        <v>2067.3314159111151</v>
      </c>
      <c r="H21" s="361">
        <f t="shared" ref="H21:H39" si="1">+E21+G21</f>
        <v>2161.988996302438</v>
      </c>
    </row>
    <row r="22" spans="3:8">
      <c r="C22" s="359" t="s">
        <v>399</v>
      </c>
      <c r="D22" s="361">
        <f t="shared" ref="D22:D39" si="2">+D21-E21</f>
        <v>2650.4122509570398</v>
      </c>
      <c r="E22" s="361">
        <f t="shared" si="0"/>
        <v>94.657580391322853</v>
      </c>
      <c r="F22" s="361">
        <f t="shared" ref="F22:F39" si="3">+F21-G21</f>
        <v>39388.103818938078</v>
      </c>
      <c r="G22" s="361">
        <f t="shared" ref="G22:G39" si="4">+$G$18*$F$20</f>
        <v>2067.3314159111151</v>
      </c>
      <c r="H22" s="361">
        <f t="shared" si="1"/>
        <v>2161.988996302438</v>
      </c>
    </row>
    <row r="23" spans="3:8">
      <c r="C23" s="359" t="s">
        <v>400</v>
      </c>
      <c r="D23" s="361">
        <f t="shared" si="2"/>
        <v>2555.7546705657169</v>
      </c>
      <c r="E23" s="361">
        <f t="shared" si="0"/>
        <v>94.657580391322853</v>
      </c>
      <c r="F23" s="361">
        <f t="shared" si="3"/>
        <v>37320.77240302696</v>
      </c>
      <c r="G23" s="361">
        <f t="shared" si="4"/>
        <v>2067.3314159111151</v>
      </c>
      <c r="H23" s="361">
        <f t="shared" si="1"/>
        <v>2161.988996302438</v>
      </c>
    </row>
    <row r="24" spans="3:8">
      <c r="C24" s="359" t="s">
        <v>401</v>
      </c>
      <c r="D24" s="361">
        <f t="shared" si="2"/>
        <v>2461.097090174394</v>
      </c>
      <c r="E24" s="361">
        <f t="shared" si="0"/>
        <v>94.657580391322853</v>
      </c>
      <c r="F24" s="361">
        <f t="shared" si="3"/>
        <v>35253.440987115842</v>
      </c>
      <c r="G24" s="361">
        <f t="shared" si="4"/>
        <v>2067.3314159111151</v>
      </c>
      <c r="H24" s="361">
        <f t="shared" si="1"/>
        <v>2161.988996302438</v>
      </c>
    </row>
    <row r="25" spans="3:8">
      <c r="C25" s="359" t="s">
        <v>402</v>
      </c>
      <c r="D25" s="361">
        <f t="shared" si="2"/>
        <v>2366.4395097830711</v>
      </c>
      <c r="E25" s="361">
        <f t="shared" si="0"/>
        <v>94.657580391322853</v>
      </c>
      <c r="F25" s="361">
        <f t="shared" si="3"/>
        <v>33186.109571204724</v>
      </c>
      <c r="G25" s="361">
        <f t="shared" si="4"/>
        <v>2067.3314159111151</v>
      </c>
      <c r="H25" s="361">
        <f t="shared" si="1"/>
        <v>2161.988996302438</v>
      </c>
    </row>
    <row r="26" spans="3:8">
      <c r="C26" s="359" t="s">
        <v>403</v>
      </c>
      <c r="D26" s="361">
        <f t="shared" si="2"/>
        <v>2271.7819293917482</v>
      </c>
      <c r="E26" s="361">
        <f t="shared" si="0"/>
        <v>94.657580391322853</v>
      </c>
      <c r="F26" s="361">
        <f t="shared" si="3"/>
        <v>31118.77815529361</v>
      </c>
      <c r="G26" s="361">
        <f t="shared" si="4"/>
        <v>2067.3314159111151</v>
      </c>
      <c r="H26" s="361">
        <f t="shared" si="1"/>
        <v>2161.988996302438</v>
      </c>
    </row>
    <row r="27" spans="3:8">
      <c r="C27" s="359" t="s">
        <v>404</v>
      </c>
      <c r="D27" s="361">
        <f t="shared" si="2"/>
        <v>2177.1243490004254</v>
      </c>
      <c r="E27" s="361">
        <f t="shared" si="0"/>
        <v>94.657580391322853</v>
      </c>
      <c r="F27" s="361">
        <f t="shared" si="3"/>
        <v>29051.446739382496</v>
      </c>
      <c r="G27" s="361">
        <f t="shared" si="4"/>
        <v>2067.3314159111151</v>
      </c>
      <c r="H27" s="361">
        <f t="shared" si="1"/>
        <v>2161.988996302438</v>
      </c>
    </row>
    <row r="28" spans="3:8">
      <c r="C28" s="359" t="s">
        <v>405</v>
      </c>
      <c r="D28" s="361">
        <f t="shared" si="2"/>
        <v>2082.4667686091025</v>
      </c>
      <c r="E28" s="361">
        <f t="shared" si="0"/>
        <v>94.657580391322853</v>
      </c>
      <c r="F28" s="361">
        <f t="shared" si="3"/>
        <v>26984.115323471382</v>
      </c>
      <c r="G28" s="361">
        <f t="shared" si="4"/>
        <v>2067.3314159111151</v>
      </c>
      <c r="H28" s="361">
        <f t="shared" si="1"/>
        <v>2161.988996302438</v>
      </c>
    </row>
    <row r="29" spans="3:8">
      <c r="C29" s="359" t="s">
        <v>406</v>
      </c>
      <c r="D29" s="361">
        <f t="shared" si="2"/>
        <v>1987.8091882177796</v>
      </c>
      <c r="E29" s="361">
        <f t="shared" si="0"/>
        <v>94.657580391322853</v>
      </c>
      <c r="F29" s="361">
        <f t="shared" si="3"/>
        <v>24916.783907560268</v>
      </c>
      <c r="G29" s="361">
        <f t="shared" si="4"/>
        <v>2067.3314159111151</v>
      </c>
      <c r="H29" s="361">
        <f t="shared" si="1"/>
        <v>2161.988996302438</v>
      </c>
    </row>
    <row r="30" spans="3:8">
      <c r="C30" s="359" t="s">
        <v>407</v>
      </c>
      <c r="D30" s="361">
        <f t="shared" si="2"/>
        <v>1893.1516078264567</v>
      </c>
      <c r="E30" s="361">
        <f t="shared" si="0"/>
        <v>94.657580391322853</v>
      </c>
      <c r="F30" s="361">
        <f t="shared" si="3"/>
        <v>22849.452491649154</v>
      </c>
      <c r="G30" s="361">
        <f t="shared" si="4"/>
        <v>2067.3314159111151</v>
      </c>
      <c r="H30" s="361">
        <f t="shared" si="1"/>
        <v>2161.988996302438</v>
      </c>
    </row>
    <row r="31" spans="3:8">
      <c r="C31" s="359" t="s">
        <v>408</v>
      </c>
      <c r="D31" s="361">
        <f t="shared" si="2"/>
        <v>1798.4940274351338</v>
      </c>
      <c r="E31" s="361">
        <f t="shared" si="0"/>
        <v>94.657580391322853</v>
      </c>
      <c r="F31" s="361">
        <f t="shared" si="3"/>
        <v>20782.12107573804</v>
      </c>
      <c r="G31" s="361">
        <f t="shared" si="4"/>
        <v>2067.3314159111151</v>
      </c>
      <c r="H31" s="361">
        <f t="shared" si="1"/>
        <v>2161.988996302438</v>
      </c>
    </row>
    <row r="32" spans="3:8">
      <c r="C32" s="359" t="s">
        <v>409</v>
      </c>
      <c r="D32" s="361">
        <f t="shared" si="2"/>
        <v>1703.8364470438109</v>
      </c>
      <c r="E32" s="361">
        <f t="shared" si="0"/>
        <v>94.657580391322853</v>
      </c>
      <c r="F32" s="361">
        <f t="shared" si="3"/>
        <v>18714.789659826925</v>
      </c>
      <c r="G32" s="361">
        <f t="shared" si="4"/>
        <v>2067.3314159111151</v>
      </c>
      <c r="H32" s="361">
        <f t="shared" si="1"/>
        <v>2161.988996302438</v>
      </c>
    </row>
    <row r="33" spans="3:8">
      <c r="C33" s="359" t="s">
        <v>410</v>
      </c>
      <c r="D33" s="361">
        <f t="shared" si="2"/>
        <v>1609.1788666524881</v>
      </c>
      <c r="E33" s="361">
        <f t="shared" si="0"/>
        <v>94.657580391322853</v>
      </c>
      <c r="F33" s="361">
        <f t="shared" si="3"/>
        <v>16647.458243915811</v>
      </c>
      <c r="G33" s="361">
        <f t="shared" si="4"/>
        <v>2067.3314159111151</v>
      </c>
      <c r="H33" s="361">
        <f t="shared" si="1"/>
        <v>2161.988996302438</v>
      </c>
    </row>
    <row r="34" spans="3:8">
      <c r="C34" s="359" t="s">
        <v>411</v>
      </c>
      <c r="D34" s="361">
        <f t="shared" si="2"/>
        <v>1514.5212862611652</v>
      </c>
      <c r="E34" s="361">
        <f t="shared" si="0"/>
        <v>94.657580391322853</v>
      </c>
      <c r="F34" s="361">
        <f t="shared" si="3"/>
        <v>14580.126828004697</v>
      </c>
      <c r="G34" s="361">
        <f t="shared" si="4"/>
        <v>2067.3314159111151</v>
      </c>
      <c r="H34" s="361">
        <f t="shared" si="1"/>
        <v>2161.988996302438</v>
      </c>
    </row>
    <row r="35" spans="3:8">
      <c r="C35" s="359" t="s">
        <v>422</v>
      </c>
      <c r="D35" s="361">
        <f t="shared" si="2"/>
        <v>1419.8637058698423</v>
      </c>
      <c r="E35" s="361">
        <f t="shared" si="0"/>
        <v>94.657580391322853</v>
      </c>
      <c r="F35" s="361">
        <f t="shared" si="3"/>
        <v>12512.795412093583</v>
      </c>
      <c r="G35" s="361">
        <f t="shared" si="4"/>
        <v>2067.3314159111151</v>
      </c>
      <c r="H35" s="361">
        <f t="shared" si="1"/>
        <v>2161.988996302438</v>
      </c>
    </row>
    <row r="36" spans="3:8">
      <c r="C36" s="359" t="s">
        <v>423</v>
      </c>
      <c r="D36" s="361">
        <f t="shared" si="2"/>
        <v>1325.2061254785194</v>
      </c>
      <c r="E36" s="361">
        <f t="shared" si="0"/>
        <v>94.657580391322853</v>
      </c>
      <c r="F36" s="361">
        <f t="shared" si="3"/>
        <v>10445.463996182469</v>
      </c>
      <c r="G36" s="361">
        <f t="shared" si="4"/>
        <v>2067.3314159111151</v>
      </c>
      <c r="H36" s="361">
        <f t="shared" si="1"/>
        <v>2161.988996302438</v>
      </c>
    </row>
    <row r="37" spans="3:8">
      <c r="C37" s="359" t="s">
        <v>424</v>
      </c>
      <c r="D37" s="361">
        <f t="shared" si="2"/>
        <v>1230.5485450871965</v>
      </c>
      <c r="E37" s="361">
        <f t="shared" si="0"/>
        <v>94.657580391322853</v>
      </c>
      <c r="F37" s="361">
        <f t="shared" si="3"/>
        <v>8378.1325802713545</v>
      </c>
      <c r="G37" s="361">
        <f t="shared" si="4"/>
        <v>2067.3314159111151</v>
      </c>
      <c r="H37" s="361">
        <f t="shared" si="1"/>
        <v>2161.988996302438</v>
      </c>
    </row>
    <row r="38" spans="3:8">
      <c r="C38" s="359" t="s">
        <v>425</v>
      </c>
      <c r="D38" s="361">
        <f t="shared" si="2"/>
        <v>1135.8909646958737</v>
      </c>
      <c r="E38" s="361">
        <f t="shared" si="0"/>
        <v>94.657580391322853</v>
      </c>
      <c r="F38" s="361">
        <f t="shared" si="3"/>
        <v>6310.8011643602395</v>
      </c>
      <c r="G38" s="361">
        <f t="shared" si="4"/>
        <v>2067.3314159111151</v>
      </c>
      <c r="H38" s="361">
        <f t="shared" si="1"/>
        <v>2161.988996302438</v>
      </c>
    </row>
    <row r="39" spans="3:8">
      <c r="C39" s="403" t="s">
        <v>426</v>
      </c>
      <c r="D39" s="361">
        <f t="shared" si="2"/>
        <v>1041.2333843045508</v>
      </c>
      <c r="E39" s="361">
        <f t="shared" si="0"/>
        <v>94.657580391322853</v>
      </c>
      <c r="F39" s="361">
        <f t="shared" si="3"/>
        <v>4243.4697484491244</v>
      </c>
      <c r="G39" s="361">
        <f t="shared" si="4"/>
        <v>2067.3314159111151</v>
      </c>
      <c r="H39" s="361">
        <f t="shared" si="1"/>
        <v>2161.988996302438</v>
      </c>
    </row>
    <row r="40" spans="3:8">
      <c r="H40" s="404">
        <f>SUM(H20:H39)</f>
        <v>43239.779926048781</v>
      </c>
    </row>
    <row r="41" spans="3:8">
      <c r="G41" s="60" t="s">
        <v>427</v>
      </c>
      <c r="H41" s="405">
        <f>+G12-H40</f>
        <v>3122.7141364512208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Nitric Acid</vt:lpstr>
      <vt:lpstr>Project Cost</vt:lpstr>
      <vt:lpstr>IRR</vt:lpstr>
      <vt:lpstr>bal sheet</vt:lpstr>
      <vt:lpstr>Depreciation</vt:lpstr>
      <vt:lpstr>IRR!Print_Area</vt:lpstr>
      <vt:lpstr>'Nitric Acid'!Print_Area</vt:lpstr>
      <vt:lpstr>'Project Cost'!Print_Area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ravinderkr</dc:creator>
  <cp:lastModifiedBy>Hardik Malhotra</cp:lastModifiedBy>
  <cp:lastPrinted>2020-12-15T05:05:58Z</cp:lastPrinted>
  <dcterms:created xsi:type="dcterms:W3CDTF">2019-03-05T06:05:53Z</dcterms:created>
  <dcterms:modified xsi:type="dcterms:W3CDTF">2022-09-27T14:38:10Z</dcterms:modified>
</cp:coreProperties>
</file>