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66925"/>
  <mc:AlternateContent xmlns:mc="http://schemas.openxmlformats.org/markup-compatibility/2006">
    <mc:Choice Requires="x15">
      <x15ac:absPath xmlns:x15ac="http://schemas.microsoft.com/office/spreadsheetml/2010/11/ac" url="C:\Users\hardik.malhotra\Desktop\Desktop Data\Ammonium Nitrate\KRIBHCO Part- B\"/>
    </mc:Choice>
  </mc:AlternateContent>
  <xr:revisionPtr revIDLastSave="0" documentId="13_ncr:1_{4D38CA6F-CC5B-4422-9A62-E63002D54752}" xr6:coauthVersionLast="47" xr6:coauthVersionMax="47" xr10:uidLastSave="{00000000-0000-0000-0000-000000000000}"/>
  <bookViews>
    <workbookView xWindow="-120" yWindow="-120" windowWidth="20730" windowHeight="11160" tabRatio="916" firstSheet="1" activeTab="2" xr2:uid="{00000000-000D-0000-FFFF-FFFF00000000}"/>
  </bookViews>
  <sheets>
    <sheet name="Raw Materials Requirement " sheetId="98" state="hidden" r:id="rId1"/>
    <sheet name="Basis" sheetId="102" r:id="rId2"/>
    <sheet name="Norms" sheetId="99" r:id="rId3"/>
    <sheet name="Capex" sheetId="16" r:id="rId4"/>
    <sheet name="Opex" sheetId="13" r:id="rId5"/>
    <sheet name="Cashflow " sheetId="39" r:id="rId6"/>
    <sheet name="IRR" sheetId="106" r:id="rId7"/>
    <sheet name="Reference Values" sheetId="101" state="hidden" r:id="rId8"/>
    <sheet name="Interest Cal." sheetId="103" state="hidden" r:id="rId9"/>
    <sheet name="Bal sheet" sheetId="105" r:id="rId10"/>
    <sheet name="Depreciation" sheetId="104" r:id="rId11"/>
    <sheet name="Profitability" sheetId="56" state="hidden" r:id="rId12"/>
    <sheet name=" Breakeven Point" sheetId="57" state="hidden" r:id="rId13"/>
    <sheet name="DSCR" sheetId="58" state="hidden" r:id="rId14"/>
  </sheets>
  <externalReferences>
    <externalReference r:id="rId15"/>
    <externalReference r:id="rId16"/>
    <externalReference r:id="rId17"/>
    <externalReference r:id="rId18"/>
    <externalReference r:id="rId19"/>
    <externalReference r:id="rId20"/>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2">' Breakeven Point'!$A$1:$B$11</definedName>
    <definedName name="_xlnm.Print_Area" localSheetId="13">DSCR!$A$1:$J$17</definedName>
    <definedName name="_xlnm.Print_Area" localSheetId="6">IRR!$A$2:$R$39</definedName>
    <definedName name="_xlnm.Print_Area" localSheetId="11">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wDetails1">#REF!</definedName>
    <definedName name="sencount" hidden="1">2</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 i="99" l="1"/>
  <c r="G17" i="99"/>
  <c r="G15" i="99"/>
  <c r="G20" i="13"/>
  <c r="F20" i="13"/>
  <c r="F19" i="13" l="1"/>
  <c r="F41" i="105" l="1"/>
  <c r="G41" i="105"/>
  <c r="H41" i="105"/>
  <c r="I41" i="105"/>
  <c r="J41" i="105"/>
  <c r="K41" i="105"/>
  <c r="L41" i="105"/>
  <c r="M41" i="105"/>
  <c r="N41" i="105"/>
  <c r="O41" i="105"/>
  <c r="P41" i="105"/>
  <c r="Q41" i="105"/>
  <c r="R41" i="105"/>
  <c r="S41" i="105"/>
  <c r="E41" i="105"/>
  <c r="C18" i="13"/>
  <c r="C5" i="13"/>
  <c r="B59" i="39"/>
  <c r="F74" i="39" l="1"/>
  <c r="D25" i="106" s="1"/>
  <c r="D36" i="106"/>
  <c r="D147" i="39" l="1"/>
  <c r="E147" i="39"/>
  <c r="C147" i="39"/>
  <c r="D65" i="39" l="1"/>
  <c r="C65" i="39"/>
  <c r="C10" i="104" l="1"/>
  <c r="C9" i="104"/>
  <c r="B29" i="16"/>
  <c r="B28" i="16"/>
  <c r="B27" i="16"/>
  <c r="B26" i="16"/>
  <c r="B25" i="16"/>
  <c r="B24" i="16"/>
  <c r="M130" i="39"/>
  <c r="L24" i="106" s="1"/>
  <c r="N130" i="39"/>
  <c r="M24" i="106" s="1"/>
  <c r="O130" i="39"/>
  <c r="N24" i="106" s="1"/>
  <c r="P130" i="39"/>
  <c r="O24" i="106" s="1"/>
  <c r="Q130" i="39"/>
  <c r="P24" i="106" s="1"/>
  <c r="R130" i="39"/>
  <c r="Q24" i="106" s="1"/>
  <c r="S130" i="39"/>
  <c r="R24" i="106" s="1"/>
  <c r="R102" i="39" l="1"/>
  <c r="Q102" i="39"/>
  <c r="P102" i="39"/>
  <c r="O102" i="39"/>
  <c r="N102" i="39"/>
  <c r="M102" i="39"/>
  <c r="T102" i="39"/>
  <c r="S102" i="39"/>
  <c r="T100" i="39"/>
  <c r="T98" i="39"/>
  <c r="T91" i="39"/>
  <c r="T85" i="39"/>
  <c r="G17" i="39"/>
  <c r="H17" i="39"/>
  <c r="I17" i="39"/>
  <c r="J17" i="39"/>
  <c r="K17" i="39"/>
  <c r="L17" i="39"/>
  <c r="M17" i="39"/>
  <c r="N17" i="39"/>
  <c r="O17" i="39"/>
  <c r="P17" i="39"/>
  <c r="Q17" i="39"/>
  <c r="R17" i="39"/>
  <c r="S17" i="39"/>
  <c r="T17" i="39"/>
  <c r="F17" i="39"/>
  <c r="F7" i="13"/>
  <c r="G7" i="13" s="1"/>
  <c r="H7" i="13" s="1"/>
  <c r="I7" i="13" s="1"/>
  <c r="J7" i="13" s="1"/>
  <c r="K7" i="13" s="1"/>
  <c r="L7" i="13" s="1"/>
  <c r="M7" i="13" s="1"/>
  <c r="N7" i="13" s="1"/>
  <c r="O7" i="13" s="1"/>
  <c r="P7" i="13" s="1"/>
  <c r="Q7" i="13" s="1"/>
  <c r="R7" i="13" s="1"/>
  <c r="S7" i="13" s="1"/>
  <c r="Q43" i="105"/>
  <c r="Q91" i="39" s="1"/>
  <c r="I43" i="105"/>
  <c r="I91" i="39" s="1"/>
  <c r="S43" i="105"/>
  <c r="S91" i="39" s="1"/>
  <c r="R43" i="105"/>
  <c r="R91" i="39" s="1"/>
  <c r="P43" i="105"/>
  <c r="P91" i="39" s="1"/>
  <c r="O43" i="105"/>
  <c r="O91" i="39" s="1"/>
  <c r="N43" i="105"/>
  <c r="N91" i="39" s="1"/>
  <c r="M43" i="105"/>
  <c r="M91" i="39" s="1"/>
  <c r="L43" i="105"/>
  <c r="L91" i="39" s="1"/>
  <c r="K43" i="105"/>
  <c r="K91" i="39" s="1"/>
  <c r="J43" i="105"/>
  <c r="J91" i="39" s="1"/>
  <c r="H43" i="105"/>
  <c r="H91" i="39" s="1"/>
  <c r="G43" i="105"/>
  <c r="G91" i="39" s="1"/>
  <c r="F43" i="105"/>
  <c r="F91" i="39" s="1"/>
  <c r="E43" i="105"/>
  <c r="E91" i="39" s="1"/>
  <c r="B48" i="16"/>
  <c r="S142" i="39" l="1"/>
  <c r="T142" i="39" l="1"/>
  <c r="B59" i="16" l="1"/>
  <c r="B60" i="16" s="1"/>
  <c r="B39" i="16"/>
  <c r="D39" i="16" s="1"/>
  <c r="D41" i="16" s="1"/>
  <c r="B46" i="16" s="1"/>
  <c r="H4" i="103"/>
  <c r="C11" i="104" l="1"/>
  <c r="D9" i="104" s="1"/>
  <c r="B63" i="16"/>
  <c r="B62" i="16"/>
  <c r="B61" i="16"/>
  <c r="B64" i="16" l="1"/>
  <c r="B47" i="16" s="1"/>
  <c r="B51" i="16" s="1"/>
  <c r="B53" i="16" s="1"/>
  <c r="D10" i="104"/>
  <c r="D11" i="104"/>
  <c r="M11" i="103" l="1"/>
  <c r="N11" i="103"/>
  <c r="O11" i="103"/>
  <c r="P11" i="103"/>
  <c r="Q11" i="103"/>
  <c r="R11" i="103"/>
  <c r="S11" i="103"/>
  <c r="S11" i="39" l="1"/>
  <c r="T11" i="39"/>
  <c r="Q11" i="39"/>
  <c r="R11" i="39"/>
  <c r="G11" i="39"/>
  <c r="H11" i="39"/>
  <c r="I11" i="39"/>
  <c r="J11" i="39"/>
  <c r="K11" i="39"/>
  <c r="L11" i="39"/>
  <c r="M11" i="39"/>
  <c r="N11" i="39"/>
  <c r="O11" i="39"/>
  <c r="P11" i="39"/>
  <c r="F11" i="39"/>
  <c r="E7" i="13"/>
  <c r="G31" i="99"/>
  <c r="B19" i="13"/>
  <c r="B18" i="13"/>
  <c r="B5" i="13"/>
  <c r="E34" i="98"/>
  <c r="B34" i="98"/>
  <c r="B88" i="99"/>
  <c r="B11" i="58" s="1"/>
  <c r="D48" i="99"/>
  <c r="D49" i="99"/>
  <c r="D50" i="99"/>
  <c r="D51" i="99"/>
  <c r="D52" i="99"/>
  <c r="D47" i="99"/>
  <c r="E43" i="99"/>
  <c r="G12" i="39" s="1"/>
  <c r="E39" i="99"/>
  <c r="D43" i="99"/>
  <c r="F6" i="99"/>
  <c r="F5" i="99"/>
  <c r="F4" i="99"/>
  <c r="F3" i="99"/>
  <c r="D39" i="99"/>
  <c r="H22" i="98"/>
  <c r="F23" i="98"/>
  <c r="F27" i="98"/>
  <c r="G14" i="99"/>
  <c r="G27" i="99"/>
  <c r="G26" i="99"/>
  <c r="G24" i="99"/>
  <c r="G23" i="99"/>
  <c r="G21" i="99"/>
  <c r="G18" i="99"/>
  <c r="G16" i="99"/>
  <c r="R12" i="39" l="1"/>
  <c r="M12" i="39"/>
  <c r="Q12" i="39"/>
  <c r="L12" i="39"/>
  <c r="K28" i="105" s="1"/>
  <c r="K12" i="39"/>
  <c r="J12" i="39"/>
  <c r="T12" i="39"/>
  <c r="S28" i="105" s="1"/>
  <c r="F12" i="39"/>
  <c r="E28" i="105" s="1"/>
  <c r="I12" i="39"/>
  <c r="S12" i="39"/>
  <c r="N12" i="39"/>
  <c r="P12" i="39"/>
  <c r="H12" i="39"/>
  <c r="G28" i="105" s="1"/>
  <c r="O12" i="39"/>
  <c r="N28" i="105" s="1"/>
  <c r="D53" i="99"/>
  <c r="E8" i="13" s="1"/>
  <c r="F8" i="13" s="1"/>
  <c r="L28" i="105"/>
  <c r="H28" i="105"/>
  <c r="M28" i="105"/>
  <c r="P28" i="105"/>
  <c r="Q28" i="105"/>
  <c r="O28" i="105"/>
  <c r="F28" i="105"/>
  <c r="T10" i="39"/>
  <c r="S10" i="39"/>
  <c r="R28" i="105"/>
  <c r="J28" i="105"/>
  <c r="I28" i="105"/>
  <c r="R10" i="39"/>
  <c r="Q10" i="39"/>
  <c r="B17" i="56"/>
  <c r="B66" i="101"/>
  <c r="B67" i="101"/>
  <c r="B68" i="101"/>
  <c r="B69" i="101"/>
  <c r="B70" i="101"/>
  <c r="B65" i="101"/>
  <c r="D6" i="101"/>
  <c r="D5" i="101"/>
  <c r="D4" i="101"/>
  <c r="D3" i="101"/>
  <c r="C60" i="101"/>
  <c r="C61" i="101" s="1"/>
  <c r="C56" i="101"/>
  <c r="C57" i="101" s="1"/>
  <c r="B89" i="101"/>
  <c r="G33" i="99"/>
  <c r="G32" i="99"/>
  <c r="F18" i="39" l="1"/>
  <c r="Q4" i="106"/>
  <c r="O4" i="106"/>
  <c r="R4" i="106"/>
  <c r="P4" i="106"/>
  <c r="G8" i="13"/>
  <c r="G18" i="39"/>
  <c r="Q176" i="39"/>
  <c r="R176" i="39"/>
  <c r="T176" i="39"/>
  <c r="S66" i="99"/>
  <c r="S176" i="39"/>
  <c r="R66" i="99"/>
  <c r="B71" i="101"/>
  <c r="H8" i="13" l="1"/>
  <c r="H18" i="39"/>
  <c r="N21" i="99"/>
  <c r="N17" i="99"/>
  <c r="N19" i="99"/>
  <c r="F21" i="13"/>
  <c r="G21" i="13" s="1"/>
  <c r="H21" i="13" s="1"/>
  <c r="I21" i="13" s="1"/>
  <c r="J21" i="13" s="1"/>
  <c r="K21" i="13" s="1"/>
  <c r="L21" i="13" s="1"/>
  <c r="M21" i="13" s="1"/>
  <c r="N21" i="13" s="1"/>
  <c r="O21" i="13" s="1"/>
  <c r="P21" i="13" s="1"/>
  <c r="Q21" i="13" s="1"/>
  <c r="R21" i="13" s="1"/>
  <c r="S21" i="13" s="1"/>
  <c r="B60" i="99"/>
  <c r="N22" i="99"/>
  <c r="N20" i="99"/>
  <c r="N18" i="99"/>
  <c r="N16" i="99"/>
  <c r="N15" i="99"/>
  <c r="C19" i="16"/>
  <c r="C18" i="16" s="1"/>
  <c r="I8" i="13" l="1"/>
  <c r="I18" i="39"/>
  <c r="G30" i="99"/>
  <c r="W40" i="101"/>
  <c r="W41" i="101" s="1"/>
  <c r="P10" i="39"/>
  <c r="H10" i="39"/>
  <c r="V40" i="101"/>
  <c r="V41" i="101" s="1"/>
  <c r="O10" i="39"/>
  <c r="G10" i="39"/>
  <c r="U40" i="101"/>
  <c r="U41" i="101" s="1"/>
  <c r="T40" i="101"/>
  <c r="T41" i="101" s="1"/>
  <c r="N10" i="39"/>
  <c r="L10" i="39"/>
  <c r="K10" i="39"/>
  <c r="J10" i="39"/>
  <c r="F10" i="39"/>
  <c r="I10" i="39"/>
  <c r="C2" i="56"/>
  <c r="D2" i="56"/>
  <c r="E2" i="56"/>
  <c r="F2" i="56"/>
  <c r="G2" i="56"/>
  <c r="H2" i="56"/>
  <c r="I2" i="56"/>
  <c r="J2" i="56"/>
  <c r="K2" i="56"/>
  <c r="B2" i="56"/>
  <c r="I4" i="106" l="1"/>
  <c r="F4" i="106"/>
  <c r="N4" i="106"/>
  <c r="H4" i="106"/>
  <c r="L4" i="106"/>
  <c r="J4" i="106"/>
  <c r="G4" i="106"/>
  <c r="E4" i="106"/>
  <c r="D4" i="106"/>
  <c r="M4" i="106"/>
  <c r="J8" i="13"/>
  <c r="J18" i="39"/>
  <c r="M40" i="101"/>
  <c r="M41" i="101" s="1"/>
  <c r="M66" i="99"/>
  <c r="M67" i="99" s="1"/>
  <c r="H40" i="101"/>
  <c r="H41" i="101" s="1"/>
  <c r="H66" i="99"/>
  <c r="H67" i="99" s="1"/>
  <c r="I40" i="101"/>
  <c r="I41" i="101" s="1"/>
  <c r="I66" i="99"/>
  <c r="I67" i="99" s="1"/>
  <c r="F40" i="101"/>
  <c r="F41" i="101" s="1"/>
  <c r="F66" i="99"/>
  <c r="F67" i="99" s="1"/>
  <c r="Q40" i="101"/>
  <c r="Q41" i="101" s="1"/>
  <c r="Q66" i="99"/>
  <c r="Q67" i="99" s="1"/>
  <c r="N40" i="101"/>
  <c r="N41" i="101" s="1"/>
  <c r="N66" i="99"/>
  <c r="N67" i="99" s="1"/>
  <c r="J40" i="101"/>
  <c r="J41" i="101" s="1"/>
  <c r="J66" i="99"/>
  <c r="J67" i="99" s="1"/>
  <c r="K40" i="101"/>
  <c r="K41" i="101" s="1"/>
  <c r="K66" i="99"/>
  <c r="K67" i="99" s="1"/>
  <c r="G40" i="101"/>
  <c r="G41" i="101" s="1"/>
  <c r="G66" i="99"/>
  <c r="G67" i="99" s="1"/>
  <c r="S40" i="101"/>
  <c r="S41" i="101" s="1"/>
  <c r="S67" i="99"/>
  <c r="O40" i="101"/>
  <c r="O41" i="101" s="1"/>
  <c r="O66" i="99"/>
  <c r="O67" i="99" s="1"/>
  <c r="E40" i="101"/>
  <c r="E41" i="101" s="1"/>
  <c r="E66" i="99"/>
  <c r="E67" i="99" s="1"/>
  <c r="J5" i="56"/>
  <c r="M10" i="39"/>
  <c r="H5" i="56"/>
  <c r="B5" i="56"/>
  <c r="G5" i="56"/>
  <c r="C5" i="56"/>
  <c r="D5" i="56"/>
  <c r="F5" i="56"/>
  <c r="K5" i="56"/>
  <c r="E5" i="56"/>
  <c r="B20" i="56" s="1"/>
  <c r="C20" i="56" s="1"/>
  <c r="K4" i="106" l="1"/>
  <c r="K8" i="13"/>
  <c r="K18" i="39"/>
  <c r="L40" i="101"/>
  <c r="L41" i="101" s="1"/>
  <c r="L66" i="99"/>
  <c r="L67" i="99" s="1"/>
  <c r="P40" i="101"/>
  <c r="P41" i="101" s="1"/>
  <c r="P66" i="99"/>
  <c r="P67" i="99" s="1"/>
  <c r="R40" i="101"/>
  <c r="R41" i="101" s="1"/>
  <c r="R67" i="99"/>
  <c r="G22" i="98"/>
  <c r="I22" i="98" s="1"/>
  <c r="D22" i="98"/>
  <c r="F20" i="56"/>
  <c r="D20" i="56"/>
  <c r="I5" i="56"/>
  <c r="E18" i="13"/>
  <c r="E5" i="13"/>
  <c r="G10" i="98"/>
  <c r="L6" i="98"/>
  <c r="K6" i="98"/>
  <c r="L3" i="98"/>
  <c r="K3" i="98"/>
  <c r="H1" i="98"/>
  <c r="H6" i="98"/>
  <c r="I6" i="98"/>
  <c r="H7" i="98"/>
  <c r="I7" i="98"/>
  <c r="F14" i="98"/>
  <c r="F15" i="98"/>
  <c r="E16" i="98"/>
  <c r="F16" i="98"/>
  <c r="E18" i="98"/>
  <c r="L8" i="13" l="1"/>
  <c r="L18" i="39"/>
  <c r="I23" i="98"/>
  <c r="J22" i="98"/>
  <c r="E20" i="56"/>
  <c r="E4" i="13"/>
  <c r="F4" i="13" s="1"/>
  <c r="G4" i="13" s="1"/>
  <c r="H4" i="13" s="1"/>
  <c r="I4" i="13" s="1"/>
  <c r="J4" i="13" s="1"/>
  <c r="K4" i="13" s="1"/>
  <c r="L4" i="13" s="1"/>
  <c r="M4" i="13" s="1"/>
  <c r="N4" i="13" s="1"/>
  <c r="O4" i="13" s="1"/>
  <c r="P4" i="13" s="1"/>
  <c r="Q4" i="13" s="1"/>
  <c r="R4" i="13" s="1"/>
  <c r="S4" i="13" s="1"/>
  <c r="M8" i="13" l="1"/>
  <c r="M18" i="39"/>
  <c r="E3" i="13"/>
  <c r="F3" i="13" s="1"/>
  <c r="G3" i="13" s="1"/>
  <c r="H3" i="13" s="1"/>
  <c r="I3" i="13" s="1"/>
  <c r="J3" i="13" s="1"/>
  <c r="K3" i="13" s="1"/>
  <c r="L3" i="13" s="1"/>
  <c r="M3" i="13" s="1"/>
  <c r="N3" i="13" s="1"/>
  <c r="O3" i="13" s="1"/>
  <c r="P3" i="13" s="1"/>
  <c r="Q3" i="13" s="1"/>
  <c r="R3" i="13" s="1"/>
  <c r="S3" i="13" s="1"/>
  <c r="F28" i="39"/>
  <c r="N8" i="13" l="1"/>
  <c r="N18" i="39"/>
  <c r="F176" i="39"/>
  <c r="G28" i="39"/>
  <c r="H28" i="39" s="1"/>
  <c r="I28" i="39" s="1"/>
  <c r="J28" i="39" s="1"/>
  <c r="K28" i="39" s="1"/>
  <c r="L28" i="39" s="1"/>
  <c r="M28" i="39" s="1"/>
  <c r="N28" i="39" s="1"/>
  <c r="O28" i="39" s="1"/>
  <c r="P28" i="39" s="1"/>
  <c r="Q28" i="39" s="1"/>
  <c r="O8" i="13" l="1"/>
  <c r="O18" i="39"/>
  <c r="R28" i="39"/>
  <c r="S28" i="39" s="1"/>
  <c r="T28" i="39" s="1"/>
  <c r="G176" i="39"/>
  <c r="P8" i="13" l="1"/>
  <c r="P18" i="39"/>
  <c r="H176" i="39"/>
  <c r="Q8" i="13" l="1"/>
  <c r="Q18" i="39"/>
  <c r="I176" i="39"/>
  <c r="B3" i="57"/>
  <c r="R8" i="13" l="1"/>
  <c r="R18" i="39"/>
  <c r="B15" i="57"/>
  <c r="J176" i="39"/>
  <c r="S8" i="13" l="1"/>
  <c r="T18" i="39" s="1"/>
  <c r="S18" i="39"/>
  <c r="D15" i="57"/>
  <c r="E15" i="57"/>
  <c r="F15" i="57"/>
  <c r="C15" i="57"/>
  <c r="K176" i="39"/>
  <c r="L176" i="39" l="1"/>
  <c r="M176" i="39" l="1"/>
  <c r="N176" i="39" l="1"/>
  <c r="B19" i="57" l="1"/>
  <c r="C19" i="57" s="1"/>
  <c r="D19" i="57" s="1"/>
  <c r="E19" i="57" s="1"/>
  <c r="F19" i="57" s="1"/>
  <c r="O176" i="39"/>
  <c r="P176" i="39"/>
  <c r="C17" i="16" l="1"/>
  <c r="E4" i="16"/>
  <c r="E3" i="16" l="1"/>
  <c r="E15" i="16" l="1"/>
  <c r="B78" i="101" l="1"/>
  <c r="C60" i="99"/>
  <c r="B77" i="101"/>
  <c r="B85" i="101" s="1"/>
  <c r="B76" i="101"/>
  <c r="E10" i="13" l="1"/>
  <c r="F20" i="39" s="1"/>
  <c r="E31" i="105" s="1"/>
  <c r="D31" i="105" s="1"/>
  <c r="F19" i="39"/>
  <c r="F9" i="13"/>
  <c r="B90" i="101"/>
  <c r="B91" i="101" s="1"/>
  <c r="B92" i="101" s="1"/>
  <c r="I88" i="101"/>
  <c r="D88" i="101"/>
  <c r="C88" i="101"/>
  <c r="H87" i="101"/>
  <c r="D87" i="101"/>
  <c r="F88" i="101"/>
  <c r="C87" i="101"/>
  <c r="G88" i="101"/>
  <c r="G87" i="101"/>
  <c r="I87" i="101"/>
  <c r="F87" i="101"/>
  <c r="C85" i="101"/>
  <c r="H88" i="101"/>
  <c r="E88" i="101"/>
  <c r="J88" i="101"/>
  <c r="E87" i="101"/>
  <c r="J87" i="101"/>
  <c r="B20" i="57"/>
  <c r="C20" i="57" s="1"/>
  <c r="D20" i="57" s="1"/>
  <c r="E20" i="57" s="1"/>
  <c r="F20" i="57" s="1"/>
  <c r="F10" i="13" l="1"/>
  <c r="G10" i="13" s="1"/>
  <c r="E6" i="13"/>
  <c r="G19" i="39"/>
  <c r="G9" i="13"/>
  <c r="D42" i="105"/>
  <c r="D43" i="105" s="1"/>
  <c r="D91" i="39" s="1"/>
  <c r="D32" i="105"/>
  <c r="D98" i="39" s="1"/>
  <c r="G89" i="101"/>
  <c r="I89" i="101"/>
  <c r="D89" i="101"/>
  <c r="C89" i="101"/>
  <c r="C90" i="101"/>
  <c r="C86" i="101"/>
  <c r="H89" i="101"/>
  <c r="F89" i="101"/>
  <c r="J89" i="101"/>
  <c r="E89" i="101"/>
  <c r="F6" i="13" l="1"/>
  <c r="G20" i="39"/>
  <c r="F31" i="105" s="1"/>
  <c r="E13" i="13"/>
  <c r="C19" i="13" s="1"/>
  <c r="F16" i="39"/>
  <c r="H10" i="13"/>
  <c r="H20" i="39"/>
  <c r="G31" i="105" s="1"/>
  <c r="C31" i="105" s="1"/>
  <c r="H19" i="39"/>
  <c r="G6" i="13"/>
  <c r="H9" i="13"/>
  <c r="D55" i="105"/>
  <c r="C91" i="101"/>
  <c r="C92" i="101" s="1"/>
  <c r="D85" i="101"/>
  <c r="H16" i="39" l="1"/>
  <c r="D8" i="56" s="1"/>
  <c r="G13" i="13"/>
  <c r="G16" i="39"/>
  <c r="C8" i="56" s="1"/>
  <c r="F13" i="13"/>
  <c r="B8" i="56"/>
  <c r="D6" i="106"/>
  <c r="G12" i="99"/>
  <c r="E19" i="13"/>
  <c r="E17" i="13" s="1"/>
  <c r="I9" i="13"/>
  <c r="I19" i="39"/>
  <c r="H6" i="13"/>
  <c r="C42" i="105"/>
  <c r="C43" i="105" s="1"/>
  <c r="C91" i="39" s="1"/>
  <c r="C32" i="105"/>
  <c r="C98" i="39" s="1"/>
  <c r="I10" i="13"/>
  <c r="I20" i="39"/>
  <c r="H31" i="105" s="1"/>
  <c r="D90" i="101"/>
  <c r="D86" i="101"/>
  <c r="E6" i="106" l="1"/>
  <c r="F6" i="106"/>
  <c r="I16" i="39"/>
  <c r="E8" i="56" s="1"/>
  <c r="B23" i="56" s="1"/>
  <c r="H13" i="13"/>
  <c r="G6" i="106"/>
  <c r="B7" i="57"/>
  <c r="B24" i="57" s="1"/>
  <c r="F15" i="39"/>
  <c r="E16" i="13"/>
  <c r="J10" i="13"/>
  <c r="J20" i="39"/>
  <c r="I31" i="105" s="1"/>
  <c r="C55" i="105"/>
  <c r="J9" i="13"/>
  <c r="I6" i="13"/>
  <c r="J19" i="39"/>
  <c r="E85" i="101"/>
  <c r="D91" i="101"/>
  <c r="D92" i="101" s="1"/>
  <c r="E22" i="13" l="1"/>
  <c r="F16" i="13"/>
  <c r="J16" i="39"/>
  <c r="H6" i="106" s="1"/>
  <c r="I13" i="13"/>
  <c r="D23" i="56"/>
  <c r="F23" i="56"/>
  <c r="E23" i="56"/>
  <c r="C23" i="56"/>
  <c r="D5" i="106"/>
  <c r="D7" i="106" s="1"/>
  <c r="G15" i="39"/>
  <c r="E30" i="105"/>
  <c r="B7" i="56"/>
  <c r="K9" i="13"/>
  <c r="J6" i="13"/>
  <c r="K19" i="39"/>
  <c r="K10" i="13"/>
  <c r="K20" i="39"/>
  <c r="J31" i="105" s="1"/>
  <c r="C24" i="57"/>
  <c r="E86" i="101"/>
  <c r="E90" i="101"/>
  <c r="F8" i="56" l="1"/>
  <c r="K16" i="39"/>
  <c r="I6" i="106" s="1"/>
  <c r="J13" i="13"/>
  <c r="G16" i="13"/>
  <c r="F22" i="13"/>
  <c r="E5" i="106"/>
  <c r="E7" i="106" s="1"/>
  <c r="F30" i="105"/>
  <c r="C7" i="56"/>
  <c r="L9" i="13"/>
  <c r="K6" i="13"/>
  <c r="L19" i="39"/>
  <c r="L10" i="13"/>
  <c r="L20" i="39"/>
  <c r="K31" i="105" s="1"/>
  <c r="D24" i="57"/>
  <c r="F85" i="101"/>
  <c r="E91" i="101"/>
  <c r="E92" i="101" s="1"/>
  <c r="B17" i="57"/>
  <c r="G8" i="56" l="1"/>
  <c r="H16" i="13"/>
  <c r="I15" i="39" s="1"/>
  <c r="G22" i="13"/>
  <c r="L16" i="39"/>
  <c r="H8" i="56" s="1"/>
  <c r="K13" i="13"/>
  <c r="H15" i="39"/>
  <c r="G30" i="105" s="1"/>
  <c r="M10" i="13"/>
  <c r="M20" i="39"/>
  <c r="L31" i="105" s="1"/>
  <c r="M9" i="13"/>
  <c r="L6" i="13"/>
  <c r="M19" i="39"/>
  <c r="E24" i="57"/>
  <c r="C17" i="57"/>
  <c r="F17" i="57"/>
  <c r="E17" i="57"/>
  <c r="F86" i="101"/>
  <c r="F90" i="101"/>
  <c r="J6" i="106" l="1"/>
  <c r="F5" i="106"/>
  <c r="F7" i="106" s="1"/>
  <c r="M16" i="39"/>
  <c r="I8" i="56" s="1"/>
  <c r="L13" i="13"/>
  <c r="D7" i="56"/>
  <c r="I16" i="13"/>
  <c r="J15" i="39" s="1"/>
  <c r="H22" i="13"/>
  <c r="K6" i="106"/>
  <c r="G5" i="106"/>
  <c r="G7" i="106" s="1"/>
  <c r="E7" i="56"/>
  <c r="B4" i="57"/>
  <c r="B5" i="57" s="1"/>
  <c r="H30" i="105"/>
  <c r="N9" i="13"/>
  <c r="N19" i="39"/>
  <c r="M6" i="13"/>
  <c r="N10" i="13"/>
  <c r="N20" i="39"/>
  <c r="M31" i="105" s="1"/>
  <c r="F24" i="57"/>
  <c r="D17" i="57"/>
  <c r="F91" i="101"/>
  <c r="F92" i="101" s="1"/>
  <c r="G85" i="101"/>
  <c r="J16" i="13" l="1"/>
  <c r="I22" i="13"/>
  <c r="N16" i="39"/>
  <c r="M13" i="13"/>
  <c r="J8" i="56"/>
  <c r="L6" i="106"/>
  <c r="H5" i="106"/>
  <c r="H7" i="106" s="1"/>
  <c r="K15" i="39"/>
  <c r="B22" i="56"/>
  <c r="C22" i="56"/>
  <c r="F22" i="56"/>
  <c r="I30" i="105"/>
  <c r="F7" i="56"/>
  <c r="O10" i="13"/>
  <c r="O20" i="39"/>
  <c r="N31" i="105" s="1"/>
  <c r="O9" i="13"/>
  <c r="O19" i="39"/>
  <c r="N6" i="13"/>
  <c r="G86" i="101"/>
  <c r="G90" i="101"/>
  <c r="G92" i="101" s="1"/>
  <c r="O16" i="39" l="1"/>
  <c r="N13" i="13"/>
  <c r="K16" i="13"/>
  <c r="J22" i="13"/>
  <c r="K8" i="56"/>
  <c r="M6" i="106"/>
  <c r="I5" i="106"/>
  <c r="I7" i="106" s="1"/>
  <c r="E22" i="56"/>
  <c r="D22" i="56"/>
  <c r="B21" i="56"/>
  <c r="L15" i="39"/>
  <c r="J30" i="105"/>
  <c r="G7" i="56"/>
  <c r="P9" i="13"/>
  <c r="P19" i="39"/>
  <c r="O6" i="13"/>
  <c r="P10" i="13"/>
  <c r="P20" i="39"/>
  <c r="O31" i="105" s="1"/>
  <c r="G91" i="101"/>
  <c r="H85" i="101"/>
  <c r="L16" i="13" l="1"/>
  <c r="K22" i="13"/>
  <c r="P16" i="39"/>
  <c r="O13" i="13"/>
  <c r="J5" i="106"/>
  <c r="J7" i="106" s="1"/>
  <c r="N6" i="106"/>
  <c r="K30" i="105"/>
  <c r="H7" i="56"/>
  <c r="M15" i="39"/>
  <c r="F21" i="56"/>
  <c r="B24" i="56"/>
  <c r="Q10" i="13"/>
  <c r="Q20" i="39"/>
  <c r="P31" i="105" s="1"/>
  <c r="Q9" i="13"/>
  <c r="Q19" i="39"/>
  <c r="P6" i="13"/>
  <c r="H90" i="101"/>
  <c r="H92" i="101" s="1"/>
  <c r="H86" i="101"/>
  <c r="Q16" i="39" l="1"/>
  <c r="P13" i="13"/>
  <c r="M16" i="13"/>
  <c r="L22" i="13"/>
  <c r="K5" i="106"/>
  <c r="K7" i="106" s="1"/>
  <c r="O6" i="106"/>
  <c r="L30" i="105"/>
  <c r="I7" i="56"/>
  <c r="R10" i="13"/>
  <c r="R20" i="39"/>
  <c r="Q31" i="105" s="1"/>
  <c r="R9" i="13"/>
  <c r="Q6" i="13"/>
  <c r="R19" i="39"/>
  <c r="H91" i="101"/>
  <c r="I85" i="101"/>
  <c r="R16" i="39" l="1"/>
  <c r="Q13" i="13"/>
  <c r="N16" i="13"/>
  <c r="M22" i="13"/>
  <c r="N15" i="39"/>
  <c r="J7" i="56" s="1"/>
  <c r="P6" i="106"/>
  <c r="S9" i="13"/>
  <c r="R6" i="13"/>
  <c r="S19" i="39"/>
  <c r="S10" i="13"/>
  <c r="T20" i="39" s="1"/>
  <c r="S31" i="105" s="1"/>
  <c r="S20" i="39"/>
  <c r="R31" i="105" s="1"/>
  <c r="I90" i="101"/>
  <c r="I92" i="101" s="1"/>
  <c r="I86" i="101"/>
  <c r="M30" i="105" l="1"/>
  <c r="L5" i="106"/>
  <c r="L7" i="106" s="1"/>
  <c r="O16" i="13"/>
  <c r="P15" i="39" s="1"/>
  <c r="N22" i="13"/>
  <c r="S16" i="39"/>
  <c r="R13" i="13"/>
  <c r="O15" i="39"/>
  <c r="N30" i="105" s="1"/>
  <c r="Q6" i="106"/>
  <c r="S6" i="13"/>
  <c r="T19" i="39"/>
  <c r="I91" i="101"/>
  <c r="J85" i="101"/>
  <c r="M5" i="106" l="1"/>
  <c r="M7" i="106" s="1"/>
  <c r="K7" i="56"/>
  <c r="T16" i="39"/>
  <c r="R6" i="106" s="1"/>
  <c r="S13" i="13"/>
  <c r="P16" i="13"/>
  <c r="Q15" i="39" s="1"/>
  <c r="O22" i="13"/>
  <c r="O30" i="105"/>
  <c r="N5" i="106"/>
  <c r="N7" i="106" s="1"/>
  <c r="J90" i="101"/>
  <c r="J92" i="101" s="1"/>
  <c r="J86" i="101"/>
  <c r="J91" i="101" s="1"/>
  <c r="Q16" i="13" l="1"/>
  <c r="P22" i="13"/>
  <c r="O5" i="106"/>
  <c r="O7" i="106" s="1"/>
  <c r="R15" i="39"/>
  <c r="Q21" i="39"/>
  <c r="P30" i="105"/>
  <c r="R16" i="13" l="1"/>
  <c r="Q22" i="13"/>
  <c r="P5" i="106"/>
  <c r="P7" i="106" s="1"/>
  <c r="Q72" i="39"/>
  <c r="Q23" i="39"/>
  <c r="P29" i="105"/>
  <c r="P32" i="105" s="1"/>
  <c r="Q71" i="39"/>
  <c r="Q177" i="39"/>
  <c r="Q178" i="39" s="1"/>
  <c r="R21" i="39"/>
  <c r="Q30" i="105"/>
  <c r="S15" i="39"/>
  <c r="F21" i="39"/>
  <c r="F72" i="39" s="1"/>
  <c r="F6" i="56"/>
  <c r="F9" i="56" s="1"/>
  <c r="D6" i="56"/>
  <c r="D9" i="56" s="1"/>
  <c r="G21" i="39"/>
  <c r="G72" i="39" s="1"/>
  <c r="W45" i="101"/>
  <c r="L21" i="39"/>
  <c r="L72" i="39" s="1"/>
  <c r="O21" i="39"/>
  <c r="O72" i="39" s="1"/>
  <c r="K21" i="39"/>
  <c r="K72" i="39" s="1"/>
  <c r="V45" i="101"/>
  <c r="J6" i="56"/>
  <c r="J9" i="56" s="1"/>
  <c r="I6" i="56"/>
  <c r="I9" i="56" s="1"/>
  <c r="P21" i="39"/>
  <c r="P72" i="39" s="1"/>
  <c r="T45" i="101"/>
  <c r="U45" i="101"/>
  <c r="S16" i="13" l="1"/>
  <c r="R22" i="13"/>
  <c r="Q81" i="39"/>
  <c r="P55" i="105"/>
  <c r="P98" i="39"/>
  <c r="Q5" i="106"/>
  <c r="Q7" i="106" s="1"/>
  <c r="R30" i="105"/>
  <c r="S21" i="39"/>
  <c r="R72" i="39"/>
  <c r="R177" i="39"/>
  <c r="R178" i="39" s="1"/>
  <c r="R23" i="39"/>
  <c r="Q29" i="105"/>
  <c r="Q32" i="105" s="1"/>
  <c r="R71" i="39"/>
  <c r="P87" i="39"/>
  <c r="Q24" i="39"/>
  <c r="Q25" i="39"/>
  <c r="Q26" i="39"/>
  <c r="J29" i="105"/>
  <c r="J32" i="105" s="1"/>
  <c r="K71" i="39"/>
  <c r="K29" i="105"/>
  <c r="K32" i="105" s="1"/>
  <c r="L71" i="39"/>
  <c r="O29" i="105"/>
  <c r="O32" i="105" s="1"/>
  <c r="P71" i="39"/>
  <c r="F29" i="105"/>
  <c r="F32" i="105" s="1"/>
  <c r="G71" i="39"/>
  <c r="N29" i="105"/>
  <c r="N32" i="105" s="1"/>
  <c r="O71" i="39"/>
  <c r="E29" i="105"/>
  <c r="E32" i="105" s="1"/>
  <c r="F71" i="39"/>
  <c r="J21" i="39"/>
  <c r="J72" i="39" s="1"/>
  <c r="F45" i="101"/>
  <c r="F50" i="101" s="1"/>
  <c r="F51" i="101" s="1"/>
  <c r="F71" i="99"/>
  <c r="R45" i="101"/>
  <c r="R46" i="101" s="1"/>
  <c r="J45" i="101"/>
  <c r="J50" i="101" s="1"/>
  <c r="J51" i="101" s="1"/>
  <c r="J71" i="99"/>
  <c r="Q45" i="101"/>
  <c r="Q50" i="101" s="1"/>
  <c r="Q51" i="101" s="1"/>
  <c r="Q71" i="99"/>
  <c r="S45" i="101"/>
  <c r="S46" i="101" s="1"/>
  <c r="N45" i="101"/>
  <c r="N50" i="101" s="1"/>
  <c r="N51" i="101" s="1"/>
  <c r="N71" i="99"/>
  <c r="O45" i="101"/>
  <c r="O50" i="101" s="1"/>
  <c r="O51" i="101" s="1"/>
  <c r="O71" i="99"/>
  <c r="K45" i="101"/>
  <c r="K46" i="101" s="1"/>
  <c r="K71" i="99"/>
  <c r="E45" i="101"/>
  <c r="E50" i="101" s="1"/>
  <c r="E51" i="101" s="1"/>
  <c r="E71" i="99"/>
  <c r="P45" i="101"/>
  <c r="P46" i="101" s="1"/>
  <c r="P71" i="99"/>
  <c r="K6" i="56"/>
  <c r="K9" i="56" s="1"/>
  <c r="G6" i="56"/>
  <c r="G9" i="56" s="1"/>
  <c r="M21" i="39"/>
  <c r="M72" i="39" s="1"/>
  <c r="B6" i="56"/>
  <c r="B9" i="56" s="1"/>
  <c r="H6" i="56"/>
  <c r="H9" i="56" s="1"/>
  <c r="P23" i="39"/>
  <c r="P25" i="39" s="1"/>
  <c r="P177" i="39"/>
  <c r="P178" i="39" s="1"/>
  <c r="T46" i="101"/>
  <c r="T50" i="101"/>
  <c r="T51" i="101" s="1"/>
  <c r="U46" i="101"/>
  <c r="U50" i="101"/>
  <c r="U51" i="101" s="1"/>
  <c r="V50" i="101"/>
  <c r="V51" i="101" s="1"/>
  <c r="V46" i="101"/>
  <c r="W50" i="101"/>
  <c r="W51" i="101" s="1"/>
  <c r="W46" i="101"/>
  <c r="C6" i="56"/>
  <c r="C9" i="56" s="1"/>
  <c r="H21" i="39"/>
  <c r="I21" i="39"/>
  <c r="I72" i="39" s="1"/>
  <c r="N21" i="39"/>
  <c r="N72" i="39" s="1"/>
  <c r="L177" i="39"/>
  <c r="L178" i="39" s="1"/>
  <c r="L23" i="39"/>
  <c r="L25" i="39" s="1"/>
  <c r="O177" i="39"/>
  <c r="O178" i="39" s="1"/>
  <c r="O23" i="39"/>
  <c r="O25" i="39" s="1"/>
  <c r="K23" i="39"/>
  <c r="K25" i="39" s="1"/>
  <c r="K177" i="39"/>
  <c r="K178" i="39" s="1"/>
  <c r="G23" i="39"/>
  <c r="G25" i="39" s="1"/>
  <c r="G177" i="39"/>
  <c r="G178" i="39" s="1"/>
  <c r="F177" i="39"/>
  <c r="F178" i="39" s="1"/>
  <c r="F23" i="39"/>
  <c r="F25" i="39" s="1"/>
  <c r="S22" i="13" l="1"/>
  <c r="T15" i="39"/>
  <c r="R81" i="39"/>
  <c r="F55" i="105"/>
  <c r="F98" i="39"/>
  <c r="F97" i="39"/>
  <c r="F92" i="39"/>
  <c r="O55" i="105"/>
  <c r="O97" i="39"/>
  <c r="O92" i="39"/>
  <c r="O98" i="39"/>
  <c r="E55" i="105"/>
  <c r="E98" i="39"/>
  <c r="K55" i="105"/>
  <c r="K97" i="39"/>
  <c r="K92" i="39"/>
  <c r="K98" i="39"/>
  <c r="P92" i="39"/>
  <c r="P97" i="39"/>
  <c r="N55" i="105"/>
  <c r="N98" i="39"/>
  <c r="J55" i="105"/>
  <c r="J98" i="39"/>
  <c r="Q55" i="105"/>
  <c r="Q97" i="39"/>
  <c r="Q98" i="39"/>
  <c r="Q92" i="39"/>
  <c r="O12" i="106"/>
  <c r="E87" i="39"/>
  <c r="E94" i="39" s="1"/>
  <c r="F81" i="39"/>
  <c r="K87" i="39"/>
  <c r="L81" i="39"/>
  <c r="N87" i="39"/>
  <c r="O81" i="39"/>
  <c r="J87" i="39"/>
  <c r="K81" i="39"/>
  <c r="O87" i="39"/>
  <c r="P81" i="39"/>
  <c r="F87" i="39"/>
  <c r="F94" i="39" s="1"/>
  <c r="G81" i="39"/>
  <c r="Q87" i="39"/>
  <c r="T87" i="39"/>
  <c r="T94" i="39" s="1"/>
  <c r="R24" i="39"/>
  <c r="R25" i="39"/>
  <c r="R26" i="39"/>
  <c r="Q30" i="39"/>
  <c r="Q29" i="39"/>
  <c r="S72" i="39"/>
  <c r="S177" i="39"/>
  <c r="S178" i="39" s="1"/>
  <c r="R71" i="99"/>
  <c r="R72" i="99" s="1"/>
  <c r="S71" i="39"/>
  <c r="R29" i="105"/>
  <c r="R32" i="105" s="1"/>
  <c r="S23" i="39"/>
  <c r="H71" i="39"/>
  <c r="H72" i="39"/>
  <c r="M29" i="105"/>
  <c r="M32" i="105" s="1"/>
  <c r="N92" i="39" s="1"/>
  <c r="N71" i="39"/>
  <c r="H29" i="105"/>
  <c r="H32" i="105" s="1"/>
  <c r="I71" i="39"/>
  <c r="I29" i="105"/>
  <c r="I32" i="105" s="1"/>
  <c r="J97" i="39" s="1"/>
  <c r="J71" i="39"/>
  <c r="L29" i="105"/>
  <c r="L32" i="105" s="1"/>
  <c r="M71" i="39"/>
  <c r="J177" i="39"/>
  <c r="J178" i="39" s="1"/>
  <c r="G29" i="105"/>
  <c r="G32" i="105" s="1"/>
  <c r="E17" i="39"/>
  <c r="E20" i="39"/>
  <c r="E18" i="39"/>
  <c r="E19" i="39"/>
  <c r="R50" i="101"/>
  <c r="R51" i="101" s="1"/>
  <c r="I71" i="99"/>
  <c r="I76" i="99" s="1"/>
  <c r="I77" i="99" s="1"/>
  <c r="I45" i="101"/>
  <c r="I50" i="101" s="1"/>
  <c r="I51" i="101" s="1"/>
  <c r="J23" i="39"/>
  <c r="J25" i="39" s="1"/>
  <c r="F46" i="101"/>
  <c r="S50" i="101"/>
  <c r="S51" i="101" s="1"/>
  <c r="O46" i="101"/>
  <c r="J46" i="101"/>
  <c r="P50" i="101"/>
  <c r="P51" i="101" s="1"/>
  <c r="E46" i="101"/>
  <c r="N46" i="101"/>
  <c r="K50" i="101"/>
  <c r="K51" i="101" s="1"/>
  <c r="Q46" i="101"/>
  <c r="K76" i="99"/>
  <c r="K77" i="99" s="1"/>
  <c r="K72" i="99"/>
  <c r="Q76" i="99"/>
  <c r="Q77" i="99" s="1"/>
  <c r="Q72" i="99"/>
  <c r="L45" i="101"/>
  <c r="L46" i="101" s="1"/>
  <c r="L71" i="99"/>
  <c r="J76" i="99"/>
  <c r="J77" i="99" s="1"/>
  <c r="J72" i="99"/>
  <c r="M45" i="101"/>
  <c r="M50" i="101" s="1"/>
  <c r="M51" i="101" s="1"/>
  <c r="M71" i="99"/>
  <c r="P72" i="99"/>
  <c r="P76" i="99"/>
  <c r="P77" i="99" s="1"/>
  <c r="N72" i="99"/>
  <c r="N76" i="99"/>
  <c r="N77" i="99" s="1"/>
  <c r="O72" i="99"/>
  <c r="O76" i="99"/>
  <c r="O77" i="99" s="1"/>
  <c r="H45" i="101"/>
  <c r="H46" i="101" s="1"/>
  <c r="H71" i="99"/>
  <c r="G45" i="101"/>
  <c r="G46" i="101" s="1"/>
  <c r="G71" i="99"/>
  <c r="E72" i="99"/>
  <c r="E76" i="99"/>
  <c r="E77" i="99" s="1"/>
  <c r="F72" i="99"/>
  <c r="F76" i="99"/>
  <c r="F77" i="99" s="1"/>
  <c r="M23" i="39"/>
  <c r="M25" i="39" s="1"/>
  <c r="M177" i="39"/>
  <c r="M178" i="39" s="1"/>
  <c r="P24" i="39"/>
  <c r="P26" i="39"/>
  <c r="P30" i="39" s="1"/>
  <c r="E6" i="56"/>
  <c r="E9" i="56" s="1"/>
  <c r="C21" i="56"/>
  <c r="C24" i="56" s="1"/>
  <c r="D21" i="56"/>
  <c r="D24" i="56" s="1"/>
  <c r="E21" i="56"/>
  <c r="E24" i="56" s="1"/>
  <c r="B18" i="57"/>
  <c r="E16" i="39"/>
  <c r="N23" i="39"/>
  <c r="N25" i="39" s="1"/>
  <c r="I23" i="39"/>
  <c r="I25" i="39" s="1"/>
  <c r="I177" i="39"/>
  <c r="I178" i="39" s="1"/>
  <c r="H177" i="39"/>
  <c r="H178" i="39" s="1"/>
  <c r="E15" i="39"/>
  <c r="H23" i="39"/>
  <c r="N177" i="39"/>
  <c r="N178" i="39" s="1"/>
  <c r="F24" i="39"/>
  <c r="G26" i="39"/>
  <c r="G24" i="39"/>
  <c r="K26" i="39"/>
  <c r="K24" i="39"/>
  <c r="L24" i="39"/>
  <c r="L26" i="39"/>
  <c r="O24" i="39"/>
  <c r="O26" i="39"/>
  <c r="S30" i="105" l="1"/>
  <c r="T21" i="39"/>
  <c r="R5" i="106"/>
  <c r="R7" i="106" s="1"/>
  <c r="S81" i="39"/>
  <c r="Q94" i="39"/>
  <c r="M55" i="105"/>
  <c r="M98" i="39"/>
  <c r="M97" i="39"/>
  <c r="M92" i="39"/>
  <c r="P12" i="106"/>
  <c r="M12" i="106"/>
  <c r="J12" i="106"/>
  <c r="N12" i="106"/>
  <c r="H55" i="105"/>
  <c r="H97" i="39"/>
  <c r="H92" i="39"/>
  <c r="H98" i="39"/>
  <c r="R76" i="99"/>
  <c r="R77" i="99" s="1"/>
  <c r="J92" i="39"/>
  <c r="J94" i="39" s="1"/>
  <c r="C30" i="16"/>
  <c r="B30" i="16" s="1"/>
  <c r="B31" i="16" s="1"/>
  <c r="D12" i="106"/>
  <c r="L55" i="105"/>
  <c r="L97" i="39"/>
  <c r="L92" i="39"/>
  <c r="L98" i="39"/>
  <c r="I55" i="105"/>
  <c r="I97" i="39"/>
  <c r="I92" i="39"/>
  <c r="I98" i="39"/>
  <c r="R55" i="105"/>
  <c r="R97" i="39"/>
  <c r="R92" i="39"/>
  <c r="R98" i="39"/>
  <c r="I12" i="106"/>
  <c r="G55" i="105"/>
  <c r="G97" i="39"/>
  <c r="G92" i="39"/>
  <c r="G98" i="39"/>
  <c r="N94" i="39"/>
  <c r="N97" i="39"/>
  <c r="E12" i="106"/>
  <c r="H87" i="39"/>
  <c r="I81" i="39"/>
  <c r="L87" i="39"/>
  <c r="M81" i="39"/>
  <c r="M87" i="39"/>
  <c r="N81" i="39"/>
  <c r="I87" i="39"/>
  <c r="J81" i="39"/>
  <c r="G87" i="39"/>
  <c r="H81" i="39"/>
  <c r="J24" i="39"/>
  <c r="S24" i="39"/>
  <c r="S25" i="39"/>
  <c r="S26" i="39"/>
  <c r="R30" i="39"/>
  <c r="R29" i="39"/>
  <c r="R87" i="39"/>
  <c r="J26" i="39"/>
  <c r="J29" i="39" s="1"/>
  <c r="O94" i="39"/>
  <c r="P94" i="39"/>
  <c r="K94" i="39"/>
  <c r="I72" i="99"/>
  <c r="I46" i="101"/>
  <c r="H50" i="101"/>
  <c r="H51" i="101" s="1"/>
  <c r="M46" i="101"/>
  <c r="G50" i="101"/>
  <c r="G51" i="101" s="1"/>
  <c r="G72" i="99"/>
  <c r="G76" i="99"/>
  <c r="G77" i="99" s="1"/>
  <c r="L72" i="99"/>
  <c r="L76" i="99"/>
  <c r="L77" i="99" s="1"/>
  <c r="L50" i="101"/>
  <c r="L51" i="101" s="1"/>
  <c r="M72" i="99"/>
  <c r="M76" i="99"/>
  <c r="M77" i="99" s="1"/>
  <c r="H72" i="99"/>
  <c r="H76" i="99"/>
  <c r="H77" i="99" s="1"/>
  <c r="M26" i="39"/>
  <c r="M29" i="39" s="1"/>
  <c r="M24" i="39"/>
  <c r="P29" i="39"/>
  <c r="F24" i="56"/>
  <c r="C18" i="57"/>
  <c r="B21" i="57"/>
  <c r="B22" i="57" s="1"/>
  <c r="N24" i="39"/>
  <c r="N26" i="39"/>
  <c r="N29" i="39" s="1"/>
  <c r="H26" i="39"/>
  <c r="H29" i="39" s="1"/>
  <c r="H25" i="39"/>
  <c r="I24" i="39"/>
  <c r="H24" i="39"/>
  <c r="I26" i="39"/>
  <c r="G30" i="39"/>
  <c r="G29" i="39"/>
  <c r="O30" i="39"/>
  <c r="O29" i="39"/>
  <c r="L30" i="39"/>
  <c r="L29" i="39"/>
  <c r="K30" i="39"/>
  <c r="K29" i="39"/>
  <c r="T177" i="39" l="1"/>
  <c r="T178" i="39" s="1"/>
  <c r="T71" i="39"/>
  <c r="S71" i="99"/>
  <c r="S29" i="105"/>
  <c r="S32" i="105" s="1"/>
  <c r="T72" i="39"/>
  <c r="T23" i="39"/>
  <c r="H94" i="39"/>
  <c r="M94" i="39"/>
  <c r="G94" i="39"/>
  <c r="I94" i="39"/>
  <c r="L94" i="39"/>
  <c r="Q12" i="106"/>
  <c r="K12" i="106"/>
  <c r="R94" i="39"/>
  <c r="F12" i="106"/>
  <c r="E89" i="39"/>
  <c r="C31" i="16"/>
  <c r="D131" i="39"/>
  <c r="G12" i="106"/>
  <c r="H12" i="106"/>
  <c r="L12" i="106"/>
  <c r="J30" i="39"/>
  <c r="S30" i="39"/>
  <c r="S29" i="39"/>
  <c r="M30" i="39"/>
  <c r="D18" i="57"/>
  <c r="C21" i="57"/>
  <c r="C22" i="57" s="1"/>
  <c r="I30" i="39"/>
  <c r="N30" i="39"/>
  <c r="I29" i="39"/>
  <c r="H30" i="39"/>
  <c r="T26" i="39" l="1"/>
  <c r="T24" i="39"/>
  <c r="T25" i="39"/>
  <c r="T92" i="39"/>
  <c r="S55" i="105"/>
  <c r="R12" i="106" s="1"/>
  <c r="S97" i="39"/>
  <c r="T97" i="39"/>
  <c r="S92" i="39"/>
  <c r="S98" i="39"/>
  <c r="S76" i="99"/>
  <c r="S77" i="99" s="1"/>
  <c r="S72" i="99"/>
  <c r="T81" i="39"/>
  <c r="S87" i="39"/>
  <c r="C48" i="39"/>
  <c r="C50" i="39" s="1"/>
  <c r="C15" i="106"/>
  <c r="C16" i="106" s="1"/>
  <c r="E18" i="57"/>
  <c r="D21" i="57"/>
  <c r="D22" i="57" s="1"/>
  <c r="T105" i="39" l="1"/>
  <c r="T104" i="39"/>
  <c r="S94" i="39"/>
  <c r="T30" i="39"/>
  <c r="T29" i="39"/>
  <c r="C36" i="106"/>
  <c r="C38" i="106" s="1"/>
  <c r="F18" i="57"/>
  <c r="F21" i="57" s="1"/>
  <c r="F22" i="57" s="1"/>
  <c r="E21" i="57"/>
  <c r="E22" i="57" s="1"/>
  <c r="E103" i="39" l="1"/>
  <c r="F103" i="39" l="1"/>
  <c r="G103" i="39" l="1"/>
  <c r="C58" i="99"/>
  <c r="C59" i="99"/>
  <c r="B84" i="99" s="1"/>
  <c r="D87" i="99" s="1"/>
  <c r="D12" i="103" l="1"/>
  <c r="D13" i="103" s="1"/>
  <c r="G86" i="99"/>
  <c r="C86" i="99"/>
  <c r="F86" i="99"/>
  <c r="B89" i="99"/>
  <c r="C7" i="103"/>
  <c r="I86" i="99"/>
  <c r="I88" i="99" s="1"/>
  <c r="I11" i="58" s="1"/>
  <c r="C87" i="99"/>
  <c r="H86" i="99"/>
  <c r="E87" i="99"/>
  <c r="I87" i="99"/>
  <c r="G87" i="99"/>
  <c r="F87" i="99"/>
  <c r="D86" i="99"/>
  <c r="D88" i="99" s="1"/>
  <c r="D11" i="58" s="1"/>
  <c r="E86" i="99"/>
  <c r="E88" i="99" s="1"/>
  <c r="E11" i="58" s="1"/>
  <c r="J86" i="99"/>
  <c r="J88" i="99" s="1"/>
  <c r="J11" i="58" s="1"/>
  <c r="H87" i="99"/>
  <c r="J87" i="99"/>
  <c r="C84" i="99"/>
  <c r="H88" i="99" l="1"/>
  <c r="H11" i="58" s="1"/>
  <c r="E12" i="103"/>
  <c r="C8" i="103"/>
  <c r="F88" i="99"/>
  <c r="F11" i="58" s="1"/>
  <c r="C88" i="99"/>
  <c r="C11" i="58" s="1"/>
  <c r="B90" i="99"/>
  <c r="B91" i="99" s="1"/>
  <c r="C89" i="99"/>
  <c r="C85" i="99"/>
  <c r="G88" i="99"/>
  <c r="G11" i="58" s="1"/>
  <c r="B6" i="58" l="1"/>
  <c r="C90" i="99"/>
  <c r="D84" i="99"/>
  <c r="E13" i="103"/>
  <c r="C91" i="99"/>
  <c r="F11" i="103"/>
  <c r="H11" i="103"/>
  <c r="G11" i="103"/>
  <c r="I11" i="103"/>
  <c r="E11" i="103"/>
  <c r="F12" i="103" s="1"/>
  <c r="J11" i="103"/>
  <c r="L11" i="103"/>
  <c r="K11" i="103"/>
  <c r="F13" i="103" l="1"/>
  <c r="G12" i="103"/>
  <c r="C6" i="58"/>
  <c r="D89" i="99"/>
  <c r="D85" i="99"/>
  <c r="B10" i="58"/>
  <c r="B13" i="58" s="1"/>
  <c r="C10" i="58" l="1"/>
  <c r="C13" i="58" s="1"/>
  <c r="E84" i="99"/>
  <c r="D90" i="99"/>
  <c r="G13" i="103"/>
  <c r="H12" i="103"/>
  <c r="D91" i="99"/>
  <c r="H13" i="103" l="1"/>
  <c r="I12" i="103"/>
  <c r="E85" i="99"/>
  <c r="E89" i="99"/>
  <c r="D6" i="58"/>
  <c r="J12" i="103" l="1"/>
  <c r="I13" i="103"/>
  <c r="E90" i="99"/>
  <c r="E91" i="99" s="1"/>
  <c r="F84" i="99"/>
  <c r="D10" i="58"/>
  <c r="D13" i="58" s="1"/>
  <c r="E6" i="58" l="1"/>
  <c r="B8" i="57"/>
  <c r="F89" i="99"/>
  <c r="F85" i="99"/>
  <c r="K12" i="103"/>
  <c r="J13" i="103"/>
  <c r="G84" i="99" l="1"/>
  <c r="F90" i="99"/>
  <c r="F91" i="99" s="1"/>
  <c r="B25" i="57"/>
  <c r="K13" i="103"/>
  <c r="L12" i="103"/>
  <c r="E10" i="58"/>
  <c r="E13" i="58" s="1"/>
  <c r="F6" i="58" l="1"/>
  <c r="G89" i="99"/>
  <c r="G91" i="99" s="1"/>
  <c r="G85" i="99"/>
  <c r="C25" i="57"/>
  <c r="M12" i="103"/>
  <c r="L13" i="103"/>
  <c r="H84" i="99" l="1"/>
  <c r="G90" i="99"/>
  <c r="G6" i="58"/>
  <c r="M13" i="103"/>
  <c r="N12" i="103"/>
  <c r="D25" i="57"/>
  <c r="F10" i="58"/>
  <c r="F13" i="58" s="1"/>
  <c r="E25" i="57" l="1"/>
  <c r="G10" i="58"/>
  <c r="G13" i="58" s="1"/>
  <c r="H85" i="99"/>
  <c r="H89" i="99"/>
  <c r="H91" i="99" s="1"/>
  <c r="O12" i="103"/>
  <c r="N13" i="103"/>
  <c r="I84" i="99" l="1"/>
  <c r="H90" i="99"/>
  <c r="H6" i="58"/>
  <c r="O13" i="103"/>
  <c r="P12" i="103"/>
  <c r="F25" i="57"/>
  <c r="H10" i="58" l="1"/>
  <c r="H13" i="58" s="1"/>
  <c r="I89" i="99"/>
  <c r="I91" i="99" s="1"/>
  <c r="I85" i="99"/>
  <c r="Q12" i="103"/>
  <c r="P13" i="103"/>
  <c r="J84" i="99" l="1"/>
  <c r="I90" i="99"/>
  <c r="Q13" i="103"/>
  <c r="R12" i="103"/>
  <c r="I6" i="58"/>
  <c r="R13" i="103" l="1"/>
  <c r="S12" i="103"/>
  <c r="S13" i="103" s="1"/>
  <c r="I10" i="58"/>
  <c r="I13" i="58" s="1"/>
  <c r="J89" i="99"/>
  <c r="J91" i="99" s="1"/>
  <c r="J85" i="99"/>
  <c r="J90" i="99" s="1"/>
  <c r="J6" i="58" l="1"/>
  <c r="J10" i="58" l="1"/>
  <c r="J13" i="58" s="1"/>
  <c r="D132" i="39" l="1"/>
  <c r="F75" i="39" l="1"/>
  <c r="E12" i="13"/>
  <c r="B14" i="56" s="1"/>
  <c r="D23" i="106"/>
  <c r="D100" i="39"/>
  <c r="B32" i="16"/>
  <c r="C41" i="106" l="1"/>
  <c r="C52" i="106" s="1"/>
  <c r="E10" i="104"/>
  <c r="F10" i="104" s="1"/>
  <c r="C49" i="39"/>
  <c r="C51" i="39" s="1"/>
  <c r="B33" i="16"/>
  <c r="E8" i="39" s="1"/>
  <c r="E9" i="104"/>
  <c r="E35" i="105" l="1"/>
  <c r="F35" i="105" s="1"/>
  <c r="G35" i="105" s="1"/>
  <c r="H35" i="105" s="1"/>
  <c r="I35" i="105" s="1"/>
  <c r="J35" i="105" s="1"/>
  <c r="K35" i="105" s="1"/>
  <c r="L35" i="105" s="1"/>
  <c r="M35" i="105" s="1"/>
  <c r="N35" i="105" s="1"/>
  <c r="O35" i="105" s="1"/>
  <c r="P35" i="105" s="1"/>
  <c r="Q35" i="105" s="1"/>
  <c r="R35" i="105" s="1"/>
  <c r="S35" i="105" s="1"/>
  <c r="C59" i="39"/>
  <c r="D8" i="39"/>
  <c r="D25" i="56"/>
  <c r="D26" i="56" s="1"/>
  <c r="E25" i="56"/>
  <c r="E26" i="56" s="1"/>
  <c r="C8" i="39"/>
  <c r="F25" i="56"/>
  <c r="F26" i="56" s="1"/>
  <c r="E9" i="39"/>
  <c r="O46" i="105"/>
  <c r="P46" i="105"/>
  <c r="S46" i="105"/>
  <c r="R46" i="105"/>
  <c r="N46" i="105"/>
  <c r="D55" i="39"/>
  <c r="I46" i="105"/>
  <c r="K46" i="105"/>
  <c r="H46" i="105"/>
  <c r="J46" i="105"/>
  <c r="D54" i="39"/>
  <c r="C29" i="106" s="1"/>
  <c r="C30" i="106" s="1"/>
  <c r="E46" i="105"/>
  <c r="F46" i="105"/>
  <c r="L46" i="105"/>
  <c r="Q46" i="105"/>
  <c r="M46" i="105"/>
  <c r="G46" i="105"/>
  <c r="F9" i="104"/>
  <c r="E11" i="104"/>
  <c r="E19" i="104"/>
  <c r="D166" i="39"/>
  <c r="F35" i="104" l="1"/>
  <c r="F36" i="104"/>
  <c r="F37" i="104"/>
  <c r="F34" i="104"/>
  <c r="F38" i="104"/>
  <c r="D35" i="105"/>
  <c r="D37" i="105" s="1"/>
  <c r="D38" i="105" s="1"/>
  <c r="G109" i="39"/>
  <c r="O109" i="39"/>
  <c r="H109" i="39"/>
  <c r="P109" i="39"/>
  <c r="K109" i="39"/>
  <c r="N109" i="39"/>
  <c r="I109" i="39"/>
  <c r="Q109" i="39"/>
  <c r="J109" i="39"/>
  <c r="R109" i="39"/>
  <c r="S109" i="39"/>
  <c r="F109" i="39"/>
  <c r="L109" i="39"/>
  <c r="E109" i="39"/>
  <c r="M109" i="39"/>
  <c r="C35" i="105"/>
  <c r="C46" i="105"/>
  <c r="D165" i="39"/>
  <c r="E165" i="39" s="1"/>
  <c r="F11" i="104"/>
  <c r="C19" i="104"/>
  <c r="F27" i="56"/>
  <c r="F28" i="56" s="1"/>
  <c r="C9" i="39"/>
  <c r="C26" i="39"/>
  <c r="E166" i="39"/>
  <c r="E27" i="56"/>
  <c r="E28" i="56" s="1"/>
  <c r="F19" i="104"/>
  <c r="E20" i="104" s="1"/>
  <c r="F23" i="104"/>
  <c r="F25" i="104"/>
  <c r="F21" i="104"/>
  <c r="F31" i="104"/>
  <c r="F33" i="104"/>
  <c r="F28" i="104"/>
  <c r="F32" i="104"/>
  <c r="F22" i="104"/>
  <c r="F26" i="104"/>
  <c r="F20" i="104"/>
  <c r="F29" i="104"/>
  <c r="F27" i="104"/>
  <c r="F30" i="104"/>
  <c r="F24" i="104"/>
  <c r="D27" i="56"/>
  <c r="D28" i="56" s="1"/>
  <c r="C126" i="39"/>
  <c r="E131" i="39" s="1"/>
  <c r="D56" i="39"/>
  <c r="D26" i="39"/>
  <c r="D9" i="39"/>
  <c r="D37" i="104" l="1"/>
  <c r="G37" i="104" s="1"/>
  <c r="D34" i="104"/>
  <c r="G34" i="104" s="1"/>
  <c r="D36" i="104"/>
  <c r="G36" i="104" s="1"/>
  <c r="D38" i="104"/>
  <c r="G38" i="104" s="1"/>
  <c r="D35" i="104"/>
  <c r="G35" i="104" s="1"/>
  <c r="C37" i="105"/>
  <c r="C38" i="105" s="1"/>
  <c r="C96" i="39"/>
  <c r="C104" i="39" s="1"/>
  <c r="C48" i="105"/>
  <c r="C49" i="105" s="1"/>
  <c r="C90" i="39"/>
  <c r="C93" i="39" s="1"/>
  <c r="D46" i="105"/>
  <c r="D45" i="105"/>
  <c r="F166" i="39"/>
  <c r="E45" i="105" s="1"/>
  <c r="E21" i="104"/>
  <c r="E22" i="104" s="1"/>
  <c r="E23" i="104" s="1"/>
  <c r="E24" i="104" s="1"/>
  <c r="E25" i="104" s="1"/>
  <c r="E26" i="104" s="1"/>
  <c r="E27" i="104" s="1"/>
  <c r="E28" i="104" s="1"/>
  <c r="E29" i="104" s="1"/>
  <c r="E30" i="104" s="1"/>
  <c r="E31" i="104" s="1"/>
  <c r="E32" i="104" s="1"/>
  <c r="E33" i="104" s="1"/>
  <c r="E34" i="104" s="1"/>
  <c r="E35" i="104" s="1"/>
  <c r="E36" i="104" s="1"/>
  <c r="E37" i="104" s="1"/>
  <c r="E38" i="104" s="1"/>
  <c r="F26" i="39"/>
  <c r="E35" i="39" s="1"/>
  <c r="C127" i="39"/>
  <c r="D19" i="104"/>
  <c r="G19" i="104" s="1"/>
  <c r="E11" i="13" s="1"/>
  <c r="D22" i="104"/>
  <c r="G22" i="104" s="1"/>
  <c r="D29" i="104"/>
  <c r="G29" i="104" s="1"/>
  <c r="D21" i="104"/>
  <c r="G21" i="104" s="1"/>
  <c r="D23" i="104"/>
  <c r="G23" i="104" s="1"/>
  <c r="D31" i="104"/>
  <c r="G31" i="104" s="1"/>
  <c r="D28" i="104"/>
  <c r="G28" i="104" s="1"/>
  <c r="D32" i="104"/>
  <c r="G32" i="104" s="1"/>
  <c r="D33" i="104"/>
  <c r="G33" i="104" s="1"/>
  <c r="D26" i="104"/>
  <c r="G26" i="104" s="1"/>
  <c r="D24" i="104"/>
  <c r="G24" i="104" s="1"/>
  <c r="D20" i="104"/>
  <c r="G20" i="104" s="1"/>
  <c r="D30" i="104"/>
  <c r="G30" i="104" s="1"/>
  <c r="D25" i="104"/>
  <c r="G25" i="104" s="1"/>
  <c r="D27" i="104"/>
  <c r="G27" i="104" s="1"/>
  <c r="E169" i="39"/>
  <c r="C142" i="39" s="1"/>
  <c r="F165" i="39"/>
  <c r="F11" i="13" l="1"/>
  <c r="B10" i="56"/>
  <c r="B11" i="56" s="1"/>
  <c r="D89" i="39"/>
  <c r="D93" i="39" s="1"/>
  <c r="D96" i="39"/>
  <c r="D104" i="39" s="1"/>
  <c r="G166" i="39"/>
  <c r="H166" i="39" s="1"/>
  <c r="D48" i="105"/>
  <c r="D49" i="105" s="1"/>
  <c r="T109" i="39"/>
  <c r="F76" i="39"/>
  <c r="F77" i="39" s="1"/>
  <c r="G39" i="104"/>
  <c r="G40" i="104" s="1"/>
  <c r="G165" i="39"/>
  <c r="F169" i="39"/>
  <c r="D142" i="39" s="1"/>
  <c r="E130" i="39"/>
  <c r="H130" i="39"/>
  <c r="G130" i="39"/>
  <c r="I130" i="39"/>
  <c r="K130" i="39"/>
  <c r="L130" i="39"/>
  <c r="J130" i="39"/>
  <c r="F130" i="39"/>
  <c r="E132" i="39"/>
  <c r="F12" i="13" s="1"/>
  <c r="C14" i="56" s="1"/>
  <c r="F31" i="39"/>
  <c r="F29" i="39"/>
  <c r="E34" i="39" s="1"/>
  <c r="F30" i="39"/>
  <c r="C20" i="104"/>
  <c r="C21" i="104" s="1"/>
  <c r="C22" i="104" s="1"/>
  <c r="C23" i="104" s="1"/>
  <c r="C24" i="104" s="1"/>
  <c r="C25" i="104" s="1"/>
  <c r="C26" i="104" s="1"/>
  <c r="C27" i="104" s="1"/>
  <c r="C28" i="104" s="1"/>
  <c r="C29" i="104" s="1"/>
  <c r="C30" i="104" s="1"/>
  <c r="C31" i="104" s="1"/>
  <c r="C32" i="104" s="1"/>
  <c r="C33" i="104" s="1"/>
  <c r="C34" i="104" s="1"/>
  <c r="C35" i="104" s="1"/>
  <c r="C36" i="104" s="1"/>
  <c r="C37" i="104" s="1"/>
  <c r="C38" i="104" s="1"/>
  <c r="F45" i="105" l="1"/>
  <c r="B12" i="56"/>
  <c r="B13" i="56" s="1"/>
  <c r="G11" i="13"/>
  <c r="C10" i="56"/>
  <c r="C11" i="56" s="1"/>
  <c r="C12" i="56" s="1"/>
  <c r="C13" i="56" s="1"/>
  <c r="C5" i="58" s="1"/>
  <c r="C8" i="58" s="1"/>
  <c r="C15" i="58" s="1"/>
  <c r="F102" i="39"/>
  <c r="E24" i="106"/>
  <c r="J102" i="39"/>
  <c r="I24" i="106"/>
  <c r="L102" i="39"/>
  <c r="K24" i="106"/>
  <c r="K102" i="39"/>
  <c r="J24" i="106"/>
  <c r="D8" i="106"/>
  <c r="I102" i="39"/>
  <c r="H24" i="106"/>
  <c r="G102" i="39"/>
  <c r="F24" i="106"/>
  <c r="H102" i="39"/>
  <c r="G24" i="106"/>
  <c r="E102" i="39"/>
  <c r="D24" i="106"/>
  <c r="F131" i="39"/>
  <c r="F132" i="39" s="1"/>
  <c r="G12" i="13" s="1"/>
  <c r="D14" i="56" s="1"/>
  <c r="G75" i="39"/>
  <c r="E100" i="39"/>
  <c r="H165" i="39"/>
  <c r="G169" i="39"/>
  <c r="E142" i="39" s="1"/>
  <c r="F39" i="39"/>
  <c r="F41" i="39" s="1"/>
  <c r="F40" i="39"/>
  <c r="F42" i="39" s="1"/>
  <c r="G31" i="39"/>
  <c r="I166" i="39"/>
  <c r="G45" i="105"/>
  <c r="F36" i="105"/>
  <c r="F37" i="105" s="1"/>
  <c r="E36" i="105"/>
  <c r="E37" i="105" s="1"/>
  <c r="G76" i="39"/>
  <c r="C141" i="39"/>
  <c r="H11" i="13" l="1"/>
  <c r="D10" i="56"/>
  <c r="D11" i="56" s="1"/>
  <c r="D12" i="56" s="1"/>
  <c r="D13" i="56" s="1"/>
  <c r="D5" i="58" s="1"/>
  <c r="D8" i="58" s="1"/>
  <c r="D15" i="58" s="1"/>
  <c r="C15" i="56"/>
  <c r="B5" i="58"/>
  <c r="B8" i="58" s="1"/>
  <c r="B15" i="56"/>
  <c r="G131" i="39"/>
  <c r="H131" i="39" s="1"/>
  <c r="E105" i="39"/>
  <c r="E107" i="39" s="1"/>
  <c r="E108" i="39" s="1"/>
  <c r="E110" i="39" s="1"/>
  <c r="E113" i="39" s="1"/>
  <c r="E101" i="39" s="1"/>
  <c r="E104" i="39" s="1"/>
  <c r="G77" i="39"/>
  <c r="E23" i="106"/>
  <c r="E8" i="106"/>
  <c r="D44" i="106"/>
  <c r="D55" i="106" s="1"/>
  <c r="D9" i="106"/>
  <c r="I165" i="39"/>
  <c r="H169" i="39"/>
  <c r="F142" i="39" s="1"/>
  <c r="J166" i="39"/>
  <c r="H45" i="105"/>
  <c r="D141" i="39"/>
  <c r="H76" i="39"/>
  <c r="F147" i="39"/>
  <c r="C140" i="39"/>
  <c r="C143" i="39" s="1"/>
  <c r="G39" i="39"/>
  <c r="G41" i="39" s="1"/>
  <c r="H31" i="39"/>
  <c r="G40" i="39"/>
  <c r="G42" i="39" s="1"/>
  <c r="H75" i="39"/>
  <c r="F100" i="39"/>
  <c r="G132" i="39" l="1"/>
  <c r="H12" i="13" s="1"/>
  <c r="E14" i="56" s="1"/>
  <c r="B29" i="56" s="1"/>
  <c r="D29" i="56" s="1"/>
  <c r="D30" i="56" s="1"/>
  <c r="C36" i="56" s="1"/>
  <c r="B15" i="58"/>
  <c r="I11" i="13"/>
  <c r="E10" i="56"/>
  <c r="B9" i="57"/>
  <c r="D15" i="56"/>
  <c r="H77" i="39"/>
  <c r="E112" i="39"/>
  <c r="E88" i="39" s="1"/>
  <c r="E93" i="39" s="1"/>
  <c r="E117" i="39" s="1"/>
  <c r="E118" i="39" s="1"/>
  <c r="E33" i="105" s="1"/>
  <c r="F23" i="106"/>
  <c r="C145" i="39"/>
  <c r="D144" i="39" s="1"/>
  <c r="D57" i="106"/>
  <c r="E44" i="106"/>
  <c r="E55" i="106" s="1"/>
  <c r="E9" i="106"/>
  <c r="F8" i="106"/>
  <c r="I169" i="39"/>
  <c r="G142" i="39" s="1"/>
  <c r="J165" i="39"/>
  <c r="I76" i="39"/>
  <c r="H36" i="105" s="1"/>
  <c r="H37" i="105" s="1"/>
  <c r="E141" i="39"/>
  <c r="G36" i="105"/>
  <c r="G37" i="105" s="1"/>
  <c r="I131" i="39"/>
  <c r="H132" i="39"/>
  <c r="I12" i="13" s="1"/>
  <c r="F14" i="56" s="1"/>
  <c r="H39" i="39"/>
  <c r="H41" i="39" s="1"/>
  <c r="H40" i="39"/>
  <c r="H42" i="39" s="1"/>
  <c r="I31" i="39"/>
  <c r="K166" i="39"/>
  <c r="I45" i="105"/>
  <c r="C29" i="56" l="1"/>
  <c r="F29" i="56"/>
  <c r="F30" i="56" s="1"/>
  <c r="C38" i="56" s="1"/>
  <c r="E29" i="56"/>
  <c r="E30" i="56" s="1"/>
  <c r="C37" i="56" s="1"/>
  <c r="I75" i="39"/>
  <c r="G23" i="106" s="1"/>
  <c r="G100" i="39"/>
  <c r="B25" i="56"/>
  <c r="B26" i="56" s="1"/>
  <c r="B27" i="56" s="1"/>
  <c r="B28" i="56" s="1"/>
  <c r="B30" i="56" s="1"/>
  <c r="C33" i="56" s="1"/>
  <c r="D38" i="56" s="1"/>
  <c r="C25" i="56"/>
  <c r="C26" i="56" s="1"/>
  <c r="C27" i="56" s="1"/>
  <c r="C28" i="56" s="1"/>
  <c r="C30" i="56" s="1"/>
  <c r="C35" i="56" s="1"/>
  <c r="D35" i="56" s="1"/>
  <c r="E11" i="56"/>
  <c r="E12" i="56" s="1"/>
  <c r="E13" i="56" s="1"/>
  <c r="J11" i="13"/>
  <c r="F10" i="56"/>
  <c r="F11" i="56" s="1"/>
  <c r="F12" i="56" s="1"/>
  <c r="F13" i="56" s="1"/>
  <c r="F5" i="58" s="1"/>
  <c r="F8" i="58" s="1"/>
  <c r="F15" i="58" s="1"/>
  <c r="B26" i="57"/>
  <c r="B10" i="57"/>
  <c r="B11" i="57" s="1"/>
  <c r="E115" i="39"/>
  <c r="E44" i="105" s="1"/>
  <c r="C146" i="39"/>
  <c r="C155" i="39" s="1"/>
  <c r="G8" i="106"/>
  <c r="F44" i="106"/>
  <c r="F55" i="106" s="1"/>
  <c r="F9" i="106"/>
  <c r="J76" i="39"/>
  <c r="I36" i="105" s="1"/>
  <c r="I37" i="105" s="1"/>
  <c r="F141" i="39"/>
  <c r="J169" i="39"/>
  <c r="H142" i="39" s="1"/>
  <c r="K165" i="39"/>
  <c r="I40" i="39"/>
  <c r="I42" i="39" s="1"/>
  <c r="J31" i="39"/>
  <c r="I39" i="39"/>
  <c r="I41" i="39" s="1"/>
  <c r="H100" i="39"/>
  <c r="J75" i="39"/>
  <c r="J45" i="105"/>
  <c r="L166" i="39"/>
  <c r="J131" i="39"/>
  <c r="I132" i="39"/>
  <c r="J12" i="13" s="1"/>
  <c r="G14" i="56" s="1"/>
  <c r="D36" i="56" l="1"/>
  <c r="D37" i="56"/>
  <c r="I77" i="39"/>
  <c r="J77" i="39"/>
  <c r="F15" i="56"/>
  <c r="F99" i="39"/>
  <c r="E119" i="39"/>
  <c r="K11" i="13"/>
  <c r="G10" i="56"/>
  <c r="G11" i="56" s="1"/>
  <c r="G12" i="56" s="1"/>
  <c r="G13" i="56" s="1"/>
  <c r="G5" i="58" s="1"/>
  <c r="G8" i="58" s="1"/>
  <c r="G15" i="58" s="1"/>
  <c r="C26" i="57"/>
  <c r="B27" i="57"/>
  <c r="B28" i="57" s="1"/>
  <c r="C31" i="57" s="1"/>
  <c r="E5" i="58"/>
  <c r="E8" i="58" s="1"/>
  <c r="E15" i="56"/>
  <c r="C149" i="39"/>
  <c r="C153" i="39"/>
  <c r="C154" i="39" s="1"/>
  <c r="H23" i="106"/>
  <c r="C148" i="39"/>
  <c r="G147" i="39"/>
  <c r="D140" i="39"/>
  <c r="D143" i="39" s="1"/>
  <c r="G44" i="106"/>
  <c r="G55" i="106" s="1"/>
  <c r="G9" i="106"/>
  <c r="H8" i="106"/>
  <c r="K31" i="39"/>
  <c r="J39" i="39"/>
  <c r="J41" i="39" s="1"/>
  <c r="J40" i="39"/>
  <c r="J42" i="39" s="1"/>
  <c r="J132" i="39"/>
  <c r="K12" i="13" s="1"/>
  <c r="H14" i="56" s="1"/>
  <c r="K131" i="39"/>
  <c r="G141" i="39"/>
  <c r="K76" i="39"/>
  <c r="J36" i="105"/>
  <c r="J37" i="105" s="1"/>
  <c r="L165" i="39"/>
  <c r="K169" i="39"/>
  <c r="I142" i="39" s="1"/>
  <c r="K75" i="39"/>
  <c r="I100" i="39"/>
  <c r="K45" i="105"/>
  <c r="M166" i="39"/>
  <c r="K77" i="39" l="1"/>
  <c r="E15" i="58"/>
  <c r="E26" i="57"/>
  <c r="E27" i="57" s="1"/>
  <c r="E28" i="57" s="1"/>
  <c r="C35" i="57" s="1"/>
  <c r="D26" i="57"/>
  <c r="C27" i="57"/>
  <c r="C28" i="57" s="1"/>
  <c r="C33" i="57" s="1"/>
  <c r="L11" i="13"/>
  <c r="H10" i="56"/>
  <c r="H11" i="56" s="1"/>
  <c r="H12" i="56" s="1"/>
  <c r="H13" i="56" s="1"/>
  <c r="H5" i="58" s="1"/>
  <c r="H8" i="58" s="1"/>
  <c r="H15" i="58" s="1"/>
  <c r="G15" i="56"/>
  <c r="G74" i="39"/>
  <c r="E25" i="106" s="1"/>
  <c r="F105" i="39"/>
  <c r="F107" i="39" s="1"/>
  <c r="F108" i="39" s="1"/>
  <c r="F110" i="39" s="1"/>
  <c r="I23" i="106"/>
  <c r="E57" i="106"/>
  <c r="D145" i="39"/>
  <c r="H44" i="106"/>
  <c r="H55" i="106" s="1"/>
  <c r="H9" i="106"/>
  <c r="I8" i="106"/>
  <c r="M165" i="39"/>
  <c r="L169" i="39"/>
  <c r="J142" i="39" s="1"/>
  <c r="L131" i="39"/>
  <c r="K132" i="39"/>
  <c r="L12" i="13" s="1"/>
  <c r="I14" i="56" s="1"/>
  <c r="L75" i="39"/>
  <c r="J100" i="39"/>
  <c r="N166" i="39"/>
  <c r="L45" i="105"/>
  <c r="L76" i="39"/>
  <c r="H141" i="39"/>
  <c r="K40" i="39"/>
  <c r="K42" i="39" s="1"/>
  <c r="K39" i="39"/>
  <c r="K41" i="39" s="1"/>
  <c r="L31" i="39"/>
  <c r="M11" i="13" l="1"/>
  <c r="I10" i="56"/>
  <c r="I11" i="56" s="1"/>
  <c r="I12" i="56" s="1"/>
  <c r="I13" i="56" s="1"/>
  <c r="I5" i="58" s="1"/>
  <c r="I8" i="58" s="1"/>
  <c r="I15" i="58" s="1"/>
  <c r="F26" i="57"/>
  <c r="F27" i="57" s="1"/>
  <c r="F28" i="57" s="1"/>
  <c r="C36" i="57" s="1"/>
  <c r="D27" i="57"/>
  <c r="D28" i="57" s="1"/>
  <c r="C34" i="57" s="1"/>
  <c r="F113" i="39"/>
  <c r="F101" i="39" s="1"/>
  <c r="F104" i="39" s="1"/>
  <c r="F112" i="39"/>
  <c r="H15" i="56"/>
  <c r="L77" i="39"/>
  <c r="J23" i="106"/>
  <c r="E144" i="39"/>
  <c r="D146" i="39"/>
  <c r="I44" i="106"/>
  <c r="I55" i="106" s="1"/>
  <c r="I9" i="106"/>
  <c r="K36" i="105"/>
  <c r="K37" i="105" s="1"/>
  <c r="J8" i="106"/>
  <c r="M75" i="39"/>
  <c r="K100" i="39"/>
  <c r="L132" i="39"/>
  <c r="M12" i="13" s="1"/>
  <c r="J14" i="56" s="1"/>
  <c r="M131" i="39"/>
  <c r="N165" i="39"/>
  <c r="M169" i="39"/>
  <c r="K142" i="39" s="1"/>
  <c r="O166" i="39"/>
  <c r="M45" i="105"/>
  <c r="L39" i="39"/>
  <c r="L41" i="39" s="1"/>
  <c r="M31" i="39"/>
  <c r="L40" i="39"/>
  <c r="L42" i="39" s="1"/>
  <c r="M76" i="39"/>
  <c r="I141" i="39"/>
  <c r="B17" i="58" l="1"/>
  <c r="I15" i="56"/>
  <c r="F88" i="39"/>
  <c r="F93" i="39" s="1"/>
  <c r="F117" i="39" s="1"/>
  <c r="F118" i="39" s="1"/>
  <c r="F33" i="105" s="1"/>
  <c r="F115" i="39"/>
  <c r="N11" i="13"/>
  <c r="J10" i="56"/>
  <c r="J11" i="56" s="1"/>
  <c r="J12" i="56" s="1"/>
  <c r="J13" i="56" s="1"/>
  <c r="J5" i="58" s="1"/>
  <c r="J8" i="58" s="1"/>
  <c r="J15" i="58" s="1"/>
  <c r="M77" i="39"/>
  <c r="K23" i="106"/>
  <c r="D155" i="39"/>
  <c r="D153" i="39"/>
  <c r="D154" i="39" s="1"/>
  <c r="D148" i="39"/>
  <c r="D149" i="39"/>
  <c r="J44" i="106"/>
  <c r="J55" i="106" s="1"/>
  <c r="J9" i="106"/>
  <c r="K8" i="106"/>
  <c r="M132" i="39"/>
  <c r="N12" i="13" s="1"/>
  <c r="K14" i="56" s="1"/>
  <c r="N131" i="39"/>
  <c r="M40" i="39"/>
  <c r="M42" i="39" s="1"/>
  <c r="N31" i="39"/>
  <c r="M39" i="39"/>
  <c r="M41" i="39" s="1"/>
  <c r="P166" i="39"/>
  <c r="N45" i="105"/>
  <c r="J141" i="39"/>
  <c r="N76" i="39"/>
  <c r="L36" i="105"/>
  <c r="L37" i="105" s="1"/>
  <c r="N169" i="39"/>
  <c r="L142" i="39" s="1"/>
  <c r="O165" i="39"/>
  <c r="N75" i="39"/>
  <c r="L100" i="39"/>
  <c r="N77" i="39" l="1"/>
  <c r="O11" i="13"/>
  <c r="P11" i="13" s="1"/>
  <c r="Q11" i="13" s="1"/>
  <c r="R11" i="13" s="1"/>
  <c r="S11" i="13" s="1"/>
  <c r="K10" i="56"/>
  <c r="K11" i="56" s="1"/>
  <c r="K12" i="56" s="1"/>
  <c r="K13" i="56" s="1"/>
  <c r="K15" i="56" s="1"/>
  <c r="J15" i="56"/>
  <c r="F119" i="39"/>
  <c r="G99" i="39"/>
  <c r="F44" i="105"/>
  <c r="L23" i="106"/>
  <c r="E140" i="39"/>
  <c r="E143" i="39" s="1"/>
  <c r="H147" i="39"/>
  <c r="K44" i="106"/>
  <c r="K55" i="106" s="1"/>
  <c r="K9" i="106"/>
  <c r="L8" i="106"/>
  <c r="P165" i="39"/>
  <c r="O169" i="39"/>
  <c r="M142" i="39" s="1"/>
  <c r="K141" i="39"/>
  <c r="O76" i="39"/>
  <c r="M36" i="105"/>
  <c r="M37" i="105" s="1"/>
  <c r="O131" i="39"/>
  <c r="N132" i="39"/>
  <c r="O12" i="13" s="1"/>
  <c r="O75" i="39"/>
  <c r="O77" i="39" s="1"/>
  <c r="M100" i="39"/>
  <c r="Q166" i="39"/>
  <c r="O45" i="105"/>
  <c r="N39" i="39"/>
  <c r="N41" i="39" s="1"/>
  <c r="O31" i="39"/>
  <c r="N40" i="39"/>
  <c r="N42" i="39" s="1"/>
  <c r="H74" i="39" l="1"/>
  <c r="F25" i="106" s="1"/>
  <c r="G105" i="39"/>
  <c r="G107" i="39" s="1"/>
  <c r="G108" i="39" s="1"/>
  <c r="G110" i="39" s="1"/>
  <c r="E145" i="39"/>
  <c r="F57" i="106"/>
  <c r="L44" i="106"/>
  <c r="L55" i="106" s="1"/>
  <c r="L9" i="106"/>
  <c r="M8" i="106"/>
  <c r="M23" i="106"/>
  <c r="R166" i="39"/>
  <c r="P45" i="105"/>
  <c r="P75" i="39"/>
  <c r="N100" i="39"/>
  <c r="P131" i="39"/>
  <c r="O132" i="39"/>
  <c r="P12" i="13" s="1"/>
  <c r="P76" i="39"/>
  <c r="L141" i="39"/>
  <c r="N36" i="105"/>
  <c r="N37" i="105" s="1"/>
  <c r="O40" i="39"/>
  <c r="O42" i="39" s="1"/>
  <c r="O39" i="39"/>
  <c r="O41" i="39" s="1"/>
  <c r="P31" i="39"/>
  <c r="Q165" i="39"/>
  <c r="P169" i="39"/>
  <c r="N142" i="39" s="1"/>
  <c r="G112" i="39" l="1"/>
  <c r="G113" i="39"/>
  <c r="G101" i="39" s="1"/>
  <c r="G104" i="39" s="1"/>
  <c r="P77" i="39"/>
  <c r="N23" i="106"/>
  <c r="F144" i="39"/>
  <c r="E146" i="39"/>
  <c r="M44" i="106"/>
  <c r="M55" i="106" s="1"/>
  <c r="M9" i="106"/>
  <c r="N8" i="106"/>
  <c r="Q131" i="39"/>
  <c r="P132" i="39"/>
  <c r="Q12" i="13" s="1"/>
  <c r="M141" i="39"/>
  <c r="Q76" i="39"/>
  <c r="O36" i="105"/>
  <c r="O37" i="105" s="1"/>
  <c r="S166" i="39"/>
  <c r="Q45" i="105"/>
  <c r="Q169" i="39"/>
  <c r="O142" i="39" s="1"/>
  <c r="R165" i="39"/>
  <c r="P39" i="39"/>
  <c r="P41" i="39" s="1"/>
  <c r="Q31" i="39"/>
  <c r="P40" i="39"/>
  <c r="P42" i="39" s="1"/>
  <c r="Q75" i="39"/>
  <c r="Q77" i="39" s="1"/>
  <c r="O100" i="39"/>
  <c r="G88" i="39" l="1"/>
  <c r="G93" i="39" s="1"/>
  <c r="G117" i="39" s="1"/>
  <c r="G118" i="39" s="1"/>
  <c r="G33" i="105" s="1"/>
  <c r="G115" i="39"/>
  <c r="E148" i="39"/>
  <c r="E153" i="39"/>
  <c r="E154" i="39" s="1"/>
  <c r="E149" i="39"/>
  <c r="E155" i="39"/>
  <c r="N44" i="106"/>
  <c r="N55" i="106" s="1"/>
  <c r="N9" i="106"/>
  <c r="O23" i="106"/>
  <c r="O8" i="106"/>
  <c r="P100" i="39"/>
  <c r="R75" i="39"/>
  <c r="Q39" i="39"/>
  <c r="Q41" i="39" s="1"/>
  <c r="Q40" i="39"/>
  <c r="Q42" i="39" s="1"/>
  <c r="R31" i="39"/>
  <c r="R131" i="39"/>
  <c r="Q132" i="39"/>
  <c r="R12" i="13" s="1"/>
  <c r="N141" i="39"/>
  <c r="R76" i="39"/>
  <c r="P36" i="105"/>
  <c r="P37" i="105" s="1"/>
  <c r="S165" i="39"/>
  <c r="R169" i="39"/>
  <c r="P142" i="39" s="1"/>
  <c r="R45" i="105"/>
  <c r="T166" i="39"/>
  <c r="S45" i="105" s="1"/>
  <c r="H99" i="39" l="1"/>
  <c r="I74" i="39" s="1"/>
  <c r="G25" i="106" s="1"/>
  <c r="G44" i="105"/>
  <c r="G119" i="39"/>
  <c r="R77" i="39"/>
  <c r="P23" i="106"/>
  <c r="I147" i="39"/>
  <c r="F140" i="39"/>
  <c r="F143" i="39" s="1"/>
  <c r="O44" i="106"/>
  <c r="O55" i="106" s="1"/>
  <c r="O9" i="106"/>
  <c r="P8" i="106"/>
  <c r="T165" i="39"/>
  <c r="T169" i="39" s="1"/>
  <c r="R142" i="39" s="1"/>
  <c r="S169" i="39"/>
  <c r="Q142" i="39" s="1"/>
  <c r="R39" i="39"/>
  <c r="R41" i="39" s="1"/>
  <c r="E36" i="39" s="1"/>
  <c r="R40" i="39"/>
  <c r="R42" i="39" s="1"/>
  <c r="E37" i="39" s="1"/>
  <c r="S31" i="39"/>
  <c r="O141" i="39"/>
  <c r="S76" i="39"/>
  <c r="R141" i="39"/>
  <c r="Q36" i="105"/>
  <c r="Q37" i="105" s="1"/>
  <c r="S75" i="39"/>
  <c r="Q100" i="39"/>
  <c r="R132" i="39"/>
  <c r="S12" i="13" s="1"/>
  <c r="S131" i="39"/>
  <c r="S132" i="39" s="1"/>
  <c r="S100" i="39" s="1"/>
  <c r="S77" i="39" l="1"/>
  <c r="Q23" i="106"/>
  <c r="G57" i="106"/>
  <c r="F145" i="39"/>
  <c r="P44" i="106"/>
  <c r="P55" i="106" s="1"/>
  <c r="P9" i="106"/>
  <c r="Q8" i="106"/>
  <c r="R100" i="39"/>
  <c r="T75" i="39"/>
  <c r="S39" i="39"/>
  <c r="S41" i="39" s="1"/>
  <c r="S40" i="39"/>
  <c r="S42" i="39" s="1"/>
  <c r="T31" i="39"/>
  <c r="S141" i="39"/>
  <c r="P141" i="39"/>
  <c r="T76" i="39"/>
  <c r="R36" i="105"/>
  <c r="R37" i="105" s="1"/>
  <c r="T77" i="39" l="1"/>
  <c r="R23" i="106"/>
  <c r="G144" i="39"/>
  <c r="F146" i="39"/>
  <c r="Q44" i="106"/>
  <c r="Q55" i="106" s="1"/>
  <c r="Q9" i="106"/>
  <c r="R8" i="106"/>
  <c r="T40" i="39"/>
  <c r="T42" i="39" s="1"/>
  <c r="T39" i="39"/>
  <c r="T41" i="39" s="1"/>
  <c r="T141" i="39"/>
  <c r="Q141" i="39"/>
  <c r="S36" i="105"/>
  <c r="S37" i="105" s="1"/>
  <c r="F155" i="39" l="1"/>
  <c r="F153" i="39"/>
  <c r="F154" i="39" s="1"/>
  <c r="F148" i="39"/>
  <c r="F149" i="39"/>
  <c r="R44" i="106"/>
  <c r="R55" i="106" s="1"/>
  <c r="R9" i="106"/>
  <c r="E38" i="105" l="1"/>
  <c r="F38" i="105"/>
  <c r="G38" i="105"/>
  <c r="R147" i="39" l="1"/>
  <c r="S140" i="39"/>
  <c r="S143" i="39" s="1"/>
  <c r="Q140" i="39"/>
  <c r="Q143" i="39" s="1"/>
  <c r="S147" i="39"/>
  <c r="T140" i="39"/>
  <c r="T143" i="39" s="1"/>
  <c r="M140" i="39"/>
  <c r="M143" i="39" s="1"/>
  <c r="O140" i="39"/>
  <c r="O143" i="39" s="1"/>
  <c r="P57" i="106" s="1"/>
  <c r="R140" i="39"/>
  <c r="R143" i="39" s="1"/>
  <c r="K140" i="39"/>
  <c r="K143" i="39" s="1"/>
  <c r="L57" i="106" s="1"/>
  <c r="T147" i="39"/>
  <c r="P140" i="39"/>
  <c r="P143" i="39" s="1"/>
  <c r="Q57" i="106" s="1"/>
  <c r="M147" i="39"/>
  <c r="N140" i="39"/>
  <c r="N143" i="39" s="1"/>
  <c r="L140" i="39"/>
  <c r="L143" i="39" s="1"/>
  <c r="M57" i="106" s="1"/>
  <c r="I140" i="39"/>
  <c r="I143" i="39" s="1"/>
  <c r="O147" i="39"/>
  <c r="N147" i="39"/>
  <c r="P147" i="39"/>
  <c r="Q147" i="39"/>
  <c r="K147" i="39"/>
  <c r="L147" i="39"/>
  <c r="J140" i="39"/>
  <c r="J143" i="39" s="1"/>
  <c r="K57" i="106" s="1"/>
  <c r="H140" i="39"/>
  <c r="H143" i="39" s="1"/>
  <c r="I57" i="106" s="1"/>
  <c r="J57" i="106" l="1"/>
  <c r="O57" i="106"/>
  <c r="R57" i="106"/>
  <c r="N57" i="106"/>
  <c r="J147" i="39"/>
  <c r="G140" i="39"/>
  <c r="G143" i="39" s="1"/>
  <c r="G145" i="39" l="1"/>
  <c r="H57" i="106"/>
  <c r="G146" i="39" l="1"/>
  <c r="H144" i="39"/>
  <c r="H145" i="39" s="1"/>
  <c r="I144" i="39" l="1"/>
  <c r="I145" i="39" s="1"/>
  <c r="H146" i="39"/>
  <c r="G153" i="39"/>
  <c r="G154" i="39" s="1"/>
  <c r="G155" i="39"/>
  <c r="G148" i="39"/>
  <c r="G149" i="39"/>
  <c r="H149" i="39" l="1"/>
  <c r="H155" i="39"/>
  <c r="H153" i="39"/>
  <c r="H154" i="39" s="1"/>
  <c r="H148" i="39"/>
  <c r="J144" i="39"/>
  <c r="J145" i="39" s="1"/>
  <c r="I146" i="39"/>
  <c r="I148" i="39" l="1"/>
  <c r="I149" i="39"/>
  <c r="I155" i="39"/>
  <c r="I153" i="39"/>
  <c r="I154" i="39" s="1"/>
  <c r="K144" i="39"/>
  <c r="K145" i="39" s="1"/>
  <c r="J146" i="39"/>
  <c r="J153" i="39" l="1"/>
  <c r="J154" i="39" s="1"/>
  <c r="J148" i="39"/>
  <c r="J149" i="39"/>
  <c r="J155" i="39"/>
  <c r="L144" i="39"/>
  <c r="L145" i="39" s="1"/>
  <c r="K146" i="39"/>
  <c r="K155" i="39" l="1"/>
  <c r="K149" i="39"/>
  <c r="K153" i="39"/>
  <c r="K154" i="39" s="1"/>
  <c r="K148" i="39"/>
  <c r="L146" i="39"/>
  <c r="M144" i="39"/>
  <c r="M145" i="39" s="1"/>
  <c r="L149" i="39" l="1"/>
  <c r="L155" i="39"/>
  <c r="L148" i="39"/>
  <c r="L153" i="39"/>
  <c r="L154" i="39" s="1"/>
  <c r="N144" i="39"/>
  <c r="N145" i="39" s="1"/>
  <c r="M146" i="39"/>
  <c r="N146" i="39" l="1"/>
  <c r="O144" i="39"/>
  <c r="O145" i="39" s="1"/>
  <c r="M153" i="39"/>
  <c r="M154" i="39" s="1"/>
  <c r="M155" i="39"/>
  <c r="M148" i="39"/>
  <c r="M149" i="39"/>
  <c r="P144" i="39" l="1"/>
  <c r="P145" i="39" s="1"/>
  <c r="O146" i="39"/>
  <c r="N149" i="39"/>
  <c r="N153" i="39"/>
  <c r="N154" i="39" s="1"/>
  <c r="N155" i="39"/>
  <c r="N148" i="39"/>
  <c r="O153" i="39" l="1"/>
  <c r="O154" i="39" s="1"/>
  <c r="O149" i="39"/>
  <c r="O155" i="39"/>
  <c r="O148" i="39"/>
  <c r="Q144" i="39"/>
  <c r="Q145" i="39" s="1"/>
  <c r="P146" i="39"/>
  <c r="R144" i="39" l="1"/>
  <c r="R145" i="39" s="1"/>
  <c r="Q146" i="39"/>
  <c r="P155" i="39"/>
  <c r="P148" i="39"/>
  <c r="P149" i="39"/>
  <c r="P153" i="39"/>
  <c r="P154" i="39" s="1"/>
  <c r="R146" i="39" l="1"/>
  <c r="S144" i="39"/>
  <c r="S145" i="39" s="1"/>
  <c r="Q149" i="39"/>
  <c r="Q148" i="39"/>
  <c r="Q153" i="39"/>
  <c r="Q154" i="39" s="1"/>
  <c r="Q155" i="39"/>
  <c r="R155" i="39" l="1"/>
  <c r="U155" i="39" s="1"/>
  <c r="Q156" i="39" s="1"/>
  <c r="Q150" i="39" s="1"/>
  <c r="Q151" i="39" s="1"/>
  <c r="R153" i="39"/>
  <c r="R154" i="39" s="1"/>
  <c r="R149" i="39"/>
  <c r="R148" i="39"/>
  <c r="T144" i="39"/>
  <c r="T145" i="39" s="1"/>
  <c r="T146" i="39" s="1"/>
  <c r="S146" i="39"/>
  <c r="R156" i="39" l="1"/>
  <c r="R150" i="39" s="1"/>
  <c r="R151" i="39" s="1"/>
  <c r="R28" i="106"/>
  <c r="R56" i="106" s="1"/>
  <c r="T78" i="39"/>
  <c r="T153" i="39"/>
  <c r="T155" i="39"/>
  <c r="T148" i="39"/>
  <c r="T149" i="39"/>
  <c r="E156" i="39"/>
  <c r="E150" i="39" s="1"/>
  <c r="E151" i="39" s="1"/>
  <c r="F156" i="39"/>
  <c r="F150" i="39" s="1"/>
  <c r="F151" i="39" s="1"/>
  <c r="D156" i="39"/>
  <c r="D150" i="39" s="1"/>
  <c r="D151" i="39" s="1"/>
  <c r="C156" i="39"/>
  <c r="C150" i="39" s="1"/>
  <c r="C151" i="39" s="1"/>
  <c r="G156" i="39"/>
  <c r="G150" i="39" s="1"/>
  <c r="G151" i="39" s="1"/>
  <c r="H156" i="39"/>
  <c r="H150" i="39" s="1"/>
  <c r="H151" i="39" s="1"/>
  <c r="I156" i="39"/>
  <c r="I150" i="39" s="1"/>
  <c r="I151" i="39" s="1"/>
  <c r="J156" i="39"/>
  <c r="J150" i="39" s="1"/>
  <c r="J151" i="39" s="1"/>
  <c r="K156" i="39"/>
  <c r="K150" i="39" s="1"/>
  <c r="K151" i="39" s="1"/>
  <c r="L156" i="39"/>
  <c r="L150" i="39" s="1"/>
  <c r="L151" i="39" s="1"/>
  <c r="M156" i="39"/>
  <c r="M150" i="39" s="1"/>
  <c r="M151" i="39" s="1"/>
  <c r="N156" i="39"/>
  <c r="N150" i="39" s="1"/>
  <c r="N151" i="39" s="1"/>
  <c r="O156" i="39"/>
  <c r="O150" i="39" s="1"/>
  <c r="O151" i="39" s="1"/>
  <c r="P156" i="39"/>
  <c r="P150" i="39" s="1"/>
  <c r="P151" i="39" s="1"/>
  <c r="S149" i="39"/>
  <c r="S155" i="39"/>
  <c r="S153" i="39"/>
  <c r="S154" i="39" s="1"/>
  <c r="S148" i="39"/>
  <c r="S156" i="39" l="1"/>
  <c r="S150" i="39" s="1"/>
  <c r="S151" i="39" s="1"/>
  <c r="T154" i="39"/>
  <c r="T156" i="39" s="1"/>
  <c r="T150" i="39" s="1"/>
  <c r="T151" i="39" s="1"/>
  <c r="J28" i="106"/>
  <c r="J56" i="106" s="1"/>
  <c r="L78" i="39"/>
  <c r="K78" i="39"/>
  <c r="I28" i="106"/>
  <c r="I56" i="106" s="1"/>
  <c r="H28" i="106"/>
  <c r="H56" i="106" s="1"/>
  <c r="J78" i="39"/>
  <c r="Q78" i="39"/>
  <c r="O28" i="106"/>
  <c r="O56" i="106" s="1"/>
  <c r="D28" i="106"/>
  <c r="D56" i="106" s="1"/>
  <c r="F78" i="39"/>
  <c r="N28" i="106"/>
  <c r="N56" i="106" s="1"/>
  <c r="P78" i="39"/>
  <c r="G78" i="39"/>
  <c r="E28" i="106"/>
  <c r="E56" i="106" s="1"/>
  <c r="R10" i="106"/>
  <c r="T79" i="39"/>
  <c r="R43" i="106" s="1"/>
  <c r="S78" i="39"/>
  <c r="Q28" i="106"/>
  <c r="Q56" i="106" s="1"/>
  <c r="I78" i="39"/>
  <c r="G28" i="106"/>
  <c r="G56" i="106" s="1"/>
  <c r="M28" i="106"/>
  <c r="M56" i="106" s="1"/>
  <c r="O78" i="39"/>
  <c r="N78" i="39"/>
  <c r="L28" i="106"/>
  <c r="L56" i="106" s="1"/>
  <c r="F28" i="106"/>
  <c r="F56" i="106" s="1"/>
  <c r="H78" i="39"/>
  <c r="R78" i="39"/>
  <c r="P28" i="106"/>
  <c r="P56" i="106" s="1"/>
  <c r="K28" i="106"/>
  <c r="K56" i="106" s="1"/>
  <c r="M78" i="39"/>
  <c r="L103" i="39" l="1"/>
  <c r="J79" i="39"/>
  <c r="H43" i="106" s="1"/>
  <c r="H10" i="106"/>
  <c r="K103" i="39"/>
  <c r="G10" i="106"/>
  <c r="I79" i="39"/>
  <c r="G43" i="106" s="1"/>
  <c r="I103" i="39"/>
  <c r="E10" i="106"/>
  <c r="G79" i="39"/>
  <c r="E43" i="106" s="1"/>
  <c r="M103" i="39"/>
  <c r="K79" i="39"/>
  <c r="I43" i="106" s="1"/>
  <c r="I10" i="106"/>
  <c r="F10" i="106"/>
  <c r="J103" i="39"/>
  <c r="H79" i="39"/>
  <c r="F43" i="106" s="1"/>
  <c r="Q10" i="106"/>
  <c r="S79" i="39"/>
  <c r="Q43" i="106" s="1"/>
  <c r="D10" i="106"/>
  <c r="F79" i="39"/>
  <c r="H103" i="39"/>
  <c r="H105" i="39" s="1"/>
  <c r="H107" i="39" s="1"/>
  <c r="H108" i="39" s="1"/>
  <c r="N103" i="39"/>
  <c r="J10" i="106"/>
  <c r="L79" i="39"/>
  <c r="J43" i="106" s="1"/>
  <c r="R103" i="39"/>
  <c r="N10" i="106"/>
  <c r="P79" i="39"/>
  <c r="N43" i="106" s="1"/>
  <c r="R79" i="39"/>
  <c r="P43" i="106" s="1"/>
  <c r="T103" i="39"/>
  <c r="P10" i="106"/>
  <c r="L10" i="106"/>
  <c r="P103" i="39"/>
  <c r="N79" i="39"/>
  <c r="L43" i="106" s="1"/>
  <c r="R54" i="106"/>
  <c r="M79" i="39"/>
  <c r="K43" i="106" s="1"/>
  <c r="K10" i="106"/>
  <c r="O103" i="39"/>
  <c r="M10" i="106"/>
  <c r="O79" i="39"/>
  <c r="M43" i="106" s="1"/>
  <c r="Q103" i="39"/>
  <c r="R11" i="106"/>
  <c r="R45" i="106"/>
  <c r="R58" i="106" s="1"/>
  <c r="S103" i="39"/>
  <c r="O10" i="106"/>
  <c r="Q79" i="39"/>
  <c r="O43" i="106" s="1"/>
  <c r="R46" i="106" l="1"/>
  <c r="R59" i="106"/>
  <c r="R14" i="106"/>
  <c r="R16" i="106" s="1"/>
  <c r="R22" i="106" s="1"/>
  <c r="R27" i="106"/>
  <c r="K54" i="106"/>
  <c r="D45" i="106"/>
  <c r="D58" i="106" s="1"/>
  <c r="D11" i="106"/>
  <c r="S10" i="106"/>
  <c r="I11" i="106"/>
  <c r="I45" i="106"/>
  <c r="I58" i="106" s="1"/>
  <c r="G54" i="106"/>
  <c r="J54" i="106"/>
  <c r="Q54" i="106"/>
  <c r="I54" i="106"/>
  <c r="G11" i="106"/>
  <c r="G45" i="106"/>
  <c r="G58" i="106" s="1"/>
  <c r="P54" i="106"/>
  <c r="J45" i="106"/>
  <c r="J58" i="106" s="1"/>
  <c r="J11" i="106"/>
  <c r="Q45" i="106"/>
  <c r="Q58" i="106" s="1"/>
  <c r="Q11" i="106"/>
  <c r="O54" i="106"/>
  <c r="O11" i="106"/>
  <c r="O45" i="106"/>
  <c r="O58" i="106" s="1"/>
  <c r="F54" i="106"/>
  <c r="E54" i="106"/>
  <c r="H45" i="106"/>
  <c r="H58" i="106" s="1"/>
  <c r="H11" i="106"/>
  <c r="H110" i="39"/>
  <c r="E45" i="106"/>
  <c r="E58" i="106" s="1"/>
  <c r="E11" i="106"/>
  <c r="H54" i="106"/>
  <c r="L54" i="106"/>
  <c r="N54" i="106"/>
  <c r="K45" i="106"/>
  <c r="K58" i="106" s="1"/>
  <c r="K11" i="106"/>
  <c r="L11" i="106"/>
  <c r="L45" i="106"/>
  <c r="L58" i="106" s="1"/>
  <c r="F45" i="106"/>
  <c r="F58" i="106" s="1"/>
  <c r="F11" i="106"/>
  <c r="M54" i="106"/>
  <c r="M45" i="106"/>
  <c r="M58" i="106" s="1"/>
  <c r="M11" i="106"/>
  <c r="P11" i="106"/>
  <c r="P45" i="106"/>
  <c r="P58" i="106" s="1"/>
  <c r="N45" i="106"/>
  <c r="N58" i="106" s="1"/>
  <c r="N11" i="106"/>
  <c r="F80" i="39"/>
  <c r="D43" i="106"/>
  <c r="I59" i="106" l="1"/>
  <c r="I46" i="106"/>
  <c r="L46" i="106"/>
  <c r="F46" i="106"/>
  <c r="I27" i="106"/>
  <c r="I14" i="106"/>
  <c r="I16" i="106" s="1"/>
  <c r="I22" i="106" s="1"/>
  <c r="H113" i="39"/>
  <c r="H101" i="39" s="1"/>
  <c r="H104" i="39" s="1"/>
  <c r="H112" i="39"/>
  <c r="Q14" i="106"/>
  <c r="Q16" i="106" s="1"/>
  <c r="Q22" i="106" s="1"/>
  <c r="Q27" i="106"/>
  <c r="J14" i="106"/>
  <c r="J16" i="106" s="1"/>
  <c r="J22" i="106" s="1"/>
  <c r="J27" i="106"/>
  <c r="Q46" i="106"/>
  <c r="N14" i="106"/>
  <c r="N16" i="106" s="1"/>
  <c r="N22" i="106" s="1"/>
  <c r="N27" i="106"/>
  <c r="F14" i="106"/>
  <c r="F16" i="106" s="1"/>
  <c r="F22" i="106" s="1"/>
  <c r="F26" i="106" s="1"/>
  <c r="F27" i="106"/>
  <c r="L14" i="106"/>
  <c r="L16" i="106" s="1"/>
  <c r="L22" i="106" s="1"/>
  <c r="L27" i="106"/>
  <c r="Q59" i="106"/>
  <c r="D14" i="106"/>
  <c r="D16" i="106" s="1"/>
  <c r="D27" i="106"/>
  <c r="K14" i="106"/>
  <c r="K16" i="106" s="1"/>
  <c r="K22" i="106" s="1"/>
  <c r="K27" i="106"/>
  <c r="H27" i="106"/>
  <c r="H14" i="106"/>
  <c r="H16" i="106" s="1"/>
  <c r="H22" i="106" s="1"/>
  <c r="P59" i="106"/>
  <c r="J46" i="106"/>
  <c r="D54" i="106"/>
  <c r="D59" i="106" s="1"/>
  <c r="D60" i="106" s="1"/>
  <c r="D46" i="106"/>
  <c r="D47" i="106" s="1"/>
  <c r="E47" i="105"/>
  <c r="E48" i="105" s="1"/>
  <c r="E49" i="105" s="1"/>
  <c r="G80" i="39"/>
  <c r="O14" i="106"/>
  <c r="O16" i="106" s="1"/>
  <c r="O22" i="106" s="1"/>
  <c r="O27" i="106"/>
  <c r="P46" i="106"/>
  <c r="J59" i="106"/>
  <c r="K46" i="106"/>
  <c r="P14" i="106"/>
  <c r="P16" i="106" s="1"/>
  <c r="P22" i="106" s="1"/>
  <c r="P27" i="106"/>
  <c r="N59" i="106"/>
  <c r="H59" i="106"/>
  <c r="E59" i="106"/>
  <c r="O59" i="106"/>
  <c r="G59" i="106"/>
  <c r="K59" i="106"/>
  <c r="M14" i="106"/>
  <c r="M16" i="106" s="1"/>
  <c r="M22" i="106" s="1"/>
  <c r="M27" i="106"/>
  <c r="M46" i="106"/>
  <c r="N46" i="106"/>
  <c r="H46" i="106"/>
  <c r="E46" i="106"/>
  <c r="O46" i="106"/>
  <c r="G14" i="106"/>
  <c r="G16" i="106" s="1"/>
  <c r="G22" i="106" s="1"/>
  <c r="G26" i="106" s="1"/>
  <c r="G27" i="106"/>
  <c r="G46" i="106"/>
  <c r="M59" i="106"/>
  <c r="L59" i="106"/>
  <c r="E14" i="106"/>
  <c r="E16" i="106" s="1"/>
  <c r="E22" i="106" s="1"/>
  <c r="E26" i="106" s="1"/>
  <c r="E27" i="106"/>
  <c r="F59" i="106"/>
  <c r="C17" i="106" l="1"/>
  <c r="E30" i="106"/>
  <c r="E60" i="106"/>
  <c r="F60" i="106" s="1"/>
  <c r="G60" i="106" s="1"/>
  <c r="H60" i="106" s="1"/>
  <c r="I60" i="106" s="1"/>
  <c r="J60" i="106" s="1"/>
  <c r="K60" i="106" s="1"/>
  <c r="L60" i="106" s="1"/>
  <c r="M60" i="106" s="1"/>
  <c r="N60" i="106" s="1"/>
  <c r="O60" i="106" s="1"/>
  <c r="P60" i="106" s="1"/>
  <c r="Q60" i="106" s="1"/>
  <c r="R60" i="106" s="1"/>
  <c r="E47" i="106"/>
  <c r="F47" i="106" s="1"/>
  <c r="G47" i="106" s="1"/>
  <c r="H47" i="106" s="1"/>
  <c r="I47" i="106" s="1"/>
  <c r="J47" i="106" s="1"/>
  <c r="K47" i="106" s="1"/>
  <c r="L47" i="106" s="1"/>
  <c r="M47" i="106" s="1"/>
  <c r="N47" i="106" s="1"/>
  <c r="O47" i="106" s="1"/>
  <c r="P47" i="106" s="1"/>
  <c r="Q47" i="106" s="1"/>
  <c r="R47" i="106" s="1"/>
  <c r="H88" i="39"/>
  <c r="H93" i="39" s="1"/>
  <c r="H117" i="39" s="1"/>
  <c r="H118" i="39" s="1"/>
  <c r="H33" i="105" s="1"/>
  <c r="H38" i="105" s="1"/>
  <c r="H115" i="39"/>
  <c r="D22" i="106"/>
  <c r="D26" i="106" s="1"/>
  <c r="D30" i="106" s="1"/>
  <c r="G30" i="106"/>
  <c r="F47" i="105"/>
  <c r="F48" i="105" s="1"/>
  <c r="F49" i="105" s="1"/>
  <c r="H80" i="39"/>
  <c r="F30" i="106"/>
  <c r="H44" i="105" l="1"/>
  <c r="H119" i="39"/>
  <c r="I99" i="39"/>
  <c r="C45" i="39"/>
  <c r="I80" i="39"/>
  <c r="G47" i="105"/>
  <c r="G48" i="105" s="1"/>
  <c r="G49" i="105" s="1"/>
  <c r="I105" i="39" l="1"/>
  <c r="I107" i="39" s="1"/>
  <c r="I108" i="39" s="1"/>
  <c r="J74" i="39"/>
  <c r="H25" i="106" s="1"/>
  <c r="H26" i="106" s="1"/>
  <c r="H30" i="106" s="1"/>
  <c r="J80" i="39"/>
  <c r="H47" i="105"/>
  <c r="H48" i="105" s="1"/>
  <c r="H49" i="105" s="1"/>
  <c r="I47" i="105" l="1"/>
  <c r="K80" i="39"/>
  <c r="I110" i="39"/>
  <c r="I112" i="39" l="1"/>
  <c r="I113" i="39"/>
  <c r="I101" i="39" s="1"/>
  <c r="I104" i="39" s="1"/>
  <c r="L80" i="39"/>
  <c r="J47" i="105"/>
  <c r="K47" i="105" l="1"/>
  <c r="M80" i="39"/>
  <c r="I88" i="39"/>
  <c r="I93" i="39" s="1"/>
  <c r="I117" i="39" s="1"/>
  <c r="I118" i="39" s="1"/>
  <c r="I33" i="105" s="1"/>
  <c r="I38" i="105" s="1"/>
  <c r="I115" i="39"/>
  <c r="I119" i="39" l="1"/>
  <c r="I44" i="105"/>
  <c r="I48" i="105" s="1"/>
  <c r="I49" i="105" s="1"/>
  <c r="J99" i="39"/>
  <c r="N80" i="39"/>
  <c r="L47" i="105"/>
  <c r="O80" i="39" l="1"/>
  <c r="M47" i="105"/>
  <c r="K74" i="39"/>
  <c r="I25" i="106" s="1"/>
  <c r="I26" i="106" s="1"/>
  <c r="I30" i="106" s="1"/>
  <c r="J105" i="39"/>
  <c r="J107" i="39" s="1"/>
  <c r="J108" i="39" s="1"/>
  <c r="J110" i="39" l="1"/>
  <c r="P80" i="39"/>
  <c r="N47" i="105"/>
  <c r="Q80" i="39" l="1"/>
  <c r="O47" i="105"/>
  <c r="J113" i="39"/>
  <c r="J101" i="39" s="1"/>
  <c r="J104" i="39" s="1"/>
  <c r="J112" i="39"/>
  <c r="J88" i="39" l="1"/>
  <c r="J93" i="39" s="1"/>
  <c r="J117" i="39" s="1"/>
  <c r="J118" i="39" s="1"/>
  <c r="J33" i="105" s="1"/>
  <c r="J38" i="105" s="1"/>
  <c r="J115" i="39"/>
  <c r="P47" i="105"/>
  <c r="R80" i="39"/>
  <c r="S80" i="39" l="1"/>
  <c r="Q47" i="105"/>
  <c r="J119" i="39"/>
  <c r="K99" i="39"/>
  <c r="J44" i="105"/>
  <c r="J48" i="105" s="1"/>
  <c r="J49" i="105" s="1"/>
  <c r="L74" i="39" l="1"/>
  <c r="J25" i="106" s="1"/>
  <c r="J26" i="106" s="1"/>
  <c r="J30" i="106" s="1"/>
  <c r="K105" i="39"/>
  <c r="K107" i="39" s="1"/>
  <c r="K108" i="39" s="1"/>
  <c r="R47" i="105"/>
  <c r="T80" i="39"/>
  <c r="S47" i="105" s="1"/>
  <c r="K110" i="39" l="1"/>
  <c r="K112" i="39" l="1"/>
  <c r="K113" i="39"/>
  <c r="K101" i="39" s="1"/>
  <c r="K104" i="39" s="1"/>
  <c r="K88" i="39" l="1"/>
  <c r="K93" i="39" s="1"/>
  <c r="K117" i="39" s="1"/>
  <c r="K118" i="39" s="1"/>
  <c r="K33" i="105" s="1"/>
  <c r="K38" i="105" s="1"/>
  <c r="K115" i="39"/>
  <c r="K44" i="105" l="1"/>
  <c r="K48" i="105" s="1"/>
  <c r="K49" i="105" s="1"/>
  <c r="K119" i="39"/>
  <c r="L99" i="39"/>
  <c r="L105" i="39" l="1"/>
  <c r="L107" i="39" s="1"/>
  <c r="L108" i="39" s="1"/>
  <c r="M74" i="39"/>
  <c r="K25" i="106" s="1"/>
  <c r="K26" i="106" s="1"/>
  <c r="K30" i="106" s="1"/>
  <c r="L110" i="39" l="1"/>
  <c r="L113" i="39" l="1"/>
  <c r="L101" i="39" s="1"/>
  <c r="L104" i="39" s="1"/>
  <c r="L112" i="39"/>
  <c r="L88" i="39" l="1"/>
  <c r="L93" i="39" s="1"/>
  <c r="L117" i="39" s="1"/>
  <c r="L118" i="39" s="1"/>
  <c r="L33" i="105" s="1"/>
  <c r="L38" i="105" s="1"/>
  <c r="L115" i="39"/>
  <c r="M99" i="39" l="1"/>
  <c r="L44" i="105"/>
  <c r="L48" i="105" s="1"/>
  <c r="L49" i="105" s="1"/>
  <c r="L119" i="39"/>
  <c r="N74" i="39" l="1"/>
  <c r="L25" i="106" s="1"/>
  <c r="L26" i="106" s="1"/>
  <c r="L30" i="106" s="1"/>
  <c r="M105" i="39"/>
  <c r="M107" i="39" s="1"/>
  <c r="M108" i="39" s="1"/>
  <c r="M110" i="39" l="1"/>
  <c r="M112" i="39" l="1"/>
  <c r="M113" i="39"/>
  <c r="M101" i="39" s="1"/>
  <c r="M104" i="39" s="1"/>
  <c r="M88" i="39" l="1"/>
  <c r="M93" i="39" s="1"/>
  <c r="M117" i="39" s="1"/>
  <c r="M118" i="39" s="1"/>
  <c r="M33" i="105" s="1"/>
  <c r="M38" i="105" s="1"/>
  <c r="M115" i="39"/>
  <c r="N99" i="39" l="1"/>
  <c r="M44" i="105"/>
  <c r="M48" i="105" s="1"/>
  <c r="M49" i="105" s="1"/>
  <c r="M119" i="39"/>
  <c r="O74" i="39" l="1"/>
  <c r="M25" i="106" s="1"/>
  <c r="M26" i="106" s="1"/>
  <c r="M30" i="106" s="1"/>
  <c r="N105" i="39"/>
  <c r="N107" i="39" s="1"/>
  <c r="N108" i="39" s="1"/>
  <c r="N110" i="39" l="1"/>
  <c r="N112" i="39" l="1"/>
  <c r="N113" i="39"/>
  <c r="N101" i="39" s="1"/>
  <c r="N104" i="39" s="1"/>
  <c r="N88" i="39" l="1"/>
  <c r="N93" i="39" s="1"/>
  <c r="N117" i="39" s="1"/>
  <c r="N118" i="39" s="1"/>
  <c r="N33" i="105" s="1"/>
  <c r="N38" i="105" s="1"/>
  <c r="N115" i="39"/>
  <c r="N119" i="39" l="1"/>
  <c r="O99" i="39"/>
  <c r="N44" i="105"/>
  <c r="N48" i="105" s="1"/>
  <c r="N49" i="105" s="1"/>
  <c r="O105" i="39" l="1"/>
  <c r="O107" i="39" s="1"/>
  <c r="O108" i="39" s="1"/>
  <c r="P74" i="39"/>
  <c r="N25" i="106" s="1"/>
  <c r="N26" i="106" s="1"/>
  <c r="N30" i="106" s="1"/>
  <c r="O110" i="39" l="1"/>
  <c r="O112" i="39" l="1"/>
  <c r="O113" i="39"/>
  <c r="O101" i="39" s="1"/>
  <c r="O104" i="39" s="1"/>
  <c r="O88" i="39" l="1"/>
  <c r="O93" i="39" s="1"/>
  <c r="O117" i="39" s="1"/>
  <c r="O118" i="39" s="1"/>
  <c r="O33" i="105" s="1"/>
  <c r="O38" i="105" s="1"/>
  <c r="O115" i="39"/>
  <c r="O119" i="39" l="1"/>
  <c r="P99" i="39"/>
  <c r="O44" i="105"/>
  <c r="O48" i="105" s="1"/>
  <c r="O49" i="105" s="1"/>
  <c r="P105" i="39" l="1"/>
  <c r="P107" i="39" s="1"/>
  <c r="P108" i="39" s="1"/>
  <c r="Q74" i="39"/>
  <c r="O25" i="106" s="1"/>
  <c r="O26" i="106" s="1"/>
  <c r="O30" i="106" s="1"/>
  <c r="P110" i="39" l="1"/>
  <c r="P112" i="39" l="1"/>
  <c r="P113" i="39"/>
  <c r="P101" i="39" s="1"/>
  <c r="P104" i="39" s="1"/>
  <c r="P88" i="39" l="1"/>
  <c r="P93" i="39" s="1"/>
  <c r="P117" i="39" s="1"/>
  <c r="P118" i="39" s="1"/>
  <c r="P33" i="105" s="1"/>
  <c r="P38" i="105" s="1"/>
  <c r="P115" i="39"/>
  <c r="Q99" i="39" l="1"/>
  <c r="P44" i="105"/>
  <c r="P48" i="105" s="1"/>
  <c r="P49" i="105" s="1"/>
  <c r="P119" i="39"/>
  <c r="R74" i="39" l="1"/>
  <c r="P25" i="106" s="1"/>
  <c r="P26" i="106" s="1"/>
  <c r="P30" i="106" s="1"/>
  <c r="Q105" i="39"/>
  <c r="Q107" i="39" s="1"/>
  <c r="Q108" i="39" s="1"/>
  <c r="Q110" i="39" l="1"/>
  <c r="Q112" i="39" l="1"/>
  <c r="Q113" i="39"/>
  <c r="Q101" i="39" s="1"/>
  <c r="Q104" i="39" s="1"/>
  <c r="Q88" i="39" l="1"/>
  <c r="Q93" i="39" s="1"/>
  <c r="Q117" i="39" s="1"/>
  <c r="Q118" i="39" s="1"/>
  <c r="Q33" i="105" s="1"/>
  <c r="Q38" i="105" s="1"/>
  <c r="Q115" i="39"/>
  <c r="Q119" i="39" l="1"/>
  <c r="R99" i="39"/>
  <c r="Q44" i="105"/>
  <c r="Q48" i="105" s="1"/>
  <c r="Q49" i="105" s="1"/>
  <c r="S74" i="39" l="1"/>
  <c r="Q25" i="106" s="1"/>
  <c r="Q26" i="106" s="1"/>
  <c r="Q30" i="106" s="1"/>
  <c r="R105" i="39"/>
  <c r="R107" i="39" s="1"/>
  <c r="R108" i="39" s="1"/>
  <c r="R110" i="39" l="1"/>
  <c r="R112" i="39" l="1"/>
  <c r="R113" i="39"/>
  <c r="R101" i="39" s="1"/>
  <c r="R104" i="39" s="1"/>
  <c r="R88" i="39" l="1"/>
  <c r="R93" i="39" s="1"/>
  <c r="R117" i="39" s="1"/>
  <c r="R118" i="39" s="1"/>
  <c r="R33" i="105" s="1"/>
  <c r="R38" i="105" s="1"/>
  <c r="R115" i="39"/>
  <c r="R119" i="39" l="1"/>
  <c r="S99" i="39"/>
  <c r="R44" i="105"/>
  <c r="R48" i="105" s="1"/>
  <c r="R49" i="105" s="1"/>
  <c r="S105" i="39" l="1"/>
  <c r="S107" i="39" s="1"/>
  <c r="S108" i="39" s="1"/>
  <c r="T74" i="39"/>
  <c r="R25" i="106" s="1"/>
  <c r="R26" i="106" s="1"/>
  <c r="R30" i="106" s="1"/>
  <c r="C31" i="106" s="1"/>
  <c r="S110" i="39" l="1"/>
  <c r="C46" i="39"/>
  <c r="S113" i="39" l="1"/>
  <c r="S101" i="39" s="1"/>
  <c r="S104" i="39" s="1"/>
  <c r="S112" i="39"/>
  <c r="S88" i="39" l="1"/>
  <c r="S93" i="39" s="1"/>
  <c r="S117" i="39" s="1"/>
  <c r="S118" i="39" s="1"/>
  <c r="S33" i="105" s="1"/>
  <c r="S38" i="105" s="1"/>
  <c r="T107" i="39"/>
  <c r="T108" i="39" s="1"/>
  <c r="T110" i="39" s="1"/>
  <c r="S115" i="39"/>
  <c r="S44" i="105" l="1"/>
  <c r="S48" i="105" s="1"/>
  <c r="S49" i="105" s="1"/>
  <c r="S119" i="39"/>
  <c r="T99" i="39"/>
  <c r="T112" i="39"/>
  <c r="T88" i="39" s="1"/>
  <c r="T93" i="39" s="1"/>
  <c r="T117" i="39" s="1"/>
  <c r="T118" i="39" s="1"/>
  <c r="T113" i="39"/>
  <c r="T101" i="39" s="1"/>
  <c r="T115" i="39" l="1"/>
  <c r="C37" i="106"/>
  <c r="E36" i="106"/>
  <c r="H36" i="106"/>
  <c r="F38" i="106"/>
  <c r="O38" i="106"/>
  <c r="M36" i="106"/>
  <c r="O36" i="106"/>
  <c r="K38" i="106"/>
  <c r="F36" i="106"/>
  <c r="J38" i="106"/>
  <c r="Q36" i="106"/>
  <c r="I38" i="106"/>
  <c r="E38" i="106"/>
  <c r="J36" i="106"/>
  <c r="I36" i="106"/>
  <c r="P36" i="106"/>
  <c r="L38" i="106"/>
  <c r="K36" i="106"/>
  <c r="G38" i="106"/>
  <c r="R36" i="106"/>
  <c r="H38" i="106"/>
  <c r="D38" i="106"/>
  <c r="C39" i="106"/>
  <c r="Q38" i="106"/>
  <c r="M38" i="106"/>
  <c r="G36" i="106"/>
  <c r="L36" i="106"/>
  <c r="N36" i="106"/>
  <c r="R38" i="106"/>
  <c r="N38" i="106"/>
  <c r="P38" i="10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0C19FC-2878-4D06-A72C-2F897937F4DD}"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<sst xmlns="http://schemas.openxmlformats.org/spreadsheetml/2006/main" count="1055" uniqueCount="647">
  <si>
    <t>Naphtha</t>
  </si>
  <si>
    <t>Product</t>
  </si>
  <si>
    <t>MANUFACTURING COST</t>
  </si>
  <si>
    <t>Catalyst &amp; Chemicals</t>
  </si>
  <si>
    <t>Labour</t>
  </si>
  <si>
    <t>Variable Overheads</t>
  </si>
  <si>
    <t>Fixed Overheads</t>
  </si>
  <si>
    <t>Selling Overheads</t>
  </si>
  <si>
    <t>Total  Production Cost</t>
  </si>
  <si>
    <t>Description</t>
  </si>
  <si>
    <t>Operating Period</t>
  </si>
  <si>
    <t>Operating Revenue</t>
  </si>
  <si>
    <t>Total Operating Cost</t>
  </si>
  <si>
    <t>Depreciation</t>
  </si>
  <si>
    <t>Net Cash Flow</t>
  </si>
  <si>
    <t>Cost of Capital (10%)</t>
  </si>
  <si>
    <t>Discounted Cash Flow</t>
  </si>
  <si>
    <t>Undiscounted Cash Flow</t>
  </si>
  <si>
    <t>NPV</t>
  </si>
  <si>
    <t>IRR</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</si>
  <si>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</si>
  <si>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</si>
  <si>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</si>
  <si>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</si>
  <si>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</si>
  <si>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</si>
  <si>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</si>
  <si>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</si>
  <si>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</si>
  <si>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</si>
  <si>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</si>
  <si>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</si>
  <si>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A</t>
  </si>
  <si>
    <t>TOTAL FIXED-CAPITAL INVESTMENT</t>
  </si>
  <si>
    <t>A1</t>
  </si>
  <si>
    <t>TOTAL DIRECT PLANT COST</t>
  </si>
  <si>
    <t>Purchased-equipment installation</t>
  </si>
  <si>
    <t>Instrumentation and controls (installed)</t>
  </si>
  <si>
    <t>Piping (installed)</t>
  </si>
  <si>
    <t>Electrical (installed)</t>
  </si>
  <si>
    <t>Buildings (including services)</t>
  </si>
  <si>
    <t>Service facilities (installed)</t>
  </si>
  <si>
    <t>A2</t>
  </si>
  <si>
    <t>TOTAL INDIRECT PLANT COST</t>
  </si>
  <si>
    <t>B</t>
  </si>
  <si>
    <t>WORKING CAPITAL</t>
  </si>
  <si>
    <t>TOTAL CAPITAL INVESTMENT</t>
  </si>
  <si>
    <t xml:space="preserve">Annual Qty </t>
  </si>
  <si>
    <t xml:space="preserve">Unit Rate </t>
  </si>
  <si>
    <t>Tonne</t>
  </si>
  <si>
    <r>
      <t xml:space="preserve">A1 </t>
    </r>
    <r>
      <rPr>
        <sz val="10"/>
        <color theme="1"/>
        <rFont val="Arial"/>
        <family val="2"/>
      </rPr>
      <t xml:space="preserve">+ </t>
    </r>
    <r>
      <rPr>
        <b/>
        <sz val="10"/>
        <color theme="1"/>
        <rFont val="Arial"/>
        <family val="2"/>
      </rPr>
      <t>A2</t>
    </r>
  </si>
  <si>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</si>
  <si>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</si>
  <si>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</si>
  <si>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</si>
  <si>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</si>
  <si>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</si>
  <si>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</si>
  <si>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</si>
  <si>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</si>
  <si>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</si>
  <si>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</si>
  <si>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</si>
  <si>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</si>
  <si>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</si>
  <si>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</si>
  <si>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</si>
  <si>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 xml:space="preserve">Delivered main equipment (includes auxiliary equipment) </t>
  </si>
  <si>
    <t>Steam</t>
  </si>
  <si>
    <t>INR / Tonne</t>
  </si>
  <si>
    <t>Total Fixed Cost</t>
  </si>
  <si>
    <t>Unit</t>
  </si>
  <si>
    <t>MT</t>
  </si>
  <si>
    <t>Total</t>
  </si>
  <si>
    <t>Nitrogen-Rs./NM3 (Considered for Oxygen cost of Production)</t>
  </si>
  <si>
    <t>Condensate Cost  INR/M3</t>
  </si>
  <si>
    <t>TOTAL SALES</t>
  </si>
  <si>
    <t>Price (INR / Tonne)</t>
  </si>
  <si>
    <t>Annual Production</t>
  </si>
  <si>
    <t>Value in (INR Crore)</t>
  </si>
  <si>
    <t>Product &amp; Co-Product</t>
  </si>
  <si>
    <t>Cooling water cost INR/M3</t>
  </si>
  <si>
    <t>Compressed Air cost INR/NM3</t>
  </si>
  <si>
    <t>BFW cost INR/MT</t>
  </si>
  <si>
    <t>Expenditure phasing / Capacity Utilization</t>
  </si>
  <si>
    <t>ISBL</t>
  </si>
  <si>
    <t>OSBL</t>
  </si>
  <si>
    <t>Overheads</t>
  </si>
  <si>
    <t>Capex (In INR Crore)</t>
  </si>
  <si>
    <t>Total Investment (In INR Crore)</t>
  </si>
  <si>
    <t xml:space="preserve">All Figures are in INR Crore </t>
  </si>
  <si>
    <t>Plant &amp; Machinery</t>
  </si>
  <si>
    <t>Percentage Share</t>
  </si>
  <si>
    <t>Total Investment  (INR Crore)</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</si>
  <si>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</si>
  <si>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</si>
  <si>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</si>
  <si>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</si>
  <si>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</si>
  <si>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</si>
  <si>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</si>
  <si>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</si>
  <si>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</si>
  <si>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</si>
  <si>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</si>
  <si>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</si>
  <si>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</si>
  <si>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</si>
  <si>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</si>
  <si>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</si>
  <si>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</si>
  <si>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</si>
  <si>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</si>
  <si>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</si>
  <si>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</si>
  <si>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</si>
  <si>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</si>
  <si>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</si>
  <si>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</si>
  <si>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</si>
  <si>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 xml:space="preserve">Share </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</si>
  <si>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</si>
  <si>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</si>
  <si>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</si>
  <si>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</si>
  <si>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</si>
  <si>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</si>
  <si>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</si>
  <si>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</si>
  <si>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</si>
  <si>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</si>
  <si>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</si>
  <si>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</si>
  <si>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</si>
  <si>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</si>
  <si>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</si>
  <si>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</si>
  <si>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Weighted Average</t>
  </si>
  <si>
    <t>Actual</t>
  </si>
  <si>
    <t>MMBTU</t>
  </si>
  <si>
    <t>Chemical Products' Price</t>
  </si>
  <si>
    <t>Derived</t>
  </si>
  <si>
    <t>Tonnes</t>
  </si>
  <si>
    <t>Power INR/KWh</t>
  </si>
  <si>
    <t>Steam INR/MT</t>
  </si>
  <si>
    <t>DM Water INR/MT</t>
  </si>
  <si>
    <t>MWh</t>
  </si>
  <si>
    <t>NM3</t>
  </si>
  <si>
    <t>Boiler Feed Water</t>
  </si>
  <si>
    <t>INR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</si>
  <si>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</si>
  <si>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</si>
  <si>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</si>
  <si>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</si>
  <si>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</si>
  <si>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</si>
  <si>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</si>
  <si>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</si>
  <si>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</si>
  <si>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</si>
  <si>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</si>
  <si>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</si>
  <si>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</si>
  <si>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</si>
  <si>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</si>
  <si>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Per MT Margin</t>
  </si>
  <si>
    <t>Margin %</t>
  </si>
  <si>
    <t>Unit Margin</t>
  </si>
  <si>
    <t>Gross Margin (EBITDA/PBITDA)</t>
  </si>
  <si>
    <t>Inflation (after adjustment of dollar appreciation)</t>
  </si>
  <si>
    <t>Payback Period after project completion (Simple)</t>
  </si>
  <si>
    <t>Payback Period after project completion (Discounted)</t>
  </si>
  <si>
    <t>Simple</t>
  </si>
  <si>
    <t>Discounted</t>
  </si>
  <si>
    <t>Simple Factor</t>
  </si>
  <si>
    <t>Discounted Factor</t>
  </si>
  <si>
    <t xml:space="preserve">Unit </t>
  </si>
  <si>
    <t>Break Even Point (at optimum capacity utilization)</t>
  </si>
  <si>
    <t>Year of Operation</t>
  </si>
  <si>
    <t>Total  Cost of Sales</t>
  </si>
  <si>
    <t>Gross Profit</t>
  </si>
  <si>
    <t>Cumulative Cash Flow</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</si>
  <si>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</si>
  <si>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</si>
  <si>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</si>
  <si>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</si>
  <si>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</si>
  <si>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</si>
  <si>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</si>
  <si>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</si>
  <si>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</si>
  <si>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</si>
  <si>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</si>
  <si>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r>
      <t xml:space="preserve">A </t>
    </r>
    <r>
      <rPr>
        <sz val="10"/>
        <color theme="0"/>
        <rFont val="Arial"/>
        <family val="2"/>
      </rPr>
      <t xml:space="preserve">+ </t>
    </r>
    <r>
      <rPr>
        <b/>
        <sz val="10"/>
        <color theme="0"/>
        <rFont val="Arial"/>
        <family val="2"/>
      </rPr>
      <t>B</t>
    </r>
  </si>
  <si>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</si>
  <si>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</si>
  <si>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</si>
  <si>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</si>
  <si>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</si>
  <si>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</si>
  <si>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</si>
  <si>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</si>
  <si>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</si>
  <si>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</si>
  <si>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</si>
  <si>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</si>
  <si>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</si>
  <si>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</si>
  <si>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</si>
  <si>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</si>
  <si>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</si>
  <si>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</si>
  <si>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</si>
  <si>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</si>
  <si>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</si>
  <si>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</si>
  <si>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</si>
  <si>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</si>
  <si>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</si>
  <si>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</si>
  <si>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</si>
  <si>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</si>
  <si>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</si>
  <si>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</si>
  <si>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</si>
  <si>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</si>
  <si>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</si>
  <si>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</si>
  <si>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</si>
  <si>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</si>
  <si>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</si>
  <si>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</si>
  <si>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</si>
  <si>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</si>
  <si>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</si>
  <si>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</si>
  <si>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</si>
  <si>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</si>
  <si>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</si>
  <si>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</si>
  <si>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</si>
  <si>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</si>
  <si>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</si>
  <si>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</si>
  <si>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</si>
  <si>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</si>
  <si>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</si>
  <si>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</si>
  <si>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</si>
  <si>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</si>
  <si>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</si>
  <si>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</si>
  <si>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</si>
  <si>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</si>
  <si>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</si>
  <si>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</si>
  <si>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</si>
  <si>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</si>
  <si>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</si>
  <si>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</si>
  <si>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</si>
  <si>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</si>
  <si>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</si>
  <si>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</si>
  <si>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</si>
  <si>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</si>
  <si>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</si>
  <si>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Plant Overhead and Administrative Costs (3.0% of  10 + 15)</t>
  </si>
  <si>
    <t>Kribhco</t>
  </si>
  <si>
    <t>Annual Sales Revenue @ 100 Percent Capacity Utilization</t>
  </si>
  <si>
    <t>Selling Price per MT of XXX</t>
  </si>
  <si>
    <t>Cost per MT of XXX</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</si>
  <si>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</si>
  <si>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</si>
  <si>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</si>
  <si>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</si>
  <si>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</si>
  <si>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</si>
  <si>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</si>
  <si>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</si>
  <si>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</si>
  <si>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</si>
  <si>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</si>
  <si>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</si>
  <si>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</si>
  <si>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</si>
  <si>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</si>
  <si>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</si>
  <si>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</si>
  <si>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</si>
  <si>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</si>
  <si>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TechSci</t>
  </si>
  <si>
    <t xml:space="preserve">Weak Nitric Acid </t>
  </si>
  <si>
    <t>100 KTPA Ammonium Nitrate Plant</t>
  </si>
  <si>
    <t>WNA + TAN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</si>
  <si>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</si>
  <si>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</si>
  <si>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</si>
  <si>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</si>
  <si>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</si>
  <si>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</si>
  <si>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</si>
  <si>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</si>
  <si>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</si>
  <si>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</si>
  <si>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</si>
  <si>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</si>
  <si>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</si>
  <si>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</si>
  <si>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</si>
  <si>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</si>
  <si>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</si>
  <si>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</si>
  <si>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</si>
  <si>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</si>
  <si>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</si>
  <si>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</si>
  <si>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</si>
  <si>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</si>
  <si>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</si>
  <si>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</si>
  <si>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</si>
  <si>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</si>
  <si>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</si>
  <si>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</si>
  <si>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</si>
  <si>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</si>
  <si>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</si>
  <si>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COP can not be considered as selling price</t>
  </si>
  <si>
    <t>average of this item is not required</t>
  </si>
  <si>
    <t>Whether the capex include both ISBL or ISBL &amp; OSBL both??</t>
  </si>
  <si>
    <t>Instead of this kind of break up, please provide break up of ISBL &amp; OSBL like cost of main WNA plant, AN Plant, offsites , storage tanks etc.</t>
  </si>
  <si>
    <t>Actual break up of ISBL &amp; OSBL required rather than approximation of ratios</t>
  </si>
  <si>
    <t>This sheet may not be necessary, "Norms" sheet can be directly linked to other worksheets.</t>
  </si>
  <si>
    <t>In this sheet please mention overheads</t>
  </si>
  <si>
    <t>I understand all utilities facilities are to be created, so instead of fixing rate of  each and every utilities capex and opex of each utility facilities needs to specified.</t>
  </si>
  <si>
    <t>cannot be fixed number, to be linked with calculation sheet</t>
  </si>
  <si>
    <t>The opex sheet should start from year 2025 for a period of 15 years</t>
  </si>
  <si>
    <t>Other costs also to be spread for full 15 years</t>
  </si>
  <si>
    <t>As an integrated WNA/AN plant overall opex needs to be calculated other than Rs/MT of WNA &amp; AN</t>
  </si>
  <si>
    <t>Break up of variable &amp; Fixed cost to be shown separately</t>
  </si>
  <si>
    <t>packagin cost may not be required, to be sold in tankers. Transportation cost may be indicated separately and ex-works price to be taken into account</t>
  </si>
  <si>
    <t>Pre-tax and post tax IRR to be indicated</t>
  </si>
  <si>
    <t>Book Depreciation and IT-Depreciation is not indicated</t>
  </si>
  <si>
    <t>Separate Tax calculation sheet to be provided</t>
  </si>
  <si>
    <t>Interest cost not mentioned??</t>
  </si>
  <si>
    <t>Annual Sales</t>
  </si>
  <si>
    <t>For Hazira</t>
  </si>
  <si>
    <t> (Rs/MT NH3)</t>
  </si>
  <si>
    <t>2021-22</t>
  </si>
  <si>
    <t>For Shahjahanpur</t>
  </si>
  <si>
    <t xml:space="preserve">(Rs/MT NH3) </t>
  </si>
  <si>
    <t>Blue- No break up required</t>
  </si>
  <si>
    <t xml:space="preserve">Give break up of indirect cost- required </t>
  </si>
  <si>
    <t xml:space="preserve">Variable Cost </t>
  </si>
  <si>
    <t>Fixed  Cost</t>
  </si>
  <si>
    <t>Labour (Salary and Wages)</t>
  </si>
  <si>
    <t>Interest on Capital</t>
  </si>
  <si>
    <t>Maintenance and repairs (2.0% of fixed-capital investment)(Capex)</t>
  </si>
  <si>
    <t>Varaible Cost</t>
  </si>
  <si>
    <t>Fixed Cost</t>
  </si>
  <si>
    <t>82.50 KTPA Weak Nitric Acid</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</si>
  <si>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</si>
  <si>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</si>
  <si>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</si>
  <si>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</si>
  <si>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</si>
  <si>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</si>
  <si>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</si>
  <si>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</si>
  <si>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Engineering and supervision, Construction expenses, Legal expenses, Contractor’s fee, Contingency</t>
  </si>
  <si>
    <t>Long Term Loans</t>
  </si>
  <si>
    <t>Moratorium</t>
  </si>
  <si>
    <t>Tenure</t>
  </si>
  <si>
    <t>Loan</t>
  </si>
  <si>
    <t>Annual Installment</t>
  </si>
  <si>
    <t>-2 (6 Months Equity)</t>
  </si>
  <si>
    <t>Loan Repayment</t>
  </si>
  <si>
    <t>Loan Outstanding</t>
  </si>
  <si>
    <t>Depreciation Calculation</t>
  </si>
  <si>
    <t>Valuation of assets</t>
  </si>
  <si>
    <t>Type of assets</t>
  </si>
  <si>
    <t>Basic cost</t>
  </si>
  <si>
    <t>%age</t>
  </si>
  <si>
    <t>other Costs</t>
  </si>
  <si>
    <t>Total Cost</t>
  </si>
  <si>
    <t>Civil Construction</t>
  </si>
  <si>
    <t>Plant &amp; Machinery, Misc fixed assets, Design and detailed engg</t>
  </si>
  <si>
    <t>Total cost</t>
  </si>
  <si>
    <t>Depreciation schedule</t>
  </si>
  <si>
    <t>I. As per Books of Accounts</t>
  </si>
  <si>
    <t>Years</t>
  </si>
  <si>
    <t>Buildings</t>
  </si>
  <si>
    <t>Net Value</t>
  </si>
  <si>
    <t>Dep. Amount</t>
  </si>
  <si>
    <t>I</t>
  </si>
  <si>
    <t>II</t>
  </si>
  <si>
    <t>III</t>
  </si>
  <si>
    <t>IV</t>
  </si>
  <si>
    <t>V</t>
  </si>
  <si>
    <t>VI</t>
  </si>
  <si>
    <t>VII</t>
  </si>
  <si>
    <t>VIII</t>
  </si>
  <si>
    <t>IX</t>
  </si>
  <si>
    <t>X</t>
  </si>
  <si>
    <t>XI</t>
  </si>
  <si>
    <t>XII</t>
  </si>
  <si>
    <t>XIII</t>
  </si>
  <si>
    <t>XIV</t>
  </si>
  <si>
    <t>XV</t>
  </si>
  <si>
    <t>XVI</t>
  </si>
  <si>
    <t>XVII</t>
  </si>
  <si>
    <t>XVIII</t>
  </si>
  <si>
    <t>XIX</t>
  </si>
  <si>
    <t>XX</t>
  </si>
  <si>
    <t>Remaining</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</si>
  <si>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</si>
  <si>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</si>
  <si>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</si>
  <si>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</si>
  <si>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</si>
  <si>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</si>
  <si>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</si>
  <si>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</si>
  <si>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</si>
  <si>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</si>
  <si>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</si>
  <si>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</si>
  <si>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</si>
  <si>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</si>
  <si>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</si>
  <si>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</si>
  <si>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Erection and foundation at 7.5% of plant machinery</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</si>
  <si>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</si>
  <si>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</si>
  <si>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</si>
  <si>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</si>
  <si>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</si>
  <si>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</si>
  <si>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</si>
  <si>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</si>
  <si>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</si>
  <si>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</si>
  <si>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</si>
  <si>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</si>
  <si>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</si>
  <si>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</si>
  <si>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</si>
  <si>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</si>
  <si>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</si>
  <si>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</si>
  <si>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No of Days in Year</t>
  </si>
  <si>
    <t>Raw Material Inventory</t>
  </si>
  <si>
    <t>Ammonia &amp; other consumables</t>
  </si>
  <si>
    <t xml:space="preserve">Raw Material/Suppliers Credit </t>
  </si>
  <si>
    <t>Ammonia</t>
  </si>
  <si>
    <t>Working Capital: Receivables fro Dealers</t>
  </si>
  <si>
    <t>WC Days for Receivables from Dealers/Customer</t>
  </si>
  <si>
    <t>Product Inventory</t>
  </si>
  <si>
    <t>Cash in Hand (Salaries Exp)</t>
  </si>
  <si>
    <t>PROJECTED BALANCE SHEET</t>
  </si>
  <si>
    <t>KRIBHCO</t>
  </si>
  <si>
    <t>18 months construction Period</t>
  </si>
  <si>
    <t>SL.</t>
  </si>
  <si>
    <t>Item</t>
  </si>
  <si>
    <t>2</t>
  </si>
  <si>
    <t>3</t>
  </si>
  <si>
    <t>4</t>
  </si>
  <si>
    <t>5</t>
  </si>
  <si>
    <t>6</t>
  </si>
  <si>
    <t>7</t>
  </si>
  <si>
    <t>8</t>
  </si>
  <si>
    <t>9</t>
  </si>
  <si>
    <t>10</t>
  </si>
  <si>
    <t>11</t>
  </si>
  <si>
    <t>12</t>
  </si>
  <si>
    <t>13</t>
  </si>
  <si>
    <t>14</t>
  </si>
  <si>
    <t>15</t>
  </si>
  <si>
    <t>NO.</t>
  </si>
  <si>
    <t>(6 months)</t>
  </si>
  <si>
    <t>ASSETS</t>
  </si>
  <si>
    <t>Current Assets</t>
  </si>
  <si>
    <t>From Dealer</t>
  </si>
  <si>
    <t xml:space="preserve">Product Inventory </t>
  </si>
  <si>
    <t>Raw Mat.Inventory &amp; Opr. Supplies</t>
  </si>
  <si>
    <t>Cash in hand (Salaries+Admin Expenses)</t>
  </si>
  <si>
    <t>Total Current Assets</t>
  </si>
  <si>
    <t>Cash &amp; Equivalent to-date</t>
  </si>
  <si>
    <t>Fixed Assets</t>
  </si>
  <si>
    <t>Gross Fixed Assets</t>
  </si>
  <si>
    <t>Accum. Depreciation</t>
  </si>
  <si>
    <t>Net Fixed Assets</t>
  </si>
  <si>
    <t>TOTAL ASSETS</t>
  </si>
  <si>
    <t>LIABILITIES</t>
  </si>
  <si>
    <t>Current Liabilities</t>
  </si>
  <si>
    <t>Suppliers Credit</t>
  </si>
  <si>
    <t>Advances &amp; Deposits</t>
  </si>
  <si>
    <t>Total Current Liabilities</t>
  </si>
  <si>
    <t>Short Term Loan</t>
  </si>
  <si>
    <t>LT Loan Outstanding</t>
  </si>
  <si>
    <t>Retained Earnings</t>
  </si>
  <si>
    <t>TOTAL LIABILITIES</t>
  </si>
  <si>
    <t>Current Ratio</t>
  </si>
  <si>
    <t>Working Capital Margin</t>
  </si>
  <si>
    <t>Change in Working capital</t>
  </si>
  <si>
    <t>Income bef. Depr.,Int.&amp; Taxes</t>
  </si>
  <si>
    <t>Total COP (Rs/MT)</t>
  </si>
  <si>
    <t>Interest LT loan</t>
  </si>
  <si>
    <t xml:space="preserve">Depreciation </t>
  </si>
  <si>
    <t>Taxes on Income</t>
  </si>
  <si>
    <t>Profit after Tax</t>
  </si>
  <si>
    <t>EBIDTA%</t>
  </si>
  <si>
    <t>CASH FLOW STATEMENT</t>
  </si>
  <si>
    <t>Construction Period</t>
  </si>
  <si>
    <t>Sl.No.</t>
  </si>
  <si>
    <t>1</t>
  </si>
  <si>
    <t>SOURCE OF FUNDS</t>
  </si>
  <si>
    <t>Increase in ST Loan</t>
  </si>
  <si>
    <t>Increase in LT Loan</t>
  </si>
  <si>
    <t>Increase in Equity</t>
  </si>
  <si>
    <t>Incr. in Currt. Liability</t>
  </si>
  <si>
    <t>Decr. in Currt. Assets</t>
  </si>
  <si>
    <t>TOTAL (A)</t>
  </si>
  <si>
    <t>TOTAL Excluding ST Loan</t>
  </si>
  <si>
    <t>APPLICATION OF FUNDS</t>
  </si>
  <si>
    <t>Cost of Construction</t>
  </si>
  <si>
    <t>Decr. in Currt. Liability</t>
  </si>
  <si>
    <t>Incr.in Current Assets</t>
  </si>
  <si>
    <t>Interest on ST Loan</t>
  </si>
  <si>
    <t>Interest on LT Loan</t>
  </si>
  <si>
    <t>Repay. of ST Loan</t>
  </si>
  <si>
    <t>Amort. of LT Loan</t>
  </si>
  <si>
    <t>TOTAL (B)</t>
  </si>
  <si>
    <t>TOTAL Excluding ST Loan reimbursment &amp; increase</t>
  </si>
  <si>
    <t>Dividends</t>
  </si>
  <si>
    <t>Change in treasury</t>
  </si>
  <si>
    <t>Treasury at the end of period</t>
  </si>
  <si>
    <t>Treasury required buffer</t>
  </si>
  <si>
    <t>(Required cash)/excess cash</t>
  </si>
  <si>
    <t>Reimbursment of ST Loan</t>
  </si>
  <si>
    <t xml:space="preserve">Working Capital Margin </t>
  </si>
  <si>
    <t>ST Loan at the end of period</t>
  </si>
  <si>
    <t>C</t>
  </si>
  <si>
    <t>Cash surplus for period</t>
  </si>
  <si>
    <t>D</t>
  </si>
  <si>
    <t>Cash at end of period</t>
  </si>
  <si>
    <t>INCOME TAX CALCULATION</t>
  </si>
  <si>
    <t>16</t>
  </si>
  <si>
    <t>17</t>
  </si>
  <si>
    <t>18</t>
  </si>
  <si>
    <t>Profit before Tax</t>
  </si>
  <si>
    <t>Add - Dep.as per Books</t>
  </si>
  <si>
    <t>Less - Depreciation for IT</t>
  </si>
  <si>
    <t>Adjusted Profit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</si>
  <si>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</si>
  <si>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</si>
  <si>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</si>
  <si>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</si>
  <si>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</si>
  <si>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</si>
  <si>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</si>
  <si>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</si>
  <si>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</si>
  <si>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</si>
  <si>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</si>
  <si>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</si>
  <si>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DEPRECIATION FOR INCOME TAX CALCULATION</t>
  </si>
  <si>
    <t>ITEM</t>
  </si>
  <si>
    <t xml:space="preserve">  RATE</t>
  </si>
  <si>
    <t>ASSET</t>
  </si>
  <si>
    <t>VALUE</t>
  </si>
  <si>
    <t>Civil construction</t>
  </si>
  <si>
    <t>Plant &amp; Machinery incl site dev. cost</t>
  </si>
  <si>
    <t>TOTAL DEPRECIATION FOR TAX PURPOSE</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</si>
  <si>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</si>
  <si>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</si>
  <si>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</si>
  <si>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</si>
  <si>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</si>
  <si>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</si>
  <si>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</si>
  <si>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</si>
  <si>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</si>
  <si>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</si>
  <si>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</si>
  <si>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</si>
  <si>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</si>
  <si>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</si>
  <si>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</si>
  <si>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</si>
  <si>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</si>
  <si>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</si>
  <si>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</si>
  <si>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</si>
  <si>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</si>
  <si>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</si>
  <si>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</si>
  <si>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</si>
  <si>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</si>
  <si>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</si>
  <si>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</si>
  <si>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Approx. 5.75 Years</t>
  </si>
  <si>
    <t xml:space="preserve">Payback period </t>
  </si>
  <si>
    <t>Unrecovered portion</t>
  </si>
  <si>
    <t>Net profit+depreciation</t>
  </si>
  <si>
    <t>LT Loan Interest- net of tax</t>
  </si>
  <si>
    <t>Less: Tax applicable considering same unit</t>
  </si>
  <si>
    <t>Add: Tax as per Books</t>
  </si>
  <si>
    <t>Dep</t>
  </si>
  <si>
    <t>Total project cost</t>
  </si>
  <si>
    <t>Calculation of Payback period (Option2 with taxation benefit)</t>
  </si>
  <si>
    <t>Approx. 7 Years</t>
  </si>
  <si>
    <t>Post Tax</t>
  </si>
  <si>
    <t>Cash Flow Pre-Tax</t>
  </si>
  <si>
    <t>Pre-Tax</t>
  </si>
  <si>
    <t>Calculation of Payback period (Option1)</t>
  </si>
  <si>
    <t>Equity IRR</t>
  </si>
  <si>
    <t>Net Project Flow</t>
  </si>
  <si>
    <t>Cash inflow</t>
  </si>
  <si>
    <t>Less: Effective Tax</t>
  </si>
  <si>
    <t>ADD: Theoretical Income Tax</t>
  </si>
  <si>
    <t xml:space="preserve">Cash Generation for Sponsors </t>
  </si>
  <si>
    <t>Short Term Interest</t>
  </si>
  <si>
    <t>LT Loan Repayment</t>
  </si>
  <si>
    <t>LT Loans Interest</t>
  </si>
  <si>
    <t>Net Cash Generation of Project</t>
  </si>
  <si>
    <t>Const 1</t>
  </si>
  <si>
    <t>Project IRR</t>
  </si>
  <si>
    <t>Project Net Cash Flow</t>
  </si>
  <si>
    <t>Capex excl IDC</t>
  </si>
  <si>
    <t>Salvage</t>
  </si>
  <si>
    <t>Change in Working Capital</t>
  </si>
  <si>
    <t>Theoretical Corporate Tax on EBIT</t>
  </si>
  <si>
    <t>Tax Rate</t>
  </si>
  <si>
    <t>EBIT</t>
  </si>
  <si>
    <t>EBIDTA</t>
  </si>
  <si>
    <t>Manpower, O&amp;M etc.</t>
  </si>
  <si>
    <t>Raw Material Cost</t>
  </si>
  <si>
    <t>Sales Revenue</t>
  </si>
  <si>
    <t>Project</t>
  </si>
  <si>
    <t>Insurance</t>
  </si>
  <si>
    <t>project cost</t>
  </si>
  <si>
    <t>Crore</t>
  </si>
  <si>
    <t>Total CTC (INR Crore)</t>
  </si>
  <si>
    <t>TPC+IDC</t>
  </si>
  <si>
    <t>Steam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</si>
</sst>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 #,##0.00_ ;_ * \-#,##0.00_ ;_ * &quot;-&quot;??_ ;_ @_ "/>
    <numFmt numFmtId="164" formatCode="_(* #,##0.00_);_(* \(#,##0.00\);_(* &quot;-&quot;??_);_(@_)"/>
    <numFmt numFmtId="165" formatCode="_(* #,##0_);_(* \(#,##0\);_(* &quot;-&quot;??_);_(@_)"/>
    <numFmt numFmtId="166" formatCode="_ * #,##0_ ;_ * \-#,##0_ ;_ * &quot;-&quot;??_ ;_ @_ "/>
    <numFmt numFmtId="167" formatCode="0.0"/>
    <numFmt numFmtId="168" formatCode="#,##0.000"/>
    <numFmt numFmtId="169" formatCode="0.0%"/>
    <numFmt numFmtId="170" formatCode="_(* #,##0_);_(* \(#,##0\);_(* &quot;-&quot;_);@_)"/>
    <numFmt numFmtId="171" formatCode="0%_);\(0%\)"/>
    <numFmt numFmtId="172" formatCode="General_)"/>
    <numFmt numFmtId="173" formatCode="#,##0;&quot;(&quot;#,##0&quot;)&quot;;&quot;-&quot;"/>
    <numFmt numFmtId="174" formatCode="0.000%"/>
  </numFmts>
  <fonts count="70">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u/>
      <sz val="11"/>
      <color theme="1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Palladio Uralic"/>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sz val="10"/>
      <color theme="4"/>
      <name val="Arial"/>
      <family val="2"/>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i/>
      <sz val="10"/>
      <color rgb="FF000000"/>
      <name val="Arial"/>
      <family val="2"/>
    </font>
    <font>
      <sz val="10"/>
      <name val="Courier"/>
      <family val="3"/>
    </font>
    <font>
      <b/>
      <sz val="11"/>
      <name val="Calibri"/>
      <family val="2"/>
      <scheme val="minor"/>
    </font>
    <font>
      <sz val="10"/>
      <name val="Courier"/>
    </font>
    <font>
      <sz val="9"/>
      <name val="Arial"/>
      <family val="2"/>
    </font>
    <font>
      <sz val="9"/>
      <color rgb="FFFF0000"/>
      <name val="Arial"/>
      <family val="2"/>
    </font>
    <font>
      <b/>
      <sz val="9"/>
      <name val="Arial"/>
      <family val="2"/>
    </font>
    <font>
      <b/>
      <sz val="9"/>
      <color rgb="FF000000"/>
      <name val="Arial"/>
      <family val="2"/>
    </font>
    <font>
      <sz val="9"/>
      <color rgb="FF000000"/>
      <name val="Arial"/>
      <family val="2"/>
    </font>
    <font>
      <b/>
      <sz val="9"/>
      <color theme="0"/>
      <name val="Arial"/>
      <family val="2"/>
    </font>
    <font>
      <b/>
      <sz val="10"/>
      <color indexed="10"/>
      <name val="Arial"/>
      <family val="2"/>
    </font>
  </fonts>
  <fills count="30">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indexed="22"/>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0000"/>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2">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1" fillId="0" borderId="0"/>
    <xf numFmtId="170" fontId="12" fillId="0" borderId="0"/>
    <xf numFmtId="0" fontId="18" fillId="5" borderId="0" applyNumberFormat="0" applyBorder="0" applyAlignment="0" applyProtection="0"/>
    <xf numFmtId="0" fontId="22" fillId="8" borderId="14" applyNumberFormat="0" applyAlignment="0" applyProtection="0"/>
    <xf numFmtId="0" fontId="24" fillId="9" borderId="17" applyNumberFormat="0" applyAlignment="0" applyProtection="0"/>
    <xf numFmtId="43" fontId="12" fillId="0" borderId="0" applyFont="0" applyFill="0" applyBorder="0" applyAlignment="0" applyProtection="0"/>
    <xf numFmtId="0" fontId="25" fillId="0" borderId="0" applyNumberFormat="0" applyFill="0" applyBorder="0" applyAlignment="0" applyProtection="0"/>
    <xf numFmtId="0" fontId="17" fillId="4" borderId="0" applyNumberFormat="0" applyBorder="0" applyAlignment="0" applyProtection="0"/>
    <xf numFmtId="49" fontId="14" fillId="0" borderId="19" applyFill="0" applyProtection="0">
      <alignment horizontal="right" wrapText="1"/>
    </xf>
    <xf numFmtId="49" fontId="15" fillId="0" borderId="0" applyProtection="0">
      <alignment wrapText="1"/>
    </xf>
    <xf numFmtId="49" fontId="16" fillId="0" borderId="20" applyFill="0" applyProtection="0">
      <alignment horizontal="right" wrapText="1"/>
    </xf>
    <xf numFmtId="49" fontId="16" fillId="0" borderId="0" applyProtection="0">
      <alignment wrapText="1"/>
    </xf>
    <xf numFmtId="0" fontId="31" fillId="0" borderId="0" applyNumberFormat="0" applyFill="0" applyBorder="0" applyAlignment="0" applyProtection="0">
      <alignment vertical="top"/>
      <protection locked="0"/>
    </xf>
    <xf numFmtId="0" fontId="20" fillId="7" borderId="14" applyNumberFormat="0" applyAlignment="0" applyProtection="0"/>
    <xf numFmtId="0" fontId="23" fillId="0" borderId="16" applyNumberFormat="0" applyFill="0" applyAlignment="0" applyProtection="0"/>
    <xf numFmtId="0" fontId="19" fillId="6" borderId="0" applyNumberFormat="0" applyBorder="0" applyAlignment="0" applyProtection="0"/>
    <xf numFmtId="0" fontId="1" fillId="0" borderId="0"/>
    <xf numFmtId="0" fontId="12" fillId="10" borderId="18" applyNumberFormat="0" applyAlignment="0" applyProtection="0"/>
    <xf numFmtId="0" fontId="21" fillId="8" borderId="15" applyNumberFormat="0" applyAlignment="0" applyProtection="0"/>
    <xf numFmtId="9" fontId="12" fillId="0" borderId="0" applyFont="0" applyFill="0" applyBorder="0" applyAlignment="0" applyProtection="0"/>
    <xf numFmtId="9" fontId="1" fillId="0" borderId="0" applyFont="0" applyFill="0" applyBorder="0" applyAlignment="0" applyProtection="0"/>
    <xf numFmtId="170" fontId="27" fillId="0" borderId="0" applyNumberFormat="0" applyFill="0" applyBorder="0" applyAlignment="0" applyProtection="0"/>
    <xf numFmtId="170" fontId="12" fillId="11" borderId="0" applyNumberFormat="0" applyFont="0" applyBorder="0" applyAlignment="0" applyProtection="0"/>
    <xf numFmtId="0" fontId="12" fillId="0" borderId="0" applyFill="0" applyBorder="0" applyProtection="0"/>
    <xf numFmtId="170" fontId="12" fillId="12" borderId="0" applyNumberFormat="0" applyFont="0" applyBorder="0" applyAlignment="0" applyProtection="0"/>
    <xf numFmtId="171" fontId="12" fillId="0" borderId="0" applyFill="0" applyBorder="0" applyAlignment="0" applyProtection="0"/>
    <xf numFmtId="0" fontId="28" fillId="0" borderId="0" applyNumberFormat="0" applyAlignment="0" applyProtection="0"/>
    <xf numFmtId="0" fontId="27" fillId="0" borderId="19" applyFill="0" applyProtection="0">
      <alignment horizontal="left" wrapText="1"/>
    </xf>
    <xf numFmtId="0" fontId="27" fillId="0" borderId="0" applyFill="0" applyProtection="0">
      <alignment wrapText="1"/>
    </xf>
    <xf numFmtId="0" fontId="27" fillId="0" borderId="23" applyFill="0" applyProtection="0">
      <alignment wrapText="1"/>
    </xf>
    <xf numFmtId="170" fontId="29" fillId="0" borderId="22" applyNumberFormat="0" applyFill="0" applyAlignment="0" applyProtection="0"/>
    <xf numFmtId="0" fontId="30" fillId="0" borderId="0" applyAlignment="0" applyProtection="0"/>
    <xf numFmtId="0" fontId="29" fillId="0" borderId="21" applyNumberFormat="0" applyFill="0" applyAlignment="0" applyProtection="0"/>
    <xf numFmtId="49" fontId="13" fillId="0" borderId="0" applyAlignment="0" applyProtection="0"/>
    <xf numFmtId="0" fontId="26"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2" fillId="0" borderId="0"/>
    <xf numFmtId="170" fontId="12" fillId="0" borderId="0"/>
    <xf numFmtId="9" fontId="12" fillId="0" borderId="0" applyFont="0" applyFill="0" applyBorder="0" applyAlignment="0" applyProtection="0"/>
    <xf numFmtId="0" fontId="32" fillId="0" borderId="0"/>
    <xf numFmtId="0" fontId="3" fillId="0" borderId="0"/>
    <xf numFmtId="0" fontId="33" fillId="0" borderId="0" applyNumberFormat="0" applyFill="0" applyBorder="0" applyProtection="0">
      <alignment vertical="top" wrapText="1"/>
    </xf>
    <xf numFmtId="0" fontId="3" fillId="0" borderId="0"/>
    <xf numFmtId="9" fontId="3" fillId="0" borderId="0" applyFont="0" applyFill="0" applyBorder="0" applyAlignment="0" applyProtection="0"/>
    <xf numFmtId="0" fontId="60" fillId="0" borderId="0"/>
    <xf numFmtId="0" fontId="3" fillId="0" borderId="0"/>
    <xf numFmtId="164" fontId="3" fillId="0" borderId="0" applyFont="0" applyFill="0" applyBorder="0" applyAlignment="0" applyProtection="0"/>
    <xf numFmtId="0" fontId="62" fillId="0" borderId="0"/>
    <xf numFmtId="0" fontId="62"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9" fontId="3" fillId="0" borderId="0" applyFont="0" applyFill="0" applyBorder="0" applyAlignment="0" applyProtection="0"/>
    <xf numFmtId="0" fontId="62" fillId="0" borderId="0"/>
    <xf numFmtId="0" fontId="60" fillId="0" borderId="0"/>
  </cellStyleXfs>
  <cellXfs count="891">
    <xf numFmtId="0" fontId="0" fillId="0" borderId="0" xfId="0"/>
    <xf numFmtId="0" fontId="2" fillId="0" borderId="0" xfId="0" applyFont="1"/>
    <xf numFmtId="0" fontId="0" fillId="0" borderId="0" xfId="0" applyBorder="1"/>
    <xf numFmtId="0" fontId="0" fillId="0" borderId="0" xfId="0"/>
    <xf numFmtId="0" fontId="2" fillId="0" borderId="0" xfId="0" applyFont="1" applyFill="1" applyBorder="1" applyAlignment="1">
      <alignment horizontal="center" wrapText="1"/>
    </xf>
    <xf numFmtId="0" fontId="9"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0" fontId="9" fillId="0" borderId="25"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2" fillId="0" borderId="0" xfId="0" applyFont="1" applyFill="1" applyBorder="1"/>
    <xf numFmtId="165" fontId="3" fillId="0" borderId="0" xfId="1" applyNumberFormat="1" applyFont="1" applyBorder="1" applyAlignment="1">
      <alignment horizontal="center" vertical="center"/>
    </xf>
    <xf numFmtId="1" fontId="2" fillId="0" borderId="0" xfId="0" applyNumberFormat="1" applyFont="1" applyBorder="1" applyAlignment="1">
      <alignment horizontal="center" vertical="center"/>
    </xf>
    <xf numFmtId="3" fontId="11" fillId="0" borderId="24" xfId="0" applyNumberFormat="1" applyFont="1" applyFill="1" applyBorder="1" applyAlignment="1">
      <alignment horizontal="center" vertical="center" wrapText="1"/>
    </xf>
    <xf numFmtId="3" fontId="2" fillId="0" borderId="24" xfId="0" applyNumberFormat="1" applyFont="1" applyFill="1" applyBorder="1" applyAlignment="1">
      <alignment horizontal="center" vertical="center" wrapText="1"/>
    </xf>
    <xf numFmtId="165" fontId="6"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3" fontId="9" fillId="0" borderId="24" xfId="0" applyNumberFormat="1" applyFont="1" applyFill="1" applyBorder="1" applyAlignment="1">
      <alignment horizontal="center" vertical="center" wrapText="1"/>
    </xf>
    <xf numFmtId="0" fontId="3" fillId="0" borderId="25" xfId="0" applyFont="1" applyBorder="1" applyAlignment="1" applyProtection="1">
      <alignment horizontal="center" vertical="center"/>
      <protection locked="0"/>
    </xf>
    <xf numFmtId="2" fontId="2" fillId="0" borderId="0" xfId="0" applyNumberFormat="1" applyFont="1" applyFill="1" applyBorder="1" applyAlignment="1">
      <alignment horizontal="center"/>
    </xf>
    <xf numFmtId="2" fontId="6" fillId="0" borderId="0" xfId="44" applyNumberFormat="1" applyFont="1" applyBorder="1" applyAlignment="1">
      <alignment horizontal="center" vertical="center"/>
    </xf>
    <xf numFmtId="0" fontId="3" fillId="0" borderId="0" xfId="44" applyBorder="1" applyAlignment="1">
      <alignment horizontal="center" vertical="center"/>
    </xf>
    <xf numFmtId="2" fontId="3" fillId="0" borderId="0" xfId="44" applyNumberFormat="1" applyBorder="1" applyAlignment="1">
      <alignment horizontal="center" vertical="center"/>
    </xf>
    <xf numFmtId="0" fontId="2" fillId="0" borderId="0" xfId="0" applyFont="1" applyFill="1" applyBorder="1" applyAlignment="1">
      <alignment horizontal="center"/>
    </xf>
    <xf numFmtId="1" fontId="2" fillId="0" borderId="8" xfId="0" applyNumberFormat="1" applyFont="1" applyBorder="1" applyAlignment="1">
      <alignment horizontal="center"/>
    </xf>
    <xf numFmtId="0" fontId="3" fillId="0" borderId="0" xfId="0" applyFont="1" applyFill="1" applyBorder="1" applyAlignment="1">
      <alignment horizontal="center" vertical="center"/>
    </xf>
    <xf numFmtId="3" fontId="9" fillId="0" borderId="9" xfId="0" applyNumberFormat="1" applyFont="1" applyFill="1" applyBorder="1" applyAlignment="1">
      <alignment horizontal="center" vertical="center" wrapText="1"/>
    </xf>
    <xf numFmtId="2" fontId="10" fillId="0" borderId="0" xfId="4" applyNumberFormat="1" applyFont="1" applyFill="1" applyBorder="1" applyAlignment="1">
      <alignment horizontal="center" vertical="center"/>
    </xf>
    <xf numFmtId="2" fontId="10" fillId="0" borderId="0" xfId="4" applyNumberFormat="1" applyFont="1" applyFill="1" applyBorder="1" applyAlignment="1">
      <alignment horizontal="center" vertical="center" wrapText="1"/>
    </xf>
    <xf numFmtId="2" fontId="9" fillId="0" borderId="0" xfId="0" applyNumberFormat="1" applyFont="1" applyFill="1" applyBorder="1" applyAlignment="1">
      <alignment horizontal="center" vertical="center"/>
    </xf>
    <xf numFmtId="0" fontId="2" fillId="0" borderId="7" xfId="0" applyFont="1" applyFill="1" applyBorder="1" applyAlignment="1">
      <alignment horizontal="center" vertical="center"/>
    </xf>
    <xf numFmtId="0" fontId="9" fillId="0" borderId="8" xfId="0" applyFont="1" applyFill="1" applyBorder="1" applyAlignment="1">
      <alignment horizontal="left" vertical="center"/>
    </xf>
    <xf numFmtId="1" fontId="9" fillId="0" borderId="8" xfId="0" applyNumberFormat="1" applyFont="1" applyFill="1" applyBorder="1" applyAlignment="1">
      <alignment horizontal="center" vertical="center"/>
    </xf>
    <xf numFmtId="2" fontId="8" fillId="0" borderId="8" xfId="0" applyNumberFormat="1" applyFont="1" applyFill="1" applyBorder="1" applyAlignment="1">
      <alignment horizontal="center" vertical="center"/>
    </xf>
    <xf numFmtId="10" fontId="8" fillId="0" borderId="8" xfId="3" applyNumberFormat="1" applyFont="1" applyFill="1" applyBorder="1" applyAlignment="1">
      <alignment horizontal="center" vertical="center"/>
    </xf>
    <xf numFmtId="2" fontId="8" fillId="0" borderId="8" xfId="3" applyNumberFormat="1" applyFont="1" applyFill="1" applyBorder="1" applyAlignment="1">
      <alignment horizontal="center" vertical="center"/>
    </xf>
    <xf numFmtId="2" fontId="2" fillId="0" borderId="8" xfId="0" applyNumberFormat="1" applyFont="1" applyFill="1" applyBorder="1" applyAlignment="1">
      <alignment horizontal="center"/>
    </xf>
    <xf numFmtId="0" fontId="9" fillId="0" borderId="10" xfId="0" applyFont="1" applyFill="1" applyBorder="1" applyAlignment="1">
      <alignment horizontal="center" vertical="center"/>
    </xf>
    <xf numFmtId="2" fontId="2" fillId="0" borderId="1" xfId="0" applyNumberFormat="1" applyFont="1" applyFill="1" applyBorder="1" applyAlignment="1">
      <alignment horizontal="center"/>
    </xf>
    <xf numFmtId="2" fontId="7" fillId="0" borderId="1" xfId="0" applyNumberFormat="1" applyFont="1" applyFill="1" applyBorder="1" applyAlignment="1">
      <alignment horizontal="center" vertical="center"/>
    </xf>
    <xf numFmtId="2" fontId="9" fillId="0" borderId="1" xfId="0" applyNumberFormat="1" applyFont="1" applyFill="1" applyBorder="1" applyAlignment="1">
      <alignment horizont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3" fontId="7" fillId="0" borderId="8" xfId="0" applyNumberFormat="1" applyFont="1" applyFill="1" applyBorder="1" applyAlignment="1">
      <alignment horizontal="center" vertical="center"/>
    </xf>
    <xf numFmtId="2" fontId="7" fillId="0" borderId="8" xfId="0" applyNumberFormat="1" applyFont="1" applyFill="1" applyBorder="1" applyAlignment="1">
      <alignment horizontal="center" vertical="center"/>
    </xf>
    <xf numFmtId="0" fontId="2" fillId="0" borderId="25" xfId="0" applyFont="1" applyFill="1" applyBorder="1" applyAlignment="1">
      <alignment horizontal="center" vertical="center"/>
    </xf>
    <xf numFmtId="168" fontId="8" fillId="0" borderId="0"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0" fontId="2" fillId="0" borderId="0" xfId="0" quotePrefix="1" applyFont="1" applyFill="1" applyBorder="1" applyAlignment="1">
      <alignment horizontal="center" vertical="center"/>
    </xf>
    <xf numFmtId="3" fontId="8" fillId="0" borderId="0" xfId="0" applyNumberFormat="1" applyFont="1" applyFill="1" applyBorder="1" applyAlignment="1">
      <alignment horizontal="center" vertical="center"/>
    </xf>
    <xf numFmtId="2" fontId="8" fillId="0" borderId="0" xfId="6"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3" xfId="0" applyFont="1" applyFill="1" applyBorder="1" applyAlignment="1">
      <alignment horizontal="center" vertical="center"/>
    </xf>
    <xf numFmtId="3" fontId="7" fillId="0" borderId="13" xfId="0" applyNumberFormat="1" applyFont="1" applyFill="1" applyBorder="1" applyAlignment="1">
      <alignment horizontal="center" vertical="center"/>
    </xf>
    <xf numFmtId="2" fontId="7" fillId="0" borderId="13" xfId="0" applyNumberFormat="1" applyFont="1" applyFill="1" applyBorder="1" applyAlignment="1">
      <alignment horizontal="center" vertical="center"/>
    </xf>
    <xf numFmtId="3" fontId="8" fillId="0" borderId="7" xfId="0" applyNumberFormat="1" applyFont="1" applyFill="1" applyBorder="1" applyAlignment="1">
      <alignment horizontal="center" vertical="center"/>
    </xf>
    <xf numFmtId="169" fontId="8" fillId="0" borderId="25" xfId="3" applyNumberFormat="1" applyFont="1" applyFill="1" applyBorder="1" applyAlignment="1">
      <alignment horizontal="center" vertical="center"/>
    </xf>
    <xf numFmtId="0" fontId="9" fillId="0" borderId="1" xfId="0" applyFont="1" applyFill="1" applyBorder="1" applyAlignment="1">
      <alignment horizontal="center" vertical="center"/>
    </xf>
    <xf numFmtId="3" fontId="7" fillId="0" borderId="10" xfId="0" applyNumberFormat="1" applyFont="1" applyFill="1" applyBorder="1" applyAlignment="1">
      <alignment horizontal="center" vertical="center"/>
    </xf>
    <xf numFmtId="166" fontId="8" fillId="0" borderId="0" xfId="6" applyNumberFormat="1" applyFont="1" applyFill="1" applyBorder="1" applyAlignment="1">
      <alignment horizontal="center" vertical="center"/>
    </xf>
    <xf numFmtId="0" fontId="2" fillId="0" borderId="10" xfId="0" applyFont="1" applyFill="1" applyBorder="1" applyAlignment="1">
      <alignment horizontal="center" vertical="center"/>
    </xf>
    <xf numFmtId="166" fontId="8" fillId="0" borderId="1" xfId="6" applyNumberFormat="1" applyFont="1" applyFill="1" applyBorder="1" applyAlignment="1">
      <alignment horizontal="center" vertical="center"/>
    </xf>
    <xf numFmtId="2" fontId="8" fillId="0" borderId="1" xfId="6" applyNumberFormat="1" applyFont="1" applyFill="1" applyBorder="1" applyAlignment="1">
      <alignment horizontal="center" vertical="center"/>
    </xf>
    <xf numFmtId="0" fontId="2" fillId="0" borderId="25" xfId="0" applyFont="1" applyFill="1" applyBorder="1" applyAlignment="1">
      <alignment horizontal="center"/>
    </xf>
    <xf numFmtId="2" fontId="2" fillId="0" borderId="0" xfId="6" applyNumberFormat="1" applyFont="1" applyFill="1" applyBorder="1" applyAlignment="1">
      <alignment horizontal="center"/>
    </xf>
    <xf numFmtId="0" fontId="2" fillId="0" borderId="1" xfId="0" applyFont="1" applyFill="1" applyBorder="1"/>
    <xf numFmtId="0" fontId="2" fillId="0" borderId="1" xfId="0" applyFont="1" applyBorder="1" applyAlignment="1">
      <alignment horizontal="center"/>
    </xf>
    <xf numFmtId="0" fontId="2" fillId="0" borderId="0" xfId="0" applyFont="1" applyFill="1" applyBorder="1" applyAlignment="1">
      <alignment horizontal="center" vertical="top" wrapText="1"/>
    </xf>
    <xf numFmtId="2" fontId="0" fillId="0" borderId="0" xfId="0" applyNumberFormat="1"/>
    <xf numFmtId="164" fontId="0" fillId="0" borderId="0" xfId="1" applyFont="1" applyBorder="1"/>
    <xf numFmtId="10" fontId="8" fillId="0" borderId="0" xfId="3" applyNumberFormat="1" applyFont="1" applyFill="1" applyBorder="1" applyAlignment="1">
      <alignment horizontal="center" vertical="center"/>
    </xf>
    <xf numFmtId="37" fontId="8" fillId="0" borderId="0" xfId="1" applyNumberFormat="1" applyFont="1" applyFill="1" applyBorder="1" applyAlignment="1">
      <alignment horizontal="center" vertical="center"/>
    </xf>
    <xf numFmtId="0" fontId="2" fillId="0" borderId="25" xfId="0" applyFont="1" applyFill="1" applyBorder="1" applyAlignment="1">
      <alignment horizontal="center" wrapText="1"/>
    </xf>
    <xf numFmtId="2" fontId="2" fillId="0" borderId="24" xfId="0" applyNumberFormat="1" applyFont="1" applyFill="1" applyBorder="1" applyAlignment="1">
      <alignment horizontal="center"/>
    </xf>
    <xf numFmtId="0" fontId="2" fillId="0" borderId="7" xfId="0" applyFont="1" applyFill="1" applyBorder="1" applyAlignment="1">
      <alignment horizontal="center"/>
    </xf>
    <xf numFmtId="0" fontId="40" fillId="0" borderId="1" xfId="0" applyFont="1" applyBorder="1" applyAlignment="1">
      <alignment horizontal="center"/>
    </xf>
    <xf numFmtId="2" fontId="39" fillId="0" borderId="0" xfId="6" applyNumberFormat="1" applyFont="1" applyFill="1" applyBorder="1" applyAlignment="1">
      <alignment horizontal="center"/>
    </xf>
    <xf numFmtId="2" fontId="2" fillId="0" borderId="8" xfId="6" applyNumberFormat="1" applyFont="1" applyFill="1" applyBorder="1" applyAlignment="1">
      <alignment horizontal="center"/>
    </xf>
    <xf numFmtId="0" fontId="2" fillId="0" borderId="25" xfId="0" applyFont="1" applyFill="1" applyBorder="1"/>
    <xf numFmtId="0" fontId="40" fillId="0" borderId="0" xfId="0" applyFont="1" applyBorder="1" applyAlignment="1">
      <alignment horizontal="center"/>
    </xf>
    <xf numFmtId="2" fontId="39" fillId="0" borderId="1" xfId="6" applyNumberFormat="1" applyFont="1" applyFill="1" applyBorder="1" applyAlignment="1">
      <alignment horizontal="center"/>
    </xf>
    <xf numFmtId="0" fontId="2" fillId="0" borderId="1" xfId="0" applyFont="1" applyBorder="1"/>
    <xf numFmtId="0" fontId="2" fillId="0" borderId="0" xfId="0" applyFont="1" applyAlignment="1">
      <alignment horizontal="left"/>
    </xf>
    <xf numFmtId="165" fontId="2" fillId="0" borderId="0" xfId="1" applyNumberFormat="1" applyFont="1" applyAlignment="1"/>
    <xf numFmtId="0" fontId="2" fillId="0" borderId="0" xfId="0" applyFont="1" applyAlignment="1">
      <alignment horizontal="center"/>
    </xf>
    <xf numFmtId="0" fontId="2" fillId="0" borderId="0" xfId="0" applyFont="1" applyBorder="1" applyAlignment="1">
      <alignment horizontal="center"/>
    </xf>
    <xf numFmtId="0" fontId="2" fillId="0" borderId="24" xfId="0" applyFont="1" applyBorder="1" applyAlignment="1">
      <alignment horizontal="center"/>
    </xf>
    <xf numFmtId="0" fontId="6"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Border="1" applyAlignment="1" applyProtection="1">
      <alignment horizontal="center" vertical="center"/>
      <protection locked="0"/>
    </xf>
    <xf numFmtId="1" fontId="3" fillId="0" borderId="24" xfId="0" applyNumberFormat="1" applyFont="1" applyBorder="1" applyAlignment="1">
      <alignment horizontal="center" vertical="center"/>
    </xf>
    <xf numFmtId="0" fontId="6" fillId="0" borderId="25" xfId="42" applyFont="1" applyBorder="1" applyAlignment="1">
      <alignment horizontal="center" vertical="center"/>
    </xf>
    <xf numFmtId="9" fontId="3" fillId="0" borderId="0" xfId="42" applyNumberFormat="1" applyFont="1" applyBorder="1" applyAlignment="1">
      <alignment horizontal="center" vertical="center"/>
    </xf>
    <xf numFmtId="0" fontId="6" fillId="0" borderId="0" xfId="42" applyFont="1" applyBorder="1" applyAlignment="1">
      <alignment horizontal="center" vertical="center"/>
    </xf>
    <xf numFmtId="0" fontId="6" fillId="0" borderId="24" xfId="42" applyFont="1" applyBorder="1" applyAlignment="1">
      <alignment horizontal="center" vertical="center"/>
    </xf>
    <xf numFmtId="0" fontId="6" fillId="0" borderId="10" xfId="42" applyFont="1" applyBorder="1" applyAlignment="1">
      <alignment horizontal="center" vertical="center"/>
    </xf>
    <xf numFmtId="0" fontId="6" fillId="0" borderId="25" xfId="44" applyFont="1" applyBorder="1" applyAlignment="1">
      <alignment vertical="center"/>
    </xf>
    <xf numFmtId="2" fontId="6" fillId="0" borderId="24" xfId="44" applyNumberFormat="1" applyFont="1" applyBorder="1" applyAlignment="1">
      <alignment horizontal="center" vertical="center"/>
    </xf>
    <xf numFmtId="0" fontId="3" fillId="0" borderId="24" xfId="44" applyBorder="1" applyAlignment="1">
      <alignment horizontal="center" vertical="center"/>
    </xf>
    <xf numFmtId="0" fontId="3" fillId="0" borderId="25" xfId="44" applyBorder="1" applyAlignment="1">
      <alignment vertical="center"/>
    </xf>
    <xf numFmtId="2" fontId="3" fillId="0" borderId="24" xfId="44" applyNumberFormat="1" applyBorder="1" applyAlignment="1">
      <alignment horizontal="center" vertical="center"/>
    </xf>
    <xf numFmtId="0" fontId="6" fillId="0" borderId="25" xfId="44" applyFont="1" applyBorder="1" applyAlignment="1">
      <alignment horizontal="center" vertical="center"/>
    </xf>
    <xf numFmtId="0" fontId="6" fillId="0" borderId="10" xfId="44" applyFont="1" applyBorder="1" applyAlignment="1">
      <alignment vertical="center"/>
    </xf>
    <xf numFmtId="10" fontId="6" fillId="0" borderId="11" xfId="52" applyNumberFormat="1" applyFont="1" applyBorder="1" applyAlignment="1">
      <alignment horizontal="center" vertical="center"/>
    </xf>
    <xf numFmtId="2" fontId="3" fillId="0" borderId="0" xfId="44" applyNumberFormat="1" applyBorder="1"/>
    <xf numFmtId="0" fontId="35" fillId="0" borderId="0" xfId="44" applyFont="1" applyBorder="1" applyAlignment="1">
      <alignment vertical="center"/>
    </xf>
    <xf numFmtId="0" fontId="35" fillId="0" borderId="24" xfId="44" applyFont="1" applyBorder="1" applyAlignment="1">
      <alignment vertical="center"/>
    </xf>
    <xf numFmtId="10" fontId="6" fillId="0" borderId="1" xfId="52" applyNumberFormat="1" applyFont="1" applyBorder="1" applyAlignment="1">
      <alignment horizontal="center" vertical="center"/>
    </xf>
    <xf numFmtId="0" fontId="3" fillId="0" borderId="0" xfId="44" applyBorder="1" applyAlignment="1">
      <alignment horizontal="center"/>
    </xf>
    <xf numFmtId="0" fontId="3" fillId="0" borderId="24" xfId="44" applyBorder="1" applyAlignment="1">
      <alignment horizontal="center"/>
    </xf>
    <xf numFmtId="0" fontId="3" fillId="0" borderId="5" xfId="44" applyBorder="1" applyAlignment="1">
      <alignment horizontal="center"/>
    </xf>
    <xf numFmtId="0" fontId="3" fillId="0" borderId="12" xfId="44" applyBorder="1" applyAlignment="1">
      <alignment horizontal="center"/>
    </xf>
    <xf numFmtId="2" fontId="3" fillId="0" borderId="0" xfId="42" applyNumberFormat="1" applyFont="1" applyBorder="1" applyAlignment="1">
      <alignment horizontal="center" vertical="center"/>
    </xf>
    <xf numFmtId="2" fontId="3" fillId="0" borderId="24" xfId="42" applyNumberFormat="1" applyFont="1" applyBorder="1" applyAlignment="1">
      <alignment horizontal="center" vertical="center"/>
    </xf>
    <xf numFmtId="2" fontId="3" fillId="0" borderId="1" xfId="42" applyNumberFormat="1" applyFont="1" applyBorder="1" applyAlignment="1">
      <alignment horizontal="center" vertical="center"/>
    </xf>
    <xf numFmtId="2" fontId="3" fillId="0" borderId="11" xfId="42" applyNumberFormat="1" applyFont="1" applyBorder="1" applyAlignment="1">
      <alignment horizontal="center" vertical="center"/>
    </xf>
    <xf numFmtId="0" fontId="2" fillId="0" borderId="10" xfId="0" applyFont="1" applyBorder="1" applyAlignment="1">
      <alignment horizontal="center" vertical="center"/>
    </xf>
    <xf numFmtId="0" fontId="9" fillId="0" borderId="1" xfId="0" applyFont="1" applyBorder="1" applyAlignment="1">
      <alignment horizontal="center"/>
    </xf>
    <xf numFmtId="9" fontId="0" fillId="0" borderId="0" xfId="3" applyFont="1"/>
    <xf numFmtId="0" fontId="6" fillId="0" borderId="5" xfId="0" applyFont="1" applyBorder="1" applyAlignment="1">
      <alignment horizontal="center" vertical="center"/>
    </xf>
    <xf numFmtId="0" fontId="9" fillId="0" borderId="1" xfId="0" applyFont="1" applyFill="1" applyBorder="1" applyAlignment="1"/>
    <xf numFmtId="0" fontId="2" fillId="0" borderId="25" xfId="0" applyFont="1" applyBorder="1" applyAlignment="1">
      <alignment horizontal="center" vertical="center"/>
    </xf>
    <xf numFmtId="2" fontId="3" fillId="0" borderId="0" xfId="42" applyNumberFormat="1" applyBorder="1" applyAlignment="1">
      <alignment vertical="center"/>
    </xf>
    <xf numFmtId="2" fontId="6" fillId="0" borderId="0" xfId="42" applyNumberFormat="1" applyFont="1" applyBorder="1" applyAlignment="1">
      <alignment vertical="center"/>
    </xf>
    <xf numFmtId="0" fontId="6" fillId="0" borderId="25" xfId="42" applyFont="1" applyBorder="1" applyAlignment="1">
      <alignment vertical="center"/>
    </xf>
    <xf numFmtId="0" fontId="3" fillId="0" borderId="25" xfId="42" applyBorder="1" applyAlignment="1">
      <alignment vertical="center"/>
    </xf>
    <xf numFmtId="2" fontId="3" fillId="0" borderId="24" xfId="42" applyNumberFormat="1" applyBorder="1" applyAlignment="1">
      <alignment vertical="center"/>
    </xf>
    <xf numFmtId="2" fontId="6" fillId="0" borderId="24" xfId="42" applyNumberFormat="1" applyFont="1" applyBorder="1" applyAlignment="1">
      <alignment vertical="center"/>
    </xf>
    <xf numFmtId="0" fontId="6" fillId="0" borderId="10" xfId="42" applyFont="1" applyBorder="1" applyAlignment="1">
      <alignment vertical="center"/>
    </xf>
    <xf numFmtId="2" fontId="6" fillId="0" borderId="1" xfId="42" applyNumberFormat="1" applyFont="1" applyBorder="1" applyAlignment="1">
      <alignment vertical="center"/>
    </xf>
    <xf numFmtId="0" fontId="3" fillId="0" borderId="1" xfId="42" applyBorder="1" applyAlignment="1">
      <alignment vertical="center"/>
    </xf>
    <xf numFmtId="0" fontId="3" fillId="0" borderId="11" xfId="42" applyBorder="1" applyAlignment="1">
      <alignment vertical="center"/>
    </xf>
    <xf numFmtId="167" fontId="0" fillId="0" borderId="0" xfId="0" applyNumberFormat="1"/>
    <xf numFmtId="1" fontId="0" fillId="0" borderId="0" xfId="0" applyNumberFormat="1"/>
    <xf numFmtId="0" fontId="10" fillId="15" borderId="5" xfId="0" applyFont="1" applyFill="1" applyBorder="1" applyAlignment="1">
      <alignment horizontal="center" vertical="center"/>
    </xf>
    <xf numFmtId="0" fontId="42" fillId="15" borderId="25" xfId="0" applyFont="1" applyFill="1" applyBorder="1" applyAlignment="1">
      <alignment horizontal="center" vertical="center" wrapText="1"/>
    </xf>
    <xf numFmtId="0" fontId="10" fillId="15" borderId="0" xfId="0" applyFont="1" applyFill="1" applyBorder="1" applyAlignment="1">
      <alignment horizontal="center" vertical="center" wrapText="1"/>
    </xf>
    <xf numFmtId="0" fontId="42" fillId="15" borderId="0" xfId="0" applyFont="1" applyFill="1" applyBorder="1" applyAlignment="1">
      <alignment horizontal="center" vertical="center" wrapText="1"/>
    </xf>
    <xf numFmtId="0" fontId="10" fillId="15" borderId="24" xfId="0" applyFont="1" applyFill="1" applyBorder="1" applyAlignment="1">
      <alignment horizontal="center" vertical="center" wrapText="1"/>
    </xf>
    <xf numFmtId="0" fontId="42" fillId="15" borderId="10" xfId="0" applyFont="1" applyFill="1" applyBorder="1" applyAlignment="1">
      <alignment horizontal="center" vertical="center" wrapText="1"/>
    </xf>
    <xf numFmtId="0" fontId="10" fillId="15" borderId="1" xfId="0" applyFont="1" applyFill="1" applyBorder="1" applyAlignment="1">
      <alignment horizontal="center" vertical="center" wrapText="1"/>
    </xf>
    <xf numFmtId="2" fontId="39" fillId="0" borderId="0" xfId="3" applyNumberFormat="1" applyFont="1" applyAlignment="1">
      <alignment horizontal="center"/>
    </xf>
    <xf numFmtId="4" fontId="2" fillId="0" borderId="0" xfId="0" applyNumberFormat="1" applyFont="1"/>
    <xf numFmtId="0" fontId="2" fillId="0" borderId="13" xfId="0" applyFont="1" applyBorder="1" applyAlignment="1">
      <alignment vertical="center"/>
    </xf>
    <xf numFmtId="0" fontId="10" fillId="15" borderId="25" xfId="0" applyFont="1" applyFill="1" applyBorder="1" applyAlignment="1">
      <alignment horizontal="center" wrapText="1"/>
    </xf>
    <xf numFmtId="0" fontId="10" fillId="15" borderId="0" xfId="0" applyFont="1" applyFill="1" applyBorder="1" applyAlignment="1">
      <alignment horizontal="center" wrapText="1"/>
    </xf>
    <xf numFmtId="0" fontId="10" fillId="15" borderId="24" xfId="0" applyFont="1" applyFill="1" applyBorder="1" applyAlignment="1">
      <alignment horizontal="center" wrapText="1"/>
    </xf>
    <xf numFmtId="0" fontId="10" fillId="15" borderId="8" xfId="0" applyFont="1" applyFill="1" applyBorder="1" applyAlignment="1">
      <alignment horizontal="center" vertical="center"/>
    </xf>
    <xf numFmtId="2" fontId="10" fillId="15" borderId="9" xfId="0" applyNumberFormat="1" applyFont="1" applyFill="1" applyBorder="1" applyAlignment="1">
      <alignment horizontal="center" vertical="center"/>
    </xf>
    <xf numFmtId="2" fontId="42" fillId="15" borderId="11" xfId="0" applyNumberFormat="1" applyFont="1" applyFill="1" applyBorder="1" applyAlignment="1">
      <alignment horizontal="center"/>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41" fillId="15" borderId="2" xfId="0" applyFont="1" applyFill="1" applyBorder="1" applyAlignment="1">
      <alignment horizontal="center"/>
    </xf>
    <xf numFmtId="0" fontId="0" fillId="0" borderId="0" xfId="0" applyFill="1" applyBorder="1"/>
    <xf numFmtId="0" fontId="0" fillId="0" borderId="12" xfId="0" applyFill="1" applyBorder="1"/>
    <xf numFmtId="0" fontId="44" fillId="0" borderId="0" xfId="0" applyFont="1" applyAlignment="1">
      <alignment horizontal="left"/>
    </xf>
    <xf numFmtId="2" fontId="2" fillId="0" borderId="0" xfId="0" applyNumberFormat="1" applyFont="1" applyAlignment="1">
      <alignment horizontal="left"/>
    </xf>
    <xf numFmtId="0" fontId="0" fillId="13" borderId="0" xfId="0" applyFill="1"/>
    <xf numFmtId="1" fontId="0" fillId="13" borderId="0" xfId="0" applyNumberFormat="1" applyFill="1"/>
    <xf numFmtId="0" fontId="2" fillId="13" borderId="0" xfId="0" applyFont="1" applyFill="1" applyBorder="1" applyAlignment="1">
      <alignment horizontal="center"/>
    </xf>
    <xf numFmtId="0" fontId="2" fillId="13" borderId="0" xfId="0" applyFont="1" applyFill="1" applyBorder="1"/>
    <xf numFmtId="2" fontId="2" fillId="13" borderId="0" xfId="0" applyNumberFormat="1" applyFont="1" applyFill="1" applyBorder="1" applyAlignment="1">
      <alignment horizontal="center"/>
    </xf>
    <xf numFmtId="2" fontId="7" fillId="13" borderId="0" xfId="0" applyNumberFormat="1" applyFont="1" applyFill="1" applyBorder="1" applyAlignment="1">
      <alignment horizontal="center" vertical="center"/>
    </xf>
    <xf numFmtId="0" fontId="9" fillId="13" borderId="0" xfId="0" applyFont="1" applyFill="1" applyBorder="1"/>
    <xf numFmtId="0" fontId="42" fillId="15" borderId="7" xfId="0" applyFont="1" applyFill="1" applyBorder="1" applyAlignment="1">
      <alignment horizontal="center"/>
    </xf>
    <xf numFmtId="0" fontId="42" fillId="15" borderId="8" xfId="0" applyFont="1" applyFill="1" applyBorder="1" applyAlignment="1">
      <alignment horizontal="center"/>
    </xf>
    <xf numFmtId="0" fontId="42" fillId="15" borderId="9" xfId="0" applyFont="1" applyFill="1" applyBorder="1" applyAlignment="1">
      <alignment horizontal="center"/>
    </xf>
    <xf numFmtId="0" fontId="42" fillId="15" borderId="2" xfId="0" applyFont="1" applyFill="1" applyBorder="1" applyAlignment="1">
      <alignment horizontal="center"/>
    </xf>
    <xf numFmtId="0" fontId="42" fillId="15" borderId="13" xfId="0" applyFont="1" applyFill="1" applyBorder="1" applyAlignment="1">
      <alignment horizontal="center"/>
    </xf>
    <xf numFmtId="167" fontId="42" fillId="15" borderId="6" xfId="0" applyNumberFormat="1" applyFont="1" applyFill="1" applyBorder="1" applyAlignment="1">
      <alignment horizontal="center"/>
    </xf>
    <xf numFmtId="0" fontId="10" fillId="15" borderId="8" xfId="4" applyFont="1" applyFill="1" applyBorder="1" applyAlignment="1">
      <alignment horizontal="center" vertical="center"/>
    </xf>
    <xf numFmtId="0" fontId="10" fillId="15" borderId="8" xfId="4" applyFont="1" applyFill="1" applyBorder="1" applyAlignment="1">
      <alignment horizontal="center" vertical="center" wrapText="1"/>
    </xf>
    <xf numFmtId="0" fontId="42" fillId="15" borderId="0" xfId="0" applyFont="1" applyFill="1" applyBorder="1" applyAlignment="1">
      <alignment horizontal="center" vertical="center"/>
    </xf>
    <xf numFmtId="0" fontId="10" fillId="15" borderId="2" xfId="0" applyFont="1" applyFill="1" applyBorder="1" applyAlignment="1">
      <alignment vertical="center"/>
    </xf>
    <xf numFmtId="0" fontId="10" fillId="15" borderId="3" xfId="0" applyFont="1" applyFill="1" applyBorder="1" applyAlignment="1">
      <alignment horizontal="center"/>
    </xf>
    <xf numFmtId="0" fontId="10" fillId="15" borderId="13" xfId="0" applyFont="1" applyFill="1" applyBorder="1" applyAlignment="1">
      <alignment horizontal="center" vertical="center"/>
    </xf>
    <xf numFmtId="1" fontId="10" fillId="15" borderId="6" xfId="0" applyNumberFormat="1" applyFont="1" applyFill="1" applyBorder="1" applyAlignment="1">
      <alignment horizontal="center" vertical="center"/>
    </xf>
    <xf numFmtId="1" fontId="10" fillId="15" borderId="13" xfId="0" applyNumberFormat="1" applyFont="1" applyFill="1" applyBorder="1" applyAlignment="1">
      <alignment horizontal="center"/>
    </xf>
    <xf numFmtId="2" fontId="10" fillId="15" borderId="1" xfId="4" applyNumberFormat="1" applyFont="1" applyFill="1" applyBorder="1" applyAlignment="1">
      <alignment horizontal="center" vertical="center"/>
    </xf>
    <xf numFmtId="2" fontId="10" fillId="15" borderId="1" xfId="4" applyNumberFormat="1" applyFont="1" applyFill="1" applyBorder="1" applyAlignment="1">
      <alignment horizontal="center" vertical="center" wrapText="1"/>
    </xf>
    <xf numFmtId="0" fontId="10" fillId="15" borderId="8" xfId="4" applyFont="1" applyFill="1" applyBorder="1" applyAlignment="1">
      <alignment vertical="center"/>
    </xf>
    <xf numFmtId="0" fontId="10" fillId="15" borderId="25" xfId="4" applyFont="1" applyFill="1" applyBorder="1" applyAlignment="1">
      <alignment vertical="center"/>
    </xf>
    <xf numFmtId="0" fontId="10" fillId="15" borderId="0" xfId="4" applyNumberFormat="1" applyFont="1" applyFill="1" applyBorder="1" applyAlignment="1">
      <alignment horizontal="center" vertical="center"/>
    </xf>
    <xf numFmtId="0" fontId="10" fillId="15" borderId="10" xfId="4" applyFont="1" applyFill="1" applyBorder="1" applyAlignment="1">
      <alignment vertical="center"/>
    </xf>
    <xf numFmtId="9" fontId="10" fillId="15" borderId="1" xfId="3" applyFont="1" applyFill="1" applyBorder="1" applyAlignment="1">
      <alignment vertical="center"/>
    </xf>
    <xf numFmtId="2" fontId="10" fillId="15" borderId="1" xfId="0" applyNumberFormat="1" applyFont="1" applyFill="1" applyBorder="1" applyAlignment="1">
      <alignment horizontal="center" vertical="center"/>
    </xf>
    <xf numFmtId="0" fontId="10" fillId="15" borderId="7" xfId="5" applyFont="1" applyFill="1" applyBorder="1" applyAlignment="1">
      <alignment horizontal="center" vertical="center"/>
    </xf>
    <xf numFmtId="0" fontId="10" fillId="15" borderId="8" xfId="5" applyFont="1" applyFill="1" applyBorder="1" applyAlignment="1">
      <alignment horizontal="center" vertical="center"/>
    </xf>
    <xf numFmtId="2" fontId="10" fillId="15" borderId="8" xfId="6" applyNumberFormat="1" applyFont="1" applyFill="1" applyBorder="1" applyAlignment="1">
      <alignment horizontal="center" vertical="center"/>
    </xf>
    <xf numFmtId="2" fontId="42" fillId="15" borderId="9" xfId="0" applyNumberFormat="1" applyFont="1" applyFill="1" applyBorder="1" applyAlignment="1">
      <alignment horizontal="center" vertical="center"/>
    </xf>
    <xf numFmtId="0" fontId="10" fillId="15" borderId="25" xfId="0" applyFont="1" applyFill="1" applyBorder="1" applyAlignment="1">
      <alignment horizontal="center" vertical="center"/>
    </xf>
    <xf numFmtId="0" fontId="10" fillId="15" borderId="0" xfId="0" applyFont="1" applyFill="1" applyBorder="1" applyAlignment="1">
      <alignment horizontal="center" vertical="center"/>
    </xf>
    <xf numFmtId="10" fontId="10" fillId="15" borderId="0" xfId="3" applyNumberFormat="1" applyFont="1" applyFill="1" applyBorder="1" applyAlignment="1">
      <alignment horizontal="center" vertical="center"/>
    </xf>
    <xf numFmtId="2" fontId="42" fillId="15" borderId="24" xfId="0" applyNumberFormat="1" applyFont="1" applyFill="1" applyBorder="1" applyAlignment="1">
      <alignment horizontal="center" vertical="center"/>
    </xf>
    <xf numFmtId="2" fontId="10" fillId="15" borderId="1" xfId="6" applyNumberFormat="1" applyFont="1" applyFill="1" applyBorder="1" applyAlignment="1">
      <alignment horizontal="center"/>
    </xf>
    <xf numFmtId="2" fontId="42" fillId="15" borderId="11" xfId="0" applyNumberFormat="1" applyFont="1" applyFill="1" applyBorder="1" applyAlignment="1">
      <alignment horizontal="center" vertical="center"/>
    </xf>
    <xf numFmtId="0" fontId="10" fillId="15" borderId="3" xfId="0" applyFont="1" applyFill="1" applyBorder="1" applyAlignment="1">
      <alignment horizontal="center" vertical="center"/>
    </xf>
    <xf numFmtId="2" fontId="42" fillId="15" borderId="6" xfId="0" applyNumberFormat="1" applyFont="1" applyFill="1" applyBorder="1" applyAlignment="1">
      <alignment horizontal="center" vertical="center"/>
    </xf>
    <xf numFmtId="0" fontId="10" fillId="15" borderId="10" xfId="0" applyFont="1" applyFill="1" applyBorder="1" applyAlignment="1">
      <alignment horizontal="center" wrapText="1"/>
    </xf>
    <xf numFmtId="0" fontId="10" fillId="15" borderId="1" xfId="0" applyFont="1" applyFill="1" applyBorder="1" applyAlignment="1">
      <alignment horizontal="center" wrapText="1"/>
    </xf>
    <xf numFmtId="2" fontId="10" fillId="15" borderId="11" xfId="0" applyNumberFormat="1" applyFont="1" applyFill="1" applyBorder="1" applyAlignment="1">
      <alignment horizontal="center"/>
    </xf>
    <xf numFmtId="0" fontId="3" fillId="17" borderId="0" xfId="42" applyFill="1"/>
    <xf numFmtId="0" fontId="6" fillId="17" borderId="0" xfId="42" applyFont="1" applyFill="1" applyAlignment="1">
      <alignment horizontal="center"/>
    </xf>
    <xf numFmtId="0" fontId="6" fillId="17" borderId="0" xfId="42" applyFont="1" applyFill="1"/>
    <xf numFmtId="2" fontId="6" fillId="17" borderId="0" xfId="42" applyNumberFormat="1" applyFont="1" applyFill="1"/>
    <xf numFmtId="0" fontId="3" fillId="17" borderId="0" xfId="42" applyFill="1" applyAlignment="1">
      <alignment vertical="center"/>
    </xf>
    <xf numFmtId="2" fontId="3" fillId="17" borderId="0" xfId="42" applyNumberFormat="1" applyFill="1"/>
    <xf numFmtId="167" fontId="3" fillId="17" borderId="0" xfId="42" applyNumberFormat="1" applyFill="1"/>
    <xf numFmtId="0" fontId="3" fillId="17" borderId="0" xfId="42" applyFont="1" applyFill="1" applyAlignment="1">
      <alignment horizontal="center"/>
    </xf>
    <xf numFmtId="0" fontId="6" fillId="17" borderId="0" xfId="42" applyFont="1" applyFill="1" applyAlignment="1">
      <alignment horizontal="center" vertical="center"/>
    </xf>
    <xf numFmtId="0" fontId="3" fillId="17" borderId="0" xfId="42" applyFont="1" applyFill="1" applyAlignment="1">
      <alignment horizontal="center" vertical="center"/>
    </xf>
    <xf numFmtId="167" fontId="3" fillId="17" borderId="0" xfId="42" applyNumberFormat="1" applyFont="1" applyFill="1" applyAlignment="1">
      <alignment horizontal="center" vertical="center"/>
    </xf>
    <xf numFmtId="167" fontId="3" fillId="17" borderId="0" xfId="42" applyNumberFormat="1" applyFont="1" applyFill="1" applyAlignment="1">
      <alignment horizontal="center"/>
    </xf>
    <xf numFmtId="0" fontId="35" fillId="17" borderId="0" xfId="44" applyFont="1" applyFill="1"/>
    <xf numFmtId="0" fontId="3" fillId="17" borderId="0" xfId="44" applyFill="1"/>
    <xf numFmtId="2" fontId="37" fillId="17" borderId="0" xfId="44" applyNumberFormat="1" applyFont="1" applyFill="1"/>
    <xf numFmtId="2" fontId="3" fillId="17" borderId="0" xfId="44" applyNumberFormat="1" applyFill="1"/>
    <xf numFmtId="0" fontId="35" fillId="17" borderId="0" xfId="44" applyFont="1" applyFill="1" applyAlignment="1">
      <alignment vertical="center"/>
    </xf>
    <xf numFmtId="2" fontId="36" fillId="17" borderId="0" xfId="44" applyNumberFormat="1" applyFont="1" applyFill="1" applyAlignment="1">
      <alignment vertical="center"/>
    </xf>
    <xf numFmtId="167" fontId="3" fillId="17" borderId="0" xfId="44" applyNumberFormat="1" applyFill="1"/>
    <xf numFmtId="10" fontId="36" fillId="17" borderId="0" xfId="52" applyNumberFormat="1" applyFont="1" applyFill="1" applyAlignment="1">
      <alignment vertical="center"/>
    </xf>
    <xf numFmtId="0" fontId="6" fillId="0" borderId="25" xfId="42" applyFont="1" applyBorder="1" applyAlignment="1">
      <alignment horizontal="center" vertical="center" wrapText="1"/>
    </xf>
    <xf numFmtId="0" fontId="6" fillId="0" borderId="0" xfId="42" applyFont="1" applyBorder="1" applyAlignment="1">
      <alignment horizontal="center" vertical="center" wrapText="1"/>
    </xf>
    <xf numFmtId="0" fontId="6" fillId="0" borderId="24" xfId="42" applyFont="1" applyBorder="1" applyAlignment="1">
      <alignment horizontal="center" vertical="center" wrapText="1"/>
    </xf>
    <xf numFmtId="0" fontId="3" fillId="0" borderId="25" xfId="42" applyFont="1" applyBorder="1" applyAlignment="1">
      <alignment vertical="center"/>
    </xf>
    <xf numFmtId="2" fontId="6" fillId="0" borderId="11" xfId="42" applyNumberFormat="1" applyFont="1" applyBorder="1" applyAlignment="1">
      <alignment horizontal="center" vertical="center"/>
    </xf>
    <xf numFmtId="0" fontId="10" fillId="15" borderId="7" xfId="0" applyFont="1" applyFill="1" applyBorder="1" applyAlignment="1">
      <alignment horizontal="center" vertical="center"/>
    </xf>
    <xf numFmtId="0" fontId="10"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Fill="1" applyBorder="1" applyAlignment="1">
      <alignment horizontal="center"/>
    </xf>
    <xf numFmtId="0" fontId="45" fillId="14" borderId="0" xfId="0" applyFont="1" applyFill="1" applyBorder="1" applyAlignment="1">
      <alignment horizontal="left" wrapText="1"/>
    </xf>
    <xf numFmtId="9" fontId="6" fillId="0" borderId="0" xfId="42" applyNumberFormat="1" applyFont="1" applyBorder="1" applyAlignment="1">
      <alignment horizontal="center" vertical="center"/>
    </xf>
    <xf numFmtId="0" fontId="3" fillId="0" borderId="25" xfId="42" applyFont="1" applyBorder="1" applyAlignment="1">
      <alignment horizontal="center" vertical="center"/>
    </xf>
    <xf numFmtId="3" fontId="3" fillId="0" borderId="0" xfId="42" applyNumberFormat="1" applyFont="1" applyBorder="1" applyAlignment="1">
      <alignment vertical="center"/>
    </xf>
    <xf numFmtId="3" fontId="3" fillId="0" borderId="24" xfId="42" applyNumberFormat="1" applyFont="1" applyBorder="1"/>
    <xf numFmtId="0" fontId="3" fillId="0" borderId="25" xfId="42" applyFont="1" applyBorder="1" applyAlignment="1">
      <alignment horizontal="center" vertical="center" wrapText="1"/>
    </xf>
    <xf numFmtId="3" fontId="3" fillId="0" borderId="10" xfId="42" applyNumberFormat="1" applyFont="1" applyBorder="1" applyAlignment="1">
      <alignment horizontal="left" vertical="center" wrapText="1"/>
    </xf>
    <xf numFmtId="2" fontId="6" fillId="0" borderId="1" xfId="42" applyNumberFormat="1" applyFont="1" applyBorder="1" applyAlignment="1">
      <alignment horizontal="center" vertical="center"/>
    </xf>
    <xf numFmtId="0" fontId="3" fillId="17" borderId="0" xfId="42" applyFill="1" applyBorder="1"/>
    <xf numFmtId="0" fontId="10" fillId="15" borderId="7" xfId="0" applyFont="1" applyFill="1" applyBorder="1" applyAlignment="1">
      <alignment horizontal="center" vertical="center" wrapText="1"/>
    </xf>
    <xf numFmtId="0" fontId="42" fillId="15" borderId="8" xfId="0" applyFont="1" applyFill="1" applyBorder="1" applyAlignment="1">
      <alignment horizontal="center" vertical="center"/>
    </xf>
    <xf numFmtId="0" fontId="10" fillId="15" borderId="2" xfId="0" applyFont="1" applyFill="1" applyBorder="1" applyAlignment="1">
      <alignment horizontal="center" vertical="center"/>
    </xf>
    <xf numFmtId="0" fontId="2" fillId="0" borderId="0" xfId="0" applyFont="1" applyBorder="1" applyAlignment="1">
      <alignment horizontal="center" vertical="center"/>
    </xf>
    <xf numFmtId="0" fontId="9" fillId="0" borderId="1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13" xfId="0"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2" fillId="0" borderId="1" xfId="0" applyFont="1" applyBorder="1" applyAlignment="1">
      <alignment horizontal="center" vertical="center"/>
    </xf>
    <xf numFmtId="0" fontId="6" fillId="0" borderId="12" xfId="0" applyFont="1" applyBorder="1" applyAlignment="1">
      <alignment horizontal="center" vertical="center"/>
    </xf>
    <xf numFmtId="2" fontId="6" fillId="0" borderId="12" xfId="0" applyNumberFormat="1" applyFont="1" applyBorder="1" applyAlignment="1">
      <alignment horizontal="center" vertical="center"/>
    </xf>
    <xf numFmtId="2" fontId="6" fillId="0" borderId="4" xfId="0" applyNumberFormat="1" applyFont="1" applyBorder="1" applyAlignment="1">
      <alignment horizontal="center" vertical="center"/>
    </xf>
    <xf numFmtId="9" fontId="6" fillId="0" borderId="12" xfId="3" applyFont="1" applyBorder="1" applyAlignment="1">
      <alignment horizontal="center" vertical="center"/>
    </xf>
    <xf numFmtId="9" fontId="6" fillId="0" borderId="4" xfId="3" applyFont="1" applyBorder="1" applyAlignment="1">
      <alignment horizontal="center" vertical="center"/>
    </xf>
    <xf numFmtId="0" fontId="10" fillId="15" borderId="0" xfId="0" applyFont="1" applyFill="1" applyAlignment="1">
      <alignment horizontal="center" vertical="center"/>
    </xf>
    <xf numFmtId="14" fontId="10" fillId="15" borderId="7" xfId="0" applyNumberFormat="1" applyFont="1" applyFill="1" applyBorder="1" applyAlignment="1">
      <alignment horizontal="center" vertical="center"/>
    </xf>
    <xf numFmtId="14" fontId="10" fillId="15" borderId="5" xfId="0" applyNumberFormat="1" applyFont="1" applyFill="1" applyBorder="1" applyAlignment="1">
      <alignment horizontal="center" vertical="center"/>
    </xf>
    <xf numFmtId="1" fontId="10" fillId="15" borderId="5" xfId="0" applyNumberFormat="1" applyFont="1" applyFill="1" applyBorder="1" applyAlignment="1">
      <alignment horizontal="center" vertical="center"/>
    </xf>
    <xf numFmtId="0" fontId="2" fillId="15" borderId="0" xfId="0" applyFont="1" applyFill="1" applyAlignment="1">
      <alignment horizontal="center"/>
    </xf>
    <xf numFmtId="0" fontId="2" fillId="0" borderId="8" xfId="0" applyFont="1" applyBorder="1" applyAlignment="1">
      <alignment horizont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46" fillId="0" borderId="1" xfId="0" applyNumberFormat="1" applyFont="1" applyBorder="1" applyAlignment="1">
      <alignment horizontal="center"/>
    </xf>
    <xf numFmtId="0" fontId="2" fillId="0" borderId="8" xfId="0" applyFont="1" applyBorder="1" applyAlignment="1">
      <alignment horizontal="center" vertical="center"/>
    </xf>
    <xf numFmtId="0" fontId="2" fillId="0" borderId="8" xfId="0" applyFont="1" applyBorder="1" applyAlignment="1">
      <alignment horizontal="center" vertical="top"/>
    </xf>
    <xf numFmtId="1" fontId="3" fillId="0" borderId="8" xfId="0" applyNumberFormat="1" applyFont="1" applyBorder="1" applyAlignment="1">
      <alignment horizontal="center" vertical="center" wrapText="1"/>
    </xf>
    <xf numFmtId="1" fontId="8" fillId="3" borderId="8" xfId="0" applyNumberFormat="1" applyFont="1" applyFill="1" applyBorder="1" applyAlignment="1">
      <alignment horizontal="center" vertical="center"/>
    </xf>
    <xf numFmtId="0" fontId="2" fillId="0" borderId="0" xfId="0" applyFont="1" applyBorder="1" applyAlignment="1">
      <alignment horizontal="center" vertical="top"/>
    </xf>
    <xf numFmtId="1" fontId="3" fillId="0" borderId="0" xfId="0" applyNumberFormat="1" applyFont="1" applyBorder="1" applyAlignment="1">
      <alignment horizontal="center" vertical="center" wrapText="1"/>
    </xf>
    <xf numFmtId="1" fontId="2" fillId="0" borderId="24" xfId="0" applyNumberFormat="1" applyFont="1" applyBorder="1" applyAlignment="1">
      <alignment horizontal="center"/>
    </xf>
    <xf numFmtId="0" fontId="2" fillId="0" borderId="1" xfId="0" applyFont="1" applyBorder="1" applyAlignment="1">
      <alignment horizontal="center" vertical="top"/>
    </xf>
    <xf numFmtId="1" fontId="3" fillId="0" borderId="1" xfId="0" applyNumberFormat="1" applyFont="1" applyBorder="1" applyAlignment="1">
      <alignment horizontal="center" vertical="center" wrapText="1"/>
    </xf>
    <xf numFmtId="1" fontId="8" fillId="3" borderId="1" xfId="0" applyNumberFormat="1" applyFont="1" applyFill="1" applyBorder="1" applyAlignment="1">
      <alignment horizontal="center" vertical="center"/>
    </xf>
    <xf numFmtId="1" fontId="2" fillId="0" borderId="11" xfId="0" applyNumberFormat="1" applyFont="1" applyBorder="1" applyAlignment="1">
      <alignment horizontal="center"/>
    </xf>
    <xf numFmtId="0" fontId="9" fillId="0" borderId="7" xfId="0" applyFont="1" applyBorder="1" applyAlignment="1">
      <alignment horizontal="center" vertical="center" wrapText="1"/>
    </xf>
    <xf numFmtId="1" fontId="3" fillId="0" borderId="8" xfId="0" applyNumberFormat="1" applyFont="1" applyBorder="1" applyAlignment="1">
      <alignment horizontal="center" vertical="center"/>
    </xf>
    <xf numFmtId="0" fontId="2" fillId="0" borderId="8" xfId="0" applyFont="1" applyFill="1" applyBorder="1" applyAlignment="1">
      <alignment horizontal="center"/>
    </xf>
    <xf numFmtId="1" fontId="3" fillId="0" borderId="8" xfId="46" applyNumberFormat="1" applyFont="1" applyFill="1" applyBorder="1" applyAlignment="1">
      <alignment horizontal="center" vertical="center"/>
    </xf>
    <xf numFmtId="2" fontId="8" fillId="0" borderId="7" xfId="0" applyNumberFormat="1" applyFont="1" applyBorder="1" applyAlignment="1">
      <alignment horizontal="center" vertical="top" wrapText="1"/>
    </xf>
    <xf numFmtId="2" fontId="8" fillId="0" borderId="8"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1" fontId="3" fillId="0" borderId="0" xfId="46"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2" fontId="8" fillId="0" borderId="25"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24" xfId="0" applyNumberFormat="1" applyFont="1" applyBorder="1" applyAlignment="1">
      <alignment horizontal="center" vertical="top" wrapText="1"/>
    </xf>
    <xf numFmtId="2" fontId="8" fillId="0" borderId="0" xfId="0" applyNumberFormat="1" applyFont="1" applyBorder="1" applyAlignment="1">
      <alignment horizontal="center" vertical="center" wrapText="1"/>
    </xf>
    <xf numFmtId="2" fontId="8" fillId="0" borderId="24" xfId="0" applyNumberFormat="1" applyFont="1" applyBorder="1" applyAlignment="1">
      <alignment horizontal="center" vertical="center" wrapText="1"/>
    </xf>
    <xf numFmtId="2" fontId="2" fillId="0" borderId="25" xfId="0" applyNumberFormat="1" applyFont="1" applyBorder="1" applyAlignment="1">
      <alignment horizontal="center" vertical="top" wrapText="1"/>
    </xf>
    <xf numFmtId="1" fontId="3" fillId="0" borderId="0" xfId="46" applyNumberFormat="1" applyFont="1" applyFill="1" applyBorder="1" applyAlignment="1">
      <alignment horizontal="center" vertical="center" wrapText="1"/>
    </xf>
    <xf numFmtId="1" fontId="2" fillId="0" borderId="0" xfId="0" applyNumberFormat="1" applyFont="1" applyFill="1" applyBorder="1" applyAlignment="1">
      <alignment horizontal="center" wrapText="1"/>
    </xf>
    <xf numFmtId="2" fontId="2" fillId="0" borderId="1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11" xfId="0" applyNumberFormat="1" applyFont="1" applyBorder="1" applyAlignment="1">
      <alignment horizontal="center" vertical="top" wrapText="1"/>
    </xf>
    <xf numFmtId="0" fontId="2" fillId="0" borderId="1" xfId="0" applyFont="1" applyFill="1" applyBorder="1" applyAlignment="1">
      <alignment horizontal="center"/>
    </xf>
    <xf numFmtId="1" fontId="2" fillId="0" borderId="1" xfId="0" applyNumberFormat="1" applyFont="1" applyFill="1" applyBorder="1" applyAlignment="1">
      <alignment horizontal="center" wrapText="1"/>
    </xf>
    <xf numFmtId="0" fontId="2" fillId="0" borderId="13" xfId="0" applyFont="1" applyBorder="1" applyAlignment="1">
      <alignment horizontal="center" vertical="center"/>
    </xf>
    <xf numFmtId="1" fontId="3" fillId="0" borderId="13" xfId="46" applyNumberFormat="1" applyFont="1" applyBorder="1" applyAlignment="1">
      <alignment horizontal="center" vertical="center" wrapText="1"/>
    </xf>
    <xf numFmtId="0" fontId="50" fillId="0" borderId="0" xfId="0" applyFont="1" applyBorder="1"/>
    <xf numFmtId="0" fontId="50" fillId="0" borderId="1" xfId="0" applyFont="1" applyBorder="1"/>
    <xf numFmtId="0" fontId="50" fillId="14" borderId="0" xfId="0" applyFont="1" applyFill="1"/>
    <xf numFmtId="3" fontId="10" fillId="15" borderId="11" xfId="0" applyNumberFormat="1" applyFont="1" applyFill="1" applyBorder="1" applyAlignment="1">
      <alignment horizontal="center" vertical="center" wrapText="1"/>
    </xf>
    <xf numFmtId="0" fontId="50" fillId="18" borderId="0" xfId="0" applyFont="1" applyFill="1"/>
    <xf numFmtId="0" fontId="49" fillId="18" borderId="0" xfId="0" applyFont="1" applyFill="1"/>
    <xf numFmtId="0" fontId="2" fillId="18" borderId="0" xfId="0" applyFont="1" applyFill="1" applyAlignment="1">
      <alignment horizontal="center"/>
    </xf>
    <xf numFmtId="0" fontId="2" fillId="18" borderId="0" xfId="0" applyFont="1" applyFill="1"/>
    <xf numFmtId="0" fontId="8"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Border="1" applyAlignment="1">
      <alignment horizontal="center" vertical="center"/>
    </xf>
    <xf numFmtId="1" fontId="49" fillId="18" borderId="0" xfId="0" applyNumberFormat="1" applyFont="1" applyFill="1"/>
    <xf numFmtId="2" fontId="2" fillId="18" borderId="0" xfId="0" applyNumberFormat="1" applyFont="1" applyFill="1" applyBorder="1" applyAlignment="1">
      <alignment horizontal="center" vertical="top" wrapText="1"/>
    </xf>
    <xf numFmtId="2" fontId="8" fillId="18" borderId="0" xfId="0" applyNumberFormat="1" applyFont="1" applyFill="1" applyBorder="1" applyAlignment="1">
      <alignment horizontal="center" vertical="top" wrapText="1"/>
    </xf>
    <xf numFmtId="2" fontId="2" fillId="18" borderId="0" xfId="0" applyNumberFormat="1" applyFont="1" applyFill="1" applyAlignment="1">
      <alignment horizontal="center"/>
    </xf>
    <xf numFmtId="0" fontId="42" fillId="15" borderId="9" xfId="0" applyFont="1" applyFill="1" applyBorder="1" applyAlignment="1">
      <alignment horizontal="center" vertical="center" wrapText="1"/>
    </xf>
    <xf numFmtId="0" fontId="42" fillId="15" borderId="7" xfId="0" applyFont="1" applyFill="1" applyBorder="1" applyAlignment="1">
      <alignment vertical="center" wrapText="1"/>
    </xf>
    <xf numFmtId="0" fontId="8" fillId="0" borderId="0" xfId="0" applyFont="1" applyBorder="1" applyAlignment="1">
      <alignment horizontal="center" vertical="center"/>
    </xf>
    <xf numFmtId="1" fontId="8" fillId="0" borderId="0" xfId="0" applyNumberFormat="1" applyFont="1" applyBorder="1" applyAlignment="1">
      <alignment horizontal="center" vertical="center"/>
    </xf>
    <xf numFmtId="3" fontId="9" fillId="0" borderId="1" xfId="0" applyNumberFormat="1" applyFont="1" applyBorder="1" applyAlignment="1">
      <alignment horizontal="center"/>
    </xf>
    <xf numFmtId="0" fontId="9" fillId="0" borderId="11" xfId="0" applyFont="1" applyBorder="1" applyAlignment="1">
      <alignment horizontal="center"/>
    </xf>
    <xf numFmtId="1" fontId="3" fillId="0" borderId="1" xfId="1" applyNumberFormat="1" applyFont="1" applyFill="1" applyBorder="1" applyAlignment="1">
      <alignment horizontal="center" vertical="center"/>
    </xf>
    <xf numFmtId="0" fontId="52" fillId="15" borderId="0" xfId="0" applyFont="1" applyFill="1" applyBorder="1" applyAlignment="1">
      <alignment horizontal="center" wrapText="1"/>
    </xf>
    <xf numFmtId="0" fontId="52" fillId="15" borderId="8" xfId="0" applyFont="1" applyFill="1" applyBorder="1" applyAlignment="1">
      <alignment horizontal="center" vertical="center" wrapText="1"/>
    </xf>
    <xf numFmtId="0" fontId="46" fillId="0" borderId="0" xfId="0" applyFont="1" applyFill="1" applyBorder="1" applyAlignment="1">
      <alignment horizontal="center" wrapText="1"/>
    </xf>
    <xf numFmtId="169" fontId="46" fillId="0" borderId="0" xfId="3" applyNumberFormat="1" applyFont="1" applyFill="1" applyBorder="1" applyAlignment="1">
      <alignment horizontal="center" vertical="top" wrapText="1"/>
    </xf>
    <xf numFmtId="0" fontId="52" fillId="15" borderId="1" xfId="0" applyFont="1" applyFill="1" applyBorder="1" applyAlignment="1">
      <alignment horizontal="center" wrapText="1"/>
    </xf>
    <xf numFmtId="0" fontId="47" fillId="13" borderId="0" xfId="0" applyFont="1" applyFill="1"/>
    <xf numFmtId="1" fontId="42" fillId="15" borderId="9" xfId="0" applyNumberFormat="1" applyFont="1" applyFill="1" applyBorder="1" applyAlignment="1">
      <alignment horizontal="center"/>
    </xf>
    <xf numFmtId="1" fontId="6" fillId="0" borderId="11" xfId="42" applyNumberFormat="1" applyFont="1" applyBorder="1" applyAlignment="1">
      <alignment horizontal="center" vertical="center"/>
    </xf>
    <xf numFmtId="169" fontId="3" fillId="0" borderId="0" xfId="42" applyNumberFormat="1" applyFont="1" applyBorder="1" applyAlignment="1">
      <alignment horizontal="center" vertical="center"/>
    </xf>
    <xf numFmtId="9" fontId="3" fillId="0" borderId="24" xfId="42" applyNumberFormat="1" applyFont="1" applyBorder="1" applyAlignment="1">
      <alignment horizontal="center" vertical="center"/>
    </xf>
    <xf numFmtId="0" fontId="6" fillId="0" borderId="0" xfId="44" applyFont="1" applyBorder="1" applyAlignment="1">
      <alignment vertical="center"/>
    </xf>
    <xf numFmtId="0" fontId="10" fillId="15" borderId="2" xfId="44" applyFont="1" applyFill="1" applyBorder="1" applyAlignment="1">
      <alignment horizontal="center"/>
    </xf>
    <xf numFmtId="0" fontId="6" fillId="0" borderId="12" xfId="44" applyFont="1" applyBorder="1" applyAlignment="1">
      <alignment horizontal="center"/>
    </xf>
    <xf numFmtId="0" fontId="6" fillId="0" borderId="4" xfId="44" applyFont="1" applyBorder="1" applyAlignment="1">
      <alignment horizontal="center"/>
    </xf>
    <xf numFmtId="10" fontId="3" fillId="0" borderId="12" xfId="52"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Fill="1" applyBorder="1" applyAlignment="1">
      <alignment horizontal="center"/>
    </xf>
    <xf numFmtId="1" fontId="2" fillId="0" borderId="6" xfId="0" applyNumberFormat="1" applyFont="1" applyBorder="1" applyAlignment="1">
      <alignment horizontal="center" vertical="center"/>
    </xf>
    <xf numFmtId="0" fontId="53" fillId="0" borderId="0" xfId="0" applyFont="1" applyFill="1" applyBorder="1" applyAlignment="1">
      <alignment horizontal="center"/>
    </xf>
    <xf numFmtId="0" fontId="53" fillId="0" borderId="0" xfId="0" applyFont="1" applyFill="1" applyBorder="1" applyAlignment="1">
      <alignment horizontal="center" vertical="center"/>
    </xf>
    <xf numFmtId="0" fontId="47" fillId="0" borderId="0" xfId="0" applyFont="1"/>
    <xf numFmtId="0" fontId="54" fillId="18" borderId="0" xfId="0" applyFont="1" applyFill="1"/>
    <xf numFmtId="0" fontId="2" fillId="19" borderId="25" xfId="0" applyFont="1" applyFill="1" applyBorder="1"/>
    <xf numFmtId="0" fontId="9"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1" fontId="46" fillId="19" borderId="0" xfId="0" applyNumberFormat="1" applyFont="1" applyFill="1" applyBorder="1" applyAlignment="1">
      <alignment horizontal="center" vertical="center"/>
    </xf>
    <xf numFmtId="0" fontId="46" fillId="18" borderId="0" xfId="0" applyFont="1" applyFill="1" applyAlignment="1">
      <alignment horizontal="left"/>
    </xf>
    <xf numFmtId="0" fontId="55"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9"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10" fillId="19" borderId="8" xfId="4" applyFont="1" applyFill="1" applyBorder="1" applyAlignment="1">
      <alignment horizontal="center" vertical="center"/>
    </xf>
    <xf numFmtId="0" fontId="10" fillId="19" borderId="8" xfId="4" applyFont="1" applyFill="1" applyBorder="1" applyAlignment="1">
      <alignment horizontal="center" vertical="center" wrapText="1"/>
    </xf>
    <xf numFmtId="0" fontId="50" fillId="19" borderId="0" xfId="0" applyFont="1" applyFill="1" applyBorder="1"/>
    <xf numFmtId="0" fontId="2" fillId="19" borderId="0" xfId="0" applyFont="1" applyFill="1" applyBorder="1" applyAlignment="1">
      <alignment horizontal="center" vertical="center"/>
    </xf>
    <xf numFmtId="0" fontId="42" fillId="19" borderId="0" xfId="0" applyFont="1" applyFill="1" applyBorder="1" applyAlignment="1">
      <alignment horizontal="center" vertical="center"/>
    </xf>
    <xf numFmtId="1" fontId="2" fillId="19" borderId="0" xfId="0" applyNumberFormat="1" applyFont="1" applyFill="1" applyBorder="1" applyAlignment="1">
      <alignment horizontal="center" vertical="center"/>
    </xf>
    <xf numFmtId="1" fontId="2" fillId="19" borderId="1" xfId="0" applyNumberFormat="1" applyFont="1" applyFill="1" applyBorder="1" applyAlignment="1">
      <alignment horizontal="center" vertical="center"/>
    </xf>
    <xf numFmtId="1" fontId="3" fillId="19" borderId="24" xfId="42" applyNumberFormat="1" applyFont="1" applyFill="1" applyBorder="1" applyAlignment="1">
      <alignment horizontal="center" vertical="center"/>
    </xf>
    <xf numFmtId="169" fontId="8" fillId="19" borderId="24" xfId="3" applyNumberFormat="1" applyFont="1" applyFill="1" applyBorder="1" applyAlignment="1">
      <alignment horizontal="center" vertical="center"/>
    </xf>
    <xf numFmtId="0" fontId="55" fillId="19" borderId="0" xfId="0" applyFont="1" applyFill="1"/>
    <xf numFmtId="3" fontId="9" fillId="19" borderId="24" xfId="0" applyNumberFormat="1" applyFont="1" applyFill="1" applyBorder="1" applyAlignment="1">
      <alignment horizontal="center" vertical="center" wrapText="1"/>
    </xf>
    <xf numFmtId="2" fontId="52" fillId="0" borderId="8" xfId="0" applyNumberFormat="1" applyFont="1" applyFill="1" applyBorder="1" applyAlignment="1">
      <alignment horizontal="left" vertical="center"/>
    </xf>
    <xf numFmtId="167" fontId="46" fillId="19" borderId="0" xfId="42" applyNumberFormat="1" applyFont="1" applyFill="1" applyAlignment="1">
      <alignment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8" xfId="4" applyFont="1" applyFill="1" applyBorder="1" applyAlignment="1">
      <alignment horizontal="center" vertical="center"/>
    </xf>
    <xf numFmtId="1" fontId="39" fillId="0" borderId="0" xfId="3" applyNumberFormat="1" applyFont="1" applyAlignment="1">
      <alignment horizontal="center"/>
    </xf>
    <xf numFmtId="1" fontId="6" fillId="0" borderId="0" xfId="42" applyNumberFormat="1" applyFont="1" applyBorder="1" applyAlignment="1">
      <alignment horizontal="center" vertical="center" wrapText="1"/>
    </xf>
    <xf numFmtId="0" fontId="10" fillId="15" borderId="10" xfId="42" applyFont="1" applyFill="1" applyBorder="1" applyAlignment="1">
      <alignment horizontal="center" vertical="center"/>
    </xf>
    <xf numFmtId="9" fontId="10" fillId="15" borderId="1" xfId="42" applyNumberFormat="1" applyFont="1" applyFill="1" applyBorder="1" applyAlignment="1">
      <alignment horizontal="center" vertical="center"/>
    </xf>
    <xf numFmtId="1" fontId="10" fillId="15" borderId="0" xfId="42" applyNumberFormat="1" applyFont="1" applyFill="1" applyBorder="1" applyAlignment="1">
      <alignment horizontal="center" vertical="center" wrapText="1"/>
    </xf>
    <xf numFmtId="0" fontId="50" fillId="0" borderId="0" xfId="0" applyFont="1" applyFill="1"/>
    <xf numFmtId="9" fontId="3" fillId="0" borderId="0" xfId="42" applyNumberFormat="1" applyFont="1" applyFill="1" applyBorder="1" applyAlignment="1">
      <alignment horizontal="center" vertical="center" wrapText="1"/>
    </xf>
    <xf numFmtId="9" fontId="3" fillId="0" borderId="0" xfId="42" applyNumberFormat="1" applyFont="1" applyFill="1" applyBorder="1" applyAlignment="1">
      <alignment horizontal="center" vertical="center"/>
    </xf>
    <xf numFmtId="0" fontId="56" fillId="0" borderId="0" xfId="0" applyFont="1" applyAlignment="1">
      <alignment vertical="center"/>
    </xf>
    <xf numFmtId="0" fontId="57" fillId="0" borderId="26" xfId="0" applyFont="1" applyBorder="1" applyAlignment="1">
      <alignment vertical="center"/>
    </xf>
    <xf numFmtId="0" fontId="57" fillId="0" borderId="27" xfId="0" applyFont="1" applyBorder="1" applyAlignment="1">
      <alignment horizontal="right" vertical="center"/>
    </xf>
    <xf numFmtId="0" fontId="57" fillId="0" borderId="28" xfId="0" applyFont="1" applyBorder="1" applyAlignment="1">
      <alignment vertical="center"/>
    </xf>
    <xf numFmtId="0" fontId="57" fillId="0" borderId="29" xfId="0" applyFont="1" applyBorder="1" applyAlignment="1">
      <alignment horizontal="right" vertical="center"/>
    </xf>
    <xf numFmtId="0" fontId="57" fillId="0" borderId="26" xfId="0" applyFont="1" applyBorder="1" applyAlignment="1">
      <alignment vertical="center" wrapText="1"/>
    </xf>
    <xf numFmtId="0" fontId="57" fillId="0" borderId="27" xfId="0" applyFont="1" applyBorder="1" applyAlignment="1">
      <alignment horizontal="right" vertical="center" wrapText="1"/>
    </xf>
    <xf numFmtId="0" fontId="57" fillId="0" borderId="28" xfId="0" applyFont="1" applyBorder="1" applyAlignment="1">
      <alignment vertical="center" wrapText="1"/>
    </xf>
    <xf numFmtId="0" fontId="57" fillId="0" borderId="29" xfId="0" applyFont="1" applyBorder="1" applyAlignment="1">
      <alignment horizontal="right" vertical="center" wrapText="1"/>
    </xf>
    <xf numFmtId="0" fontId="2" fillId="0" borderId="0" xfId="0" applyFont="1" applyFill="1" applyBorder="1" applyAlignment="1">
      <alignment horizontal="center" vertical="center"/>
    </xf>
    <xf numFmtId="0" fontId="42" fillId="15" borderId="8" xfId="0" applyFont="1" applyFill="1" applyBorder="1" applyAlignment="1">
      <alignment horizontal="center" vertical="center"/>
    </xf>
    <xf numFmtId="0" fontId="51" fillId="0" borderId="0" xfId="0" applyFont="1" applyFill="1" applyBorder="1" applyAlignment="1">
      <alignment horizontal="center" vertical="center" wrapText="1"/>
    </xf>
    <xf numFmtId="9" fontId="51" fillId="0" borderId="0" xfId="0" applyNumberFormat="1" applyFont="1" applyFill="1" applyBorder="1" applyAlignment="1">
      <alignment horizontal="center" vertical="center" wrapText="1"/>
    </xf>
    <xf numFmtId="3" fontId="51" fillId="0" borderId="24" xfId="0" applyNumberFormat="1" applyFont="1" applyFill="1" applyBorder="1" applyAlignment="1">
      <alignment horizontal="center" vertical="center" wrapText="1"/>
    </xf>
    <xf numFmtId="0" fontId="8" fillId="0" borderId="25" xfId="0" applyFont="1" applyFill="1" applyBorder="1" applyAlignment="1">
      <alignment horizontal="center" vertical="center"/>
    </xf>
    <xf numFmtId="1" fontId="8" fillId="0" borderId="0" xfId="0" applyNumberFormat="1" applyFont="1" applyFill="1" applyBorder="1" applyAlignment="1">
      <alignment horizontal="center" vertical="center"/>
    </xf>
    <xf numFmtId="0" fontId="3" fillId="18" borderId="25" xfId="0" applyFont="1" applyFill="1" applyBorder="1" applyAlignment="1">
      <alignment horizontal="center" vertical="center"/>
    </xf>
    <xf numFmtId="1" fontId="3" fillId="18" borderId="0" xfId="0" applyNumberFormat="1" applyFont="1" applyFill="1" applyBorder="1" applyAlignment="1">
      <alignment horizontal="center" vertical="center"/>
    </xf>
    <xf numFmtId="0" fontId="3" fillId="18" borderId="0" xfId="0" applyFont="1" applyFill="1" applyBorder="1" applyAlignment="1">
      <alignment horizontal="center" wrapText="1"/>
    </xf>
    <xf numFmtId="2" fontId="3" fillId="18" borderId="24" xfId="0" applyNumberFormat="1" applyFont="1" applyFill="1" applyBorder="1" applyAlignment="1">
      <alignment horizontal="center"/>
    </xf>
    <xf numFmtId="0" fontId="3" fillId="18" borderId="0" xfId="0" applyFont="1" applyFill="1" applyBorder="1" applyAlignment="1">
      <alignment horizontal="center" vertical="center"/>
    </xf>
    <xf numFmtId="2" fontId="3" fillId="18" borderId="0" xfId="0" applyNumberFormat="1" applyFont="1" applyFill="1" applyBorder="1" applyAlignment="1">
      <alignment horizontal="center"/>
    </xf>
    <xf numFmtId="0" fontId="3" fillId="18" borderId="25" xfId="0" applyFont="1" applyFill="1" applyBorder="1" applyAlignment="1">
      <alignment horizontal="center" vertical="top" wrapText="1"/>
    </xf>
    <xf numFmtId="0" fontId="3" fillId="18" borderId="0" xfId="0" applyFont="1" applyFill="1" applyBorder="1" applyAlignment="1">
      <alignment horizontal="center" vertical="top" wrapText="1"/>
    </xf>
    <xf numFmtId="169" fontId="3" fillId="18" borderId="0" xfId="3" applyNumberFormat="1" applyFont="1" applyFill="1" applyBorder="1" applyAlignment="1">
      <alignment horizontal="center" vertical="top" wrapText="1"/>
    </xf>
    <xf numFmtId="0" fontId="3" fillId="18" borderId="0" xfId="0" applyFont="1" applyFill="1" applyBorder="1" applyAlignment="1">
      <alignment horizontal="center" vertical="center" wrapText="1"/>
    </xf>
    <xf numFmtId="2" fontId="2" fillId="0" borderId="6" xfId="0" applyNumberFormat="1" applyFont="1" applyFill="1" applyBorder="1" applyAlignment="1">
      <alignment horizontal="center"/>
    </xf>
    <xf numFmtId="0" fontId="3" fillId="18" borderId="7" xfId="0" applyFont="1" applyFill="1" applyBorder="1" applyAlignment="1">
      <alignment horizontal="center" vertical="center" wrapText="1"/>
    </xf>
    <xf numFmtId="0" fontId="3" fillId="18" borderId="8" xfId="0" applyFont="1" applyFill="1" applyBorder="1" applyAlignment="1">
      <alignment horizontal="center" vertical="center"/>
    </xf>
    <xf numFmtId="0" fontId="3" fillId="18" borderId="8" xfId="0" applyFont="1" applyFill="1" applyBorder="1" applyAlignment="1">
      <alignment horizontal="center" vertical="center" wrapText="1"/>
    </xf>
    <xf numFmtId="2" fontId="3" fillId="18" borderId="9" xfId="0" applyNumberFormat="1" applyFont="1" applyFill="1" applyBorder="1" applyAlignment="1">
      <alignment horizontal="center" vertical="center"/>
    </xf>
    <xf numFmtId="0" fontId="3" fillId="18" borderId="25" xfId="0" applyFont="1" applyFill="1" applyBorder="1" applyAlignment="1">
      <alignment horizontal="center" vertical="center" wrapText="1"/>
    </xf>
    <xf numFmtId="2" fontId="3" fillId="18" borderId="24" xfId="0" applyNumberFormat="1" applyFont="1" applyFill="1" applyBorder="1" applyAlignment="1">
      <alignment horizontal="center" vertical="center"/>
    </xf>
    <xf numFmtId="0" fontId="52" fillId="0" borderId="8" xfId="0" applyFont="1" applyFill="1" applyBorder="1" applyAlignment="1">
      <alignment horizontal="center" vertical="center"/>
    </xf>
    <xf numFmtId="3" fontId="52" fillId="0" borderId="8" xfId="0" applyNumberFormat="1" applyFont="1" applyFill="1" applyBorder="1" applyAlignment="1">
      <alignment horizontal="center" vertical="center"/>
    </xf>
    <xf numFmtId="0" fontId="10" fillId="15" borderId="4" xfId="44" applyFont="1" applyFill="1" applyBorder="1" applyAlignment="1">
      <alignment horizontal="center" vertical="center"/>
    </xf>
    <xf numFmtId="0" fontId="10" fillId="15" borderId="12" xfId="0" applyFont="1" applyFill="1" applyBorder="1" applyAlignment="1">
      <alignment horizontal="center" vertical="center"/>
    </xf>
    <xf numFmtId="0" fontId="6" fillId="0" borderId="7" xfId="42" applyFont="1" applyBorder="1" applyAlignment="1">
      <alignment horizontal="center" vertical="center"/>
    </xf>
    <xf numFmtId="9" fontId="3" fillId="0" borderId="8" xfId="42" applyNumberFormat="1" applyFont="1" applyBorder="1" applyAlignment="1">
      <alignment horizontal="center" vertical="center"/>
    </xf>
    <xf numFmtId="9" fontId="3" fillId="0" borderId="9" xfId="42" applyNumberFormat="1" applyFont="1" applyBorder="1" applyAlignment="1">
      <alignment horizontal="center" vertical="center"/>
    </xf>
    <xf numFmtId="2" fontId="3" fillId="0" borderId="0" xfId="42" applyNumberFormat="1" applyFont="1" applyFill="1" applyBorder="1" applyAlignment="1">
      <alignment horizontal="center" vertical="center"/>
    </xf>
    <xf numFmtId="2" fontId="3" fillId="0" borderId="24" xfId="42"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59" fillId="13" borderId="0" xfId="0" applyFont="1" applyFill="1"/>
    <xf numFmtId="0" fontId="61" fillId="14" borderId="3" xfId="53" applyFont="1" applyFill="1" applyBorder="1" applyAlignment="1">
      <alignment horizontal="left"/>
    </xf>
    <xf numFmtId="0" fontId="61" fillId="14" borderId="6" xfId="53" applyFont="1" applyFill="1" applyBorder="1"/>
    <xf numFmtId="0" fontId="58" fillId="14" borderId="0" xfId="53" applyFont="1" applyFill="1"/>
    <xf numFmtId="0" fontId="61" fillId="14" borderId="0" xfId="53" applyFont="1" applyFill="1" applyAlignment="1">
      <alignment horizontal="left"/>
    </xf>
    <xf numFmtId="0" fontId="61" fillId="14" borderId="11" xfId="53" applyFont="1" applyFill="1" applyBorder="1"/>
    <xf numFmtId="0" fontId="58" fillId="14" borderId="4" xfId="53" applyFont="1" applyFill="1" applyBorder="1"/>
    <xf numFmtId="0" fontId="58" fillId="14" borderId="2" xfId="53" applyFont="1" applyFill="1" applyBorder="1" applyAlignment="1">
      <alignment horizontal="center"/>
    </xf>
    <xf numFmtId="0" fontId="58" fillId="14" borderId="2" xfId="53" applyFont="1" applyFill="1" applyBorder="1"/>
    <xf numFmtId="1" fontId="58" fillId="14" borderId="2" xfId="53" applyNumberFormat="1" applyFont="1" applyFill="1" applyBorder="1" applyAlignment="1">
      <alignment horizontal="center"/>
    </xf>
    <xf numFmtId="9" fontId="58" fillId="14" borderId="2" xfId="53" applyNumberFormat="1" applyFont="1" applyFill="1" applyBorder="1" applyAlignment="1">
      <alignment horizontal="center"/>
    </xf>
    <xf numFmtId="3" fontId="58" fillId="14" borderId="2" xfId="53" applyNumberFormat="1" applyFont="1" applyFill="1" applyBorder="1" applyAlignment="1">
      <alignment horizontal="center"/>
    </xf>
    <xf numFmtId="1" fontId="58" fillId="14" borderId="0" xfId="53" applyNumberFormat="1" applyFont="1" applyFill="1"/>
    <xf numFmtId="0" fontId="58" fillId="20" borderId="2" xfId="53" applyFont="1" applyFill="1" applyBorder="1"/>
    <xf numFmtId="0" fontId="58" fillId="20" borderId="2" xfId="53" quotePrefix="1" applyFont="1" applyFill="1" applyBorder="1" applyAlignment="1">
      <alignment horizontal="center"/>
    </xf>
    <xf numFmtId="0" fontId="58" fillId="20" borderId="2" xfId="53" applyFont="1" applyFill="1" applyBorder="1" applyAlignment="1">
      <alignment horizontal="center"/>
    </xf>
    <xf numFmtId="0" fontId="2" fillId="0" borderId="2" xfId="0" applyFont="1" applyFill="1" applyBorder="1"/>
    <xf numFmtId="0" fontId="2" fillId="0" borderId="2" xfId="0" applyFont="1" applyFill="1" applyBorder="1" applyAlignment="1">
      <alignment wrapText="1"/>
    </xf>
    <xf numFmtId="2" fontId="2" fillId="0" borderId="2" xfId="0" applyNumberFormat="1" applyFont="1" applyFill="1" applyBorder="1"/>
    <xf numFmtId="167" fontId="2" fillId="0" borderId="2" xfId="0" applyNumberFormat="1" applyFont="1" applyFill="1" applyBorder="1"/>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10" fillId="15" borderId="7" xfId="0" applyFont="1" applyFill="1" applyBorder="1" applyAlignment="1">
      <alignment horizontal="center" vertical="center" wrapText="1"/>
    </xf>
    <xf numFmtId="1" fontId="2" fillId="0" borderId="2" xfId="0" applyNumberFormat="1" applyFont="1" applyFill="1" applyBorder="1"/>
    <xf numFmtId="0" fontId="3" fillId="14" borderId="0" xfId="59" applyFont="1" applyFill="1" applyAlignment="1">
      <alignment horizontal="center" vertical="top"/>
    </xf>
    <xf numFmtId="0" fontId="3" fillId="14" borderId="0" xfId="59" applyFont="1" applyFill="1" applyAlignment="1">
      <alignment horizontal="left" vertical="top"/>
    </xf>
    <xf numFmtId="1" fontId="3" fillId="14" borderId="0" xfId="59" applyNumberFormat="1" applyFont="1" applyFill="1" applyAlignment="1">
      <alignment vertical="top"/>
    </xf>
    <xf numFmtId="0" fontId="6" fillId="0" borderId="7" xfId="59" applyFont="1" applyBorder="1" applyAlignment="1">
      <alignment horizontal="center" vertical="top"/>
    </xf>
    <xf numFmtId="0" fontId="6" fillId="0" borderId="8" xfId="59" applyFont="1" applyBorder="1" applyAlignment="1">
      <alignment horizontal="left" vertical="top"/>
    </xf>
    <xf numFmtId="0" fontId="6" fillId="0" borderId="8" xfId="59" applyFont="1" applyBorder="1" applyAlignment="1">
      <alignment horizontal="right" vertical="top"/>
    </xf>
    <xf numFmtId="0" fontId="6" fillId="0" borderId="10" xfId="59" applyFont="1" applyBorder="1" applyAlignment="1">
      <alignment horizontal="center" vertical="top"/>
    </xf>
    <xf numFmtId="0" fontId="6" fillId="0" borderId="1" xfId="59" applyFont="1" applyBorder="1" applyAlignment="1">
      <alignment horizontal="left" vertical="top"/>
    </xf>
    <xf numFmtId="0" fontId="6" fillId="0" borderId="1" xfId="59" applyFont="1" applyBorder="1" applyAlignment="1">
      <alignment horizontal="right" vertical="top"/>
    </xf>
    <xf numFmtId="9" fontId="6" fillId="0" borderId="1" xfId="59" applyNumberFormat="1" applyFont="1" applyBorder="1" applyAlignment="1">
      <alignment vertical="top"/>
    </xf>
    <xf numFmtId="167" fontId="6" fillId="0" borderId="25" xfId="59" applyNumberFormat="1" applyFont="1" applyBorder="1" applyAlignment="1">
      <alignment horizontal="center" vertical="top"/>
    </xf>
    <xf numFmtId="0" fontId="6" fillId="0" borderId="0" xfId="59" applyFont="1" applyAlignment="1">
      <alignment horizontal="left" vertical="top"/>
    </xf>
    <xf numFmtId="0" fontId="6" fillId="0" borderId="0" xfId="59" applyFont="1" applyAlignment="1">
      <alignment horizontal="right" vertical="top"/>
    </xf>
    <xf numFmtId="167" fontId="3" fillId="0" borderId="25" xfId="59" applyNumberFormat="1" applyFont="1" applyBorder="1" applyAlignment="1">
      <alignment horizontal="center" vertical="top"/>
    </xf>
    <xf numFmtId="0" fontId="3" fillId="0" borderId="0" xfId="59" applyFont="1" applyAlignment="1">
      <alignment horizontal="left" vertical="top"/>
    </xf>
    <xf numFmtId="0" fontId="3" fillId="0" borderId="0" xfId="59" applyFont="1" applyAlignment="1">
      <alignment horizontal="right" vertical="top"/>
    </xf>
    <xf numFmtId="0" fontId="3" fillId="0" borderId="0" xfId="59" quotePrefix="1" applyFont="1" applyAlignment="1">
      <alignment horizontal="left" vertical="top"/>
    </xf>
    <xf numFmtId="0" fontId="3" fillId="0" borderId="0" xfId="59" quotePrefix="1" applyFont="1" applyAlignment="1">
      <alignment horizontal="right" vertical="top"/>
    </xf>
    <xf numFmtId="1" fontId="3" fillId="0" borderId="0" xfId="59" applyNumberFormat="1" applyFont="1" applyAlignment="1">
      <alignment horizontal="right" vertical="top"/>
    </xf>
    <xf numFmtId="3" fontId="3" fillId="0" borderId="0" xfId="59" applyNumberFormat="1" applyFont="1" applyAlignment="1">
      <alignment horizontal="right" vertical="top"/>
    </xf>
    <xf numFmtId="0" fontId="3" fillId="24" borderId="0" xfId="59" applyFont="1" applyFill="1" applyAlignment="1">
      <alignment horizontal="left" vertical="top"/>
    </xf>
    <xf numFmtId="1" fontId="3" fillId="24" borderId="0" xfId="59" applyNumberFormat="1" applyFont="1" applyFill="1" applyAlignment="1">
      <alignment horizontal="right" vertical="top"/>
    </xf>
    <xf numFmtId="0" fontId="6" fillId="25" borderId="0" xfId="59" quotePrefix="1" applyFont="1" applyFill="1" applyAlignment="1">
      <alignment horizontal="left" vertical="top"/>
    </xf>
    <xf numFmtId="0" fontId="6" fillId="0" borderId="0" xfId="59" quotePrefix="1" applyFont="1" applyAlignment="1">
      <alignment horizontal="right" vertical="top"/>
    </xf>
    <xf numFmtId="167" fontId="6" fillId="20" borderId="25" xfId="59" applyNumberFormat="1" applyFont="1" applyFill="1" applyBorder="1" applyAlignment="1">
      <alignment horizontal="center" vertical="top"/>
    </xf>
    <xf numFmtId="0" fontId="6" fillId="20" borderId="0" xfId="59" applyFont="1" applyFill="1" applyAlignment="1">
      <alignment horizontal="left" vertical="top"/>
    </xf>
    <xf numFmtId="0" fontId="6" fillId="20" borderId="0" xfId="59" applyFont="1" applyFill="1" applyAlignment="1">
      <alignment horizontal="right" vertical="top"/>
    </xf>
    <xf numFmtId="0" fontId="3" fillId="0" borderId="10" xfId="59" applyFont="1" applyBorder="1" applyAlignment="1">
      <alignment horizontal="center" vertical="top"/>
    </xf>
    <xf numFmtId="0" fontId="6" fillId="14" borderId="0" xfId="59" applyFont="1" applyFill="1" applyAlignment="1">
      <alignment horizontal="left" vertical="top"/>
    </xf>
    <xf numFmtId="0" fontId="6" fillId="14" borderId="0" xfId="59" applyFont="1" applyFill="1" applyAlignment="1">
      <alignment horizontal="right" vertical="top"/>
    </xf>
    <xf numFmtId="0" fontId="3" fillId="14" borderId="0" xfId="59" applyFont="1" applyFill="1" applyAlignment="1">
      <alignment horizontal="right" vertical="top"/>
    </xf>
    <xf numFmtId="0" fontId="3" fillId="24" borderId="2" xfId="59" applyFont="1" applyFill="1" applyBorder="1" applyAlignment="1">
      <alignment horizontal="left" vertical="top"/>
    </xf>
    <xf numFmtId="0" fontId="3" fillId="24" borderId="2" xfId="59" applyFont="1" applyFill="1" applyBorder="1" applyAlignment="1">
      <alignment horizontal="right" vertical="top"/>
    </xf>
    <xf numFmtId="2" fontId="2" fillId="0" borderId="0" xfId="0" applyNumberFormat="1" applyFont="1" applyFill="1" applyBorder="1" applyAlignment="1">
      <alignment horizontal="center" vertical="center"/>
    </xf>
    <xf numFmtId="2" fontId="2" fillId="0" borderId="0" xfId="0" applyNumberFormat="1" applyFont="1" applyBorder="1" applyAlignment="1">
      <alignment horizontal="center" vertical="top"/>
    </xf>
    <xf numFmtId="2" fontId="3" fillId="18" borderId="0" xfId="0" applyNumberFormat="1" applyFont="1" applyFill="1" applyBorder="1" applyAlignment="1">
      <alignment horizontal="center" vertical="top"/>
    </xf>
    <xf numFmtId="2" fontId="3" fillId="14" borderId="0" xfId="0" applyNumberFormat="1" applyFont="1" applyFill="1" applyBorder="1" applyAlignment="1">
      <alignment horizontal="center"/>
    </xf>
    <xf numFmtId="2" fontId="3" fillId="14" borderId="25" xfId="0" applyNumberFormat="1" applyFont="1" applyFill="1" applyBorder="1" applyAlignment="1">
      <alignment horizontal="center"/>
    </xf>
    <xf numFmtId="2" fontId="3" fillId="14" borderId="24" xfId="0" applyNumberFormat="1" applyFont="1" applyFill="1" applyBorder="1" applyAlignment="1">
      <alignment horizontal="center"/>
    </xf>
    <xf numFmtId="0" fontId="10" fillId="15" borderId="9" xfId="0" applyFont="1" applyFill="1" applyBorder="1" applyAlignment="1">
      <alignment horizontal="center" wrapText="1"/>
    </xf>
    <xf numFmtId="0" fontId="3" fillId="18" borderId="25" xfId="0" applyFont="1" applyFill="1" applyBorder="1" applyAlignment="1">
      <alignment horizontal="center" wrapText="1"/>
    </xf>
    <xf numFmtId="0" fontId="3" fillId="18" borderId="10" xfId="0" applyFont="1" applyFill="1" applyBorder="1" applyAlignment="1">
      <alignment horizontal="center" vertical="top" wrapText="1"/>
    </xf>
    <xf numFmtId="0" fontId="3" fillId="18" borderId="1" xfId="0" applyFont="1" applyFill="1" applyBorder="1" applyAlignment="1">
      <alignment horizontal="center" vertical="top" wrapText="1"/>
    </xf>
    <xf numFmtId="169" fontId="3" fillId="18" borderId="1" xfId="3" applyNumberFormat="1" applyFont="1" applyFill="1" applyBorder="1" applyAlignment="1">
      <alignment horizontal="center" vertical="top" wrapText="1"/>
    </xf>
    <xf numFmtId="2" fontId="3" fillId="18" borderId="0" xfId="0" applyNumberFormat="1" applyFont="1" applyFill="1" applyBorder="1" applyAlignment="1">
      <alignment horizontal="center" vertical="top" wrapText="1"/>
    </xf>
    <xf numFmtId="2" fontId="3" fillId="18" borderId="7" xfId="0" applyNumberFormat="1" applyFont="1" applyFill="1" applyBorder="1" applyAlignment="1">
      <alignment horizontal="center" wrapText="1"/>
    </xf>
    <xf numFmtId="2" fontId="3" fillId="18" borderId="8" xfId="0" applyNumberFormat="1" applyFont="1" applyFill="1" applyBorder="1" applyAlignment="1">
      <alignment horizontal="center" wrapText="1"/>
    </xf>
    <xf numFmtId="2" fontId="3" fillId="18" borderId="9" xfId="0" applyNumberFormat="1" applyFont="1" applyFill="1" applyBorder="1" applyAlignment="1">
      <alignment horizontal="center" wrapText="1"/>
    </xf>
    <xf numFmtId="2" fontId="3" fillId="18" borderId="25" xfId="0" applyNumberFormat="1" applyFont="1" applyFill="1" applyBorder="1" applyAlignment="1">
      <alignment horizontal="center" vertical="top" wrapText="1"/>
    </xf>
    <xf numFmtId="2" fontId="3" fillId="18" borderId="24" xfId="0" applyNumberFormat="1" applyFont="1" applyFill="1" applyBorder="1" applyAlignment="1">
      <alignment horizontal="center" vertical="top" wrapText="1"/>
    </xf>
    <xf numFmtId="2" fontId="3" fillId="14" borderId="25" xfId="0" applyNumberFormat="1" applyFont="1" applyFill="1" applyBorder="1" applyAlignment="1">
      <alignment horizontal="center" vertical="center"/>
    </xf>
    <xf numFmtId="2" fontId="3" fillId="14" borderId="0" xfId="0" applyNumberFormat="1" applyFont="1" applyFill="1" applyBorder="1" applyAlignment="1">
      <alignment horizontal="center" vertical="center"/>
    </xf>
    <xf numFmtId="2" fontId="3" fillId="14" borderId="24" xfId="0" applyNumberFormat="1" applyFont="1" applyFill="1" applyBorder="1" applyAlignment="1">
      <alignment horizontal="center" vertical="center"/>
    </xf>
    <xf numFmtId="2" fontId="3" fillId="18" borderId="1" xfId="0" applyNumberFormat="1" applyFont="1" applyFill="1" applyBorder="1" applyAlignment="1">
      <alignment horizontal="center" vertical="top"/>
    </xf>
    <xf numFmtId="169" fontId="46" fillId="0" borderId="0" xfId="3" applyNumberFormat="1" applyFont="1" applyFill="1" applyBorder="1" applyAlignment="1">
      <alignment horizontal="center" vertical="center" wrapText="1"/>
    </xf>
    <xf numFmtId="0" fontId="3" fillId="0" borderId="0" xfId="0" applyFont="1" applyFill="1" applyBorder="1" applyAlignment="1">
      <alignment horizontal="center" wrapText="1"/>
    </xf>
    <xf numFmtId="0" fontId="3" fillId="0" borderId="0" xfId="0" applyFont="1" applyFill="1" applyBorder="1" applyAlignment="1">
      <alignment horizontal="center" vertical="top" wrapText="1"/>
    </xf>
    <xf numFmtId="0" fontId="6" fillId="0" borderId="2" xfId="60" applyFont="1" applyBorder="1" applyAlignment="1">
      <alignment horizontal="center" vertical="center"/>
    </xf>
    <xf numFmtId="1" fontId="0" fillId="0" borderId="2" xfId="0" applyNumberFormat="1" applyBorder="1" applyAlignment="1">
      <alignment horizontal="center"/>
    </xf>
    <xf numFmtId="0" fontId="8" fillId="0" borderId="0" xfId="0" applyFont="1" applyBorder="1" applyAlignment="1">
      <alignment horizontal="center" vertical="center" wrapText="1"/>
    </xf>
    <xf numFmtId="0" fontId="9" fillId="0" borderId="0" xfId="0" applyFont="1" applyBorder="1" applyAlignment="1">
      <alignment horizontal="center"/>
    </xf>
    <xf numFmtId="3" fontId="9" fillId="0" borderId="0" xfId="0" applyNumberFormat="1" applyFont="1" applyBorder="1" applyAlignment="1">
      <alignment horizontal="center"/>
    </xf>
    <xf numFmtId="0" fontId="63" fillId="14" borderId="0" xfId="66" applyFont="1" applyFill="1" applyAlignment="1">
      <alignment vertical="top"/>
    </xf>
    <xf numFmtId="3" fontId="64" fillId="19" borderId="2" xfId="66" applyNumberFormat="1" applyFont="1" applyFill="1" applyBorder="1" applyAlignment="1">
      <alignment vertical="top"/>
    </xf>
    <xf numFmtId="0" fontId="39" fillId="0" borderId="0" xfId="0" applyFont="1" applyFill="1" applyBorder="1" applyAlignment="1">
      <alignment horizontal="center"/>
    </xf>
    <xf numFmtId="0" fontId="39" fillId="0" borderId="0" xfId="0" applyFont="1" applyFill="1" applyBorder="1"/>
    <xf numFmtId="0" fontId="39" fillId="13" borderId="0" xfId="0" applyFont="1" applyFill="1" applyBorder="1"/>
    <xf numFmtId="0" fontId="63" fillId="14" borderId="2" xfId="68" applyFont="1" applyFill="1" applyBorder="1" applyAlignment="1">
      <alignment horizontal="center" vertical="top"/>
    </xf>
    <xf numFmtId="169" fontId="63" fillId="14" borderId="2" xfId="68" applyNumberFormat="1" applyFont="1" applyFill="1" applyBorder="1" applyAlignment="1">
      <alignment horizontal="center" vertical="top"/>
    </xf>
    <xf numFmtId="10" fontId="65" fillId="14" borderId="2" xfId="69" applyNumberFormat="1" applyFont="1" applyFill="1" applyBorder="1" applyAlignment="1" applyProtection="1">
      <alignment horizontal="center" vertical="top"/>
    </xf>
    <xf numFmtId="0" fontId="39" fillId="0" borderId="2" xfId="0" applyFont="1" applyBorder="1"/>
    <xf numFmtId="9" fontId="39" fillId="0" borderId="2" xfId="0" applyNumberFormat="1" applyFont="1" applyBorder="1" applyAlignment="1">
      <alignment horizontal="center"/>
    </xf>
    <xf numFmtId="0" fontId="65" fillId="0" borderId="2" xfId="60" applyFont="1" applyBorder="1" applyAlignment="1">
      <alignment horizontal="center" vertical="center"/>
    </xf>
    <xf numFmtId="0" fontId="39" fillId="26" borderId="2" xfId="0" applyFont="1" applyFill="1" applyBorder="1"/>
    <xf numFmtId="1" fontId="39" fillId="26" borderId="2" xfId="0" applyNumberFormat="1" applyFont="1" applyFill="1" applyBorder="1" applyAlignment="1">
      <alignment horizontal="center"/>
    </xf>
    <xf numFmtId="0" fontId="39" fillId="0" borderId="0" xfId="0" applyFont="1"/>
    <xf numFmtId="0" fontId="65" fillId="0" borderId="0" xfId="60" applyFont="1" applyAlignment="1">
      <alignment horizontal="center" vertical="center"/>
    </xf>
    <xf numFmtId="0" fontId="63" fillId="0" borderId="0" xfId="61" quotePrefix="1" applyFont="1" applyAlignment="1">
      <alignment horizontal="left" vertical="top"/>
    </xf>
    <xf numFmtId="1" fontId="39" fillId="0" borderId="0" xfId="0" applyNumberFormat="1" applyFont="1" applyAlignment="1">
      <alignment horizontal="center"/>
    </xf>
    <xf numFmtId="1" fontId="39" fillId="0" borderId="2" xfId="0" applyNumberFormat="1" applyFont="1" applyBorder="1" applyAlignment="1">
      <alignment horizontal="center"/>
    </xf>
    <xf numFmtId="0" fontId="65" fillId="27" borderId="2" xfId="60" applyFont="1" applyFill="1" applyBorder="1" applyAlignment="1">
      <alignment horizontal="center" vertical="center"/>
    </xf>
    <xf numFmtId="0" fontId="39" fillId="27" borderId="2" xfId="0" applyFont="1" applyFill="1" applyBorder="1"/>
    <xf numFmtId="1" fontId="39" fillId="27" borderId="2" xfId="0" applyNumberFormat="1" applyFont="1" applyFill="1" applyBorder="1" applyAlignment="1">
      <alignment horizontal="center"/>
    </xf>
    <xf numFmtId="3" fontId="39" fillId="0" borderId="2" xfId="0" applyNumberFormat="1" applyFont="1" applyBorder="1" applyAlignment="1">
      <alignment horizontal="center"/>
    </xf>
    <xf numFmtId="0" fontId="39" fillId="27" borderId="0" xfId="0" applyFont="1" applyFill="1"/>
    <xf numFmtId="0" fontId="39" fillId="27" borderId="12" xfId="0" applyFont="1" applyFill="1" applyBorder="1"/>
    <xf numFmtId="9" fontId="39" fillId="0" borderId="0" xfId="3" applyFont="1" applyBorder="1" applyAlignment="1">
      <alignment horizontal="center"/>
    </xf>
    <xf numFmtId="1" fontId="39" fillId="0" borderId="0" xfId="0" applyNumberFormat="1" applyFont="1"/>
    <xf numFmtId="9" fontId="39" fillId="0" borderId="0" xfId="3" applyFont="1"/>
    <xf numFmtId="0" fontId="39" fillId="0" borderId="13" xfId="0" applyFont="1" applyBorder="1"/>
    <xf numFmtId="0" fontId="65" fillId="0" borderId="3" xfId="63" applyFont="1" applyBorder="1" applyAlignment="1">
      <alignment horizontal="center" vertical="top"/>
    </xf>
    <xf numFmtId="0" fontId="65" fillId="0" borderId="13" xfId="63" applyFont="1" applyBorder="1" applyAlignment="1">
      <alignment horizontal="left" vertical="top"/>
    </xf>
    <xf numFmtId="0" fontId="40" fillId="0" borderId="2" xfId="0" applyFont="1" applyBorder="1" applyAlignment="1">
      <alignment horizontal="center"/>
    </xf>
    <xf numFmtId="0" fontId="65" fillId="0" borderId="13" xfId="63" applyFont="1" applyBorder="1" applyAlignment="1">
      <alignment horizontal="center" vertical="top"/>
    </xf>
    <xf numFmtId="0" fontId="65" fillId="0" borderId="0" xfId="64" applyFont="1" applyAlignment="1">
      <alignment horizontal="left" vertical="top"/>
    </xf>
    <xf numFmtId="0" fontId="63" fillId="0" borderId="0" xfId="64" applyFont="1" applyAlignment="1">
      <alignment vertical="top"/>
    </xf>
    <xf numFmtId="0" fontId="39" fillId="0" borderId="2" xfId="0" applyFont="1" applyBorder="1" applyAlignment="1">
      <alignment horizontal="center"/>
    </xf>
    <xf numFmtId="0" fontId="39" fillId="0" borderId="3" xfId="0" applyFont="1" applyBorder="1"/>
    <xf numFmtId="1" fontId="39" fillId="0" borderId="6" xfId="0" applyNumberFormat="1" applyFont="1" applyBorder="1" applyAlignment="1">
      <alignment horizontal="center"/>
    </xf>
    <xf numFmtId="167" fontId="63" fillId="20" borderId="2" xfId="65" applyNumberFormat="1" applyFont="1" applyFill="1" applyBorder="1" applyAlignment="1">
      <alignment horizontal="center" vertical="top"/>
    </xf>
    <xf numFmtId="0" fontId="63" fillId="20" borderId="3" xfId="65" applyFont="1" applyFill="1" applyBorder="1" applyAlignment="1">
      <alignment horizontal="left" vertical="top"/>
    </xf>
    <xf numFmtId="167" fontId="63" fillId="0" borderId="2" xfId="65" applyNumberFormat="1" applyFont="1" applyBorder="1" applyAlignment="1">
      <alignment horizontal="center" vertical="top"/>
    </xf>
    <xf numFmtId="0" fontId="63" fillId="0" borderId="3" xfId="65" applyFont="1" applyBorder="1" applyAlignment="1">
      <alignment horizontal="left" vertical="top"/>
    </xf>
    <xf numFmtId="3" fontId="64" fillId="19" borderId="2" xfId="0" applyNumberFormat="1" applyFont="1" applyFill="1" applyBorder="1" applyAlignment="1">
      <alignment horizontal="center"/>
    </xf>
    <xf numFmtId="1" fontId="39" fillId="19" borderId="6" xfId="0" applyNumberFormat="1" applyFont="1" applyFill="1" applyBorder="1" applyAlignment="1">
      <alignment horizontal="center"/>
    </xf>
    <xf numFmtId="0" fontId="63" fillId="0" borderId="2" xfId="65" quotePrefix="1" applyFont="1" applyBorder="1" applyAlignment="1">
      <alignment horizontal="left" vertical="top"/>
    </xf>
    <xf numFmtId="3" fontId="39" fillId="0" borderId="6" xfId="0" applyNumberFormat="1" applyFont="1" applyBorder="1" applyAlignment="1">
      <alignment horizontal="center"/>
    </xf>
    <xf numFmtId="0" fontId="63" fillId="0" borderId="3" xfId="65" quotePrefix="1" applyFont="1" applyBorder="1" applyAlignment="1">
      <alignment horizontal="left" vertical="top"/>
    </xf>
    <xf numFmtId="0" fontId="39" fillId="0" borderId="6" xfId="0" applyFont="1" applyBorder="1" applyAlignment="1">
      <alignment horizontal="center"/>
    </xf>
    <xf numFmtId="0" fontId="65" fillId="0" borderId="2" xfId="65" quotePrefix="1" applyFont="1" applyBorder="1" applyAlignment="1">
      <alignment horizontal="left" vertical="top"/>
    </xf>
    <xf numFmtId="0" fontId="65" fillId="26" borderId="3" xfId="65" quotePrefix="1" applyFont="1" applyFill="1" applyBorder="1" applyAlignment="1">
      <alignment horizontal="left" vertical="top"/>
    </xf>
    <xf numFmtId="167" fontId="65" fillId="0" borderId="2" xfId="65" applyNumberFormat="1" applyFont="1" applyBorder="1" applyAlignment="1">
      <alignment horizontal="center" vertical="top"/>
    </xf>
    <xf numFmtId="0" fontId="65" fillId="0" borderId="3" xfId="65" applyFont="1" applyBorder="1" applyAlignment="1">
      <alignment horizontal="left" vertical="top"/>
    </xf>
    <xf numFmtId="0" fontId="63" fillId="20" borderId="3" xfId="65" quotePrefix="1" applyFont="1" applyFill="1" applyBorder="1" applyAlignment="1">
      <alignment horizontal="left" vertical="top"/>
    </xf>
    <xf numFmtId="0" fontId="65" fillId="0" borderId="3" xfId="65" quotePrefix="1" applyFont="1" applyBorder="1" applyAlignment="1">
      <alignment horizontal="left" vertical="top"/>
    </xf>
    <xf numFmtId="0" fontId="39" fillId="0" borderId="6" xfId="0" applyFont="1" applyBorder="1"/>
    <xf numFmtId="0" fontId="65" fillId="26" borderId="3" xfId="65" applyFont="1" applyFill="1" applyBorder="1" applyAlignment="1">
      <alignment horizontal="left" vertical="top"/>
    </xf>
    <xf numFmtId="0" fontId="65" fillId="14" borderId="3" xfId="53" applyFont="1" applyFill="1" applyBorder="1" applyAlignment="1">
      <alignment horizontal="left"/>
    </xf>
    <xf numFmtId="0" fontId="65" fillId="14" borderId="6" xfId="53" applyFont="1" applyFill="1" applyBorder="1"/>
    <xf numFmtId="0" fontId="63" fillId="14" borderId="0" xfId="53" applyFont="1" applyFill="1"/>
    <xf numFmtId="0" fontId="65" fillId="14" borderId="0" xfId="53" applyFont="1" applyFill="1" applyAlignment="1">
      <alignment horizontal="left"/>
    </xf>
    <xf numFmtId="0" fontId="65" fillId="14" borderId="11" xfId="53" applyFont="1" applyFill="1" applyBorder="1"/>
    <xf numFmtId="0" fontId="63" fillId="14" borderId="4" xfId="53" applyFont="1" applyFill="1" applyBorder="1"/>
    <xf numFmtId="0" fontId="63" fillId="14" borderId="2" xfId="53" applyFont="1" applyFill="1" applyBorder="1" applyAlignment="1">
      <alignment horizontal="center"/>
    </xf>
    <xf numFmtId="0" fontId="63" fillId="14" borderId="2" xfId="53" applyFont="1" applyFill="1" applyBorder="1"/>
    <xf numFmtId="1" fontId="63" fillId="14" borderId="2" xfId="53" applyNumberFormat="1" applyFont="1" applyFill="1" applyBorder="1" applyAlignment="1">
      <alignment horizontal="center"/>
    </xf>
    <xf numFmtId="9" fontId="63" fillId="14" borderId="2" xfId="53" applyNumberFormat="1" applyFont="1" applyFill="1" applyBorder="1" applyAlignment="1">
      <alignment horizontal="center"/>
    </xf>
    <xf numFmtId="3" fontId="63" fillId="14" borderId="2" xfId="53" applyNumberFormat="1" applyFont="1" applyFill="1" applyBorder="1" applyAlignment="1">
      <alignment horizontal="center"/>
    </xf>
    <xf numFmtId="1" fontId="63" fillId="14" borderId="0" xfId="53" applyNumberFormat="1" applyFont="1" applyFill="1"/>
    <xf numFmtId="0" fontId="63" fillId="20" borderId="2" xfId="53" applyFont="1" applyFill="1" applyBorder="1"/>
    <xf numFmtId="0" fontId="63" fillId="20" borderId="2" xfId="53" quotePrefix="1" applyFont="1" applyFill="1" applyBorder="1" applyAlignment="1">
      <alignment horizontal="center"/>
    </xf>
    <xf numFmtId="0" fontId="63" fillId="20" borderId="2" xfId="53" applyFont="1" applyFill="1" applyBorder="1" applyAlignment="1">
      <alignment horizontal="center"/>
    </xf>
    <xf numFmtId="0" fontId="63" fillId="14" borderId="0" xfId="66" applyFont="1" applyFill="1" applyAlignment="1">
      <alignment horizontal="center" vertical="top"/>
    </xf>
    <xf numFmtId="0" fontId="63" fillId="14" borderId="0" xfId="66" applyFont="1" applyFill="1" applyAlignment="1">
      <alignment horizontal="left" vertical="top"/>
    </xf>
    <xf numFmtId="0" fontId="65" fillId="14" borderId="0" xfId="66" applyFont="1" applyFill="1" applyAlignment="1">
      <alignment horizontal="left" vertical="top"/>
    </xf>
    <xf numFmtId="0" fontId="65" fillId="0" borderId="7" xfId="66" applyFont="1" applyBorder="1" applyAlignment="1">
      <alignment horizontal="center" vertical="top"/>
    </xf>
    <xf numFmtId="0" fontId="65" fillId="0" borderId="8" xfId="66" applyFont="1" applyBorder="1" applyAlignment="1">
      <alignment horizontal="left" vertical="top"/>
    </xf>
    <xf numFmtId="0" fontId="65" fillId="0" borderId="8" xfId="66" applyFont="1" applyBorder="1" applyAlignment="1">
      <alignment horizontal="right" vertical="top"/>
    </xf>
    <xf numFmtId="0" fontId="65" fillId="0" borderId="9" xfId="66" applyFont="1" applyBorder="1" applyAlignment="1">
      <alignment horizontal="right" vertical="top"/>
    </xf>
    <xf numFmtId="0" fontId="65" fillId="0" borderId="10" xfId="66" applyFont="1" applyBorder="1" applyAlignment="1">
      <alignment horizontal="center" vertical="top"/>
    </xf>
    <xf numFmtId="0" fontId="65" fillId="0" borderId="1" xfId="66" applyFont="1" applyBorder="1" applyAlignment="1">
      <alignment horizontal="left" vertical="top"/>
    </xf>
    <xf numFmtId="0" fontId="65" fillId="0" borderId="1" xfId="66" applyFont="1" applyBorder="1" applyAlignment="1">
      <alignment vertical="top"/>
    </xf>
    <xf numFmtId="0" fontId="65" fillId="0" borderId="11" xfId="66" applyFont="1" applyBorder="1" applyAlignment="1">
      <alignment vertical="top"/>
    </xf>
    <xf numFmtId="167" fontId="63" fillId="0" borderId="25" xfId="66" applyNumberFormat="1" applyFont="1" applyBorder="1" applyAlignment="1">
      <alignment horizontal="center" vertical="top"/>
    </xf>
    <xf numFmtId="0" fontId="63" fillId="0" borderId="0" xfId="66" applyFont="1" applyAlignment="1">
      <alignment horizontal="left" vertical="top"/>
    </xf>
    <xf numFmtId="3" fontId="63" fillId="0" borderId="0" xfId="66" applyNumberFormat="1" applyFont="1" applyAlignment="1">
      <alignment vertical="top"/>
    </xf>
    <xf numFmtId="3" fontId="63" fillId="0" borderId="24" xfId="66" applyNumberFormat="1" applyFont="1" applyBorder="1" applyAlignment="1">
      <alignment vertical="top"/>
    </xf>
    <xf numFmtId="0" fontId="63" fillId="0" borderId="0" xfId="66" quotePrefix="1" applyFont="1" applyAlignment="1">
      <alignment horizontal="left" vertical="top"/>
    </xf>
    <xf numFmtId="3" fontId="63" fillId="0" borderId="0" xfId="66" applyNumberFormat="1" applyFont="1" applyAlignment="1">
      <alignment horizontal="right" vertical="top"/>
    </xf>
    <xf numFmtId="172" fontId="63" fillId="0" borderId="0" xfId="66" applyNumberFormat="1" applyFont="1" applyAlignment="1">
      <alignment vertical="top"/>
    </xf>
    <xf numFmtId="3" fontId="65" fillId="0" borderId="0" xfId="66" applyNumberFormat="1" applyFont="1" applyAlignment="1">
      <alignment vertical="top"/>
    </xf>
    <xf numFmtId="1" fontId="63" fillId="0" borderId="0" xfId="66" applyNumberFormat="1" applyFont="1" applyAlignment="1">
      <alignment vertical="top"/>
    </xf>
    <xf numFmtId="167" fontId="65" fillId="0" borderId="10" xfId="66" applyNumberFormat="1" applyFont="1" applyBorder="1" applyAlignment="1">
      <alignment horizontal="center" vertical="top"/>
    </xf>
    <xf numFmtId="3" fontId="65" fillId="0" borderId="1" xfId="66" applyNumberFormat="1" applyFont="1" applyBorder="1" applyAlignment="1">
      <alignment vertical="top"/>
    </xf>
    <xf numFmtId="0" fontId="63" fillId="0" borderId="0" xfId="66" applyFont="1"/>
    <xf numFmtId="0" fontId="63" fillId="0" borderId="0" xfId="66" applyFont="1" applyAlignment="1">
      <alignment horizontal="center" vertical="top"/>
    </xf>
    <xf numFmtId="0" fontId="63" fillId="19" borderId="2" xfId="66" applyFont="1" applyFill="1" applyBorder="1" applyAlignment="1">
      <alignment horizontal="left" vertical="top"/>
    </xf>
    <xf numFmtId="3" fontId="63" fillId="19" borderId="2" xfId="66" applyNumberFormat="1" applyFont="1" applyFill="1" applyBorder="1" applyAlignment="1">
      <alignment vertical="top"/>
    </xf>
    <xf numFmtId="3" fontId="39" fillId="0" borderId="0" xfId="0" applyNumberFormat="1" applyFont="1"/>
    <xf numFmtId="0" fontId="63" fillId="0" borderId="0" xfId="66" applyFont="1" applyAlignment="1">
      <alignment vertical="top"/>
    </xf>
    <xf numFmtId="0" fontId="63" fillId="14" borderId="0" xfId="67" applyFont="1" applyFill="1" applyAlignment="1">
      <alignment horizontal="center" vertical="top"/>
    </xf>
    <xf numFmtId="0" fontId="63" fillId="14" borderId="0" xfId="67" applyFont="1" applyFill="1" applyAlignment="1">
      <alignment horizontal="left" vertical="top"/>
    </xf>
    <xf numFmtId="0" fontId="63" fillId="14" borderId="0" xfId="67" applyFont="1" applyFill="1" applyAlignment="1">
      <alignment vertical="top"/>
    </xf>
    <xf numFmtId="0" fontId="63" fillId="14" borderId="0" xfId="67" applyFont="1" applyFill="1" applyAlignment="1">
      <alignment horizontal="right" vertical="top"/>
    </xf>
    <xf numFmtId="0" fontId="63" fillId="14" borderId="2" xfId="67" applyFont="1" applyFill="1" applyBorder="1" applyAlignment="1">
      <alignment horizontal="center" vertical="top"/>
    </xf>
    <xf numFmtId="0" fontId="63" fillId="14" borderId="2" xfId="67" applyFont="1" applyFill="1" applyBorder="1" applyAlignment="1">
      <alignment horizontal="left" vertical="top"/>
    </xf>
    <xf numFmtId="0" fontId="63" fillId="14" borderId="2" xfId="67" applyFont="1" applyFill="1" applyBorder="1" applyAlignment="1">
      <alignment horizontal="right" vertical="top"/>
    </xf>
    <xf numFmtId="0" fontId="63" fillId="14" borderId="2" xfId="67" applyFont="1" applyFill="1" applyBorder="1" applyAlignment="1">
      <alignment vertical="top"/>
    </xf>
    <xf numFmtId="0" fontId="63" fillId="14" borderId="0" xfId="67" quotePrefix="1" applyFont="1" applyFill="1" applyAlignment="1">
      <alignment horizontal="center" vertical="top"/>
    </xf>
    <xf numFmtId="0" fontId="63" fillId="14" borderId="0" xfId="67" quotePrefix="1" applyFont="1" applyFill="1" applyAlignment="1">
      <alignment horizontal="left" vertical="top"/>
    </xf>
    <xf numFmtId="0" fontId="63" fillId="14" borderId="0" xfId="67" quotePrefix="1" applyFont="1" applyFill="1" applyAlignment="1">
      <alignment horizontal="centerContinuous" vertical="top"/>
    </xf>
    <xf numFmtId="0" fontId="63" fillId="14" borderId="0" xfId="67" quotePrefix="1" applyFont="1" applyFill="1" applyAlignment="1">
      <alignment horizontal="right" vertical="top"/>
    </xf>
    <xf numFmtId="172" fontId="63" fillId="14" borderId="2" xfId="67" quotePrefix="1" applyNumberFormat="1" applyFont="1" applyFill="1" applyBorder="1" applyAlignment="1">
      <alignment vertical="top"/>
    </xf>
    <xf numFmtId="9" fontId="63" fillId="14" borderId="2" xfId="67" applyNumberFormat="1" applyFont="1" applyFill="1" applyBorder="1" applyAlignment="1">
      <alignment vertical="top"/>
    </xf>
    <xf numFmtId="43" fontId="63" fillId="14" borderId="2" xfId="43" applyFont="1" applyFill="1" applyBorder="1" applyAlignment="1" applyProtection="1">
      <alignment horizontal="center" vertical="top"/>
    </xf>
    <xf numFmtId="43" fontId="63" fillId="14" borderId="2" xfId="43" applyFont="1" applyFill="1" applyBorder="1" applyAlignment="1" applyProtection="1">
      <alignment horizontal="right" vertical="top"/>
    </xf>
    <xf numFmtId="9" fontId="63" fillId="14" borderId="2" xfId="67" applyNumberFormat="1" applyFont="1" applyFill="1" applyBorder="1" applyAlignment="1">
      <alignment vertical="center"/>
    </xf>
    <xf numFmtId="1" fontId="63" fillId="14" borderId="2" xfId="67" applyNumberFormat="1" applyFont="1" applyFill="1" applyBorder="1" applyAlignment="1">
      <alignment horizontal="center" vertical="top"/>
    </xf>
    <xf numFmtId="172" fontId="63" fillId="14" borderId="2" xfId="67" applyNumberFormat="1" applyFont="1" applyFill="1" applyBorder="1" applyAlignment="1">
      <alignment horizontal="left" vertical="center"/>
    </xf>
    <xf numFmtId="1" fontId="65" fillId="14" borderId="2" xfId="67" applyNumberFormat="1" applyFont="1" applyFill="1" applyBorder="1" applyAlignment="1">
      <alignment horizontal="right" vertical="top"/>
    </xf>
    <xf numFmtId="2" fontId="39" fillId="0" borderId="0" xfId="0" applyNumberFormat="1" applyFont="1" applyFill="1" applyBorder="1" applyAlignment="1">
      <alignment horizontal="center"/>
    </xf>
    <xf numFmtId="2" fontId="66" fillId="0" borderId="0" xfId="0" applyNumberFormat="1" applyFont="1" applyFill="1" applyBorder="1" applyAlignment="1">
      <alignment horizontal="center" vertical="center" wrapText="1"/>
    </xf>
    <xf numFmtId="0" fontId="39" fillId="0" borderId="2" xfId="0" applyFont="1" applyBorder="1" applyAlignment="1">
      <alignment horizontal="left"/>
    </xf>
    <xf numFmtId="169" fontId="40" fillId="19" borderId="2" xfId="0" applyNumberFormat="1" applyFont="1" applyFill="1" applyBorder="1" applyAlignment="1" applyProtection="1">
      <alignment horizontal="center"/>
      <protection locked="0"/>
    </xf>
    <xf numFmtId="0" fontId="64" fillId="0" borderId="0" xfId="0" applyFont="1" applyFill="1" applyBorder="1"/>
    <xf numFmtId="2" fontId="67" fillId="0" borderId="0" xfId="0" applyNumberFormat="1" applyFont="1" applyFill="1" applyBorder="1" applyAlignment="1">
      <alignment horizontal="center" vertical="center" wrapText="1"/>
    </xf>
    <xf numFmtId="0" fontId="39" fillId="0" borderId="8" xfId="0" applyFont="1" applyFill="1" applyBorder="1"/>
    <xf numFmtId="1" fontId="39" fillId="0" borderId="8" xfId="0" applyNumberFormat="1" applyFont="1" applyFill="1" applyBorder="1" applyAlignment="1">
      <alignment horizontal="center"/>
    </xf>
    <xf numFmtId="1" fontId="39" fillId="0" borderId="0" xfId="0" applyNumberFormat="1" applyFont="1" applyFill="1" applyBorder="1" applyAlignment="1">
      <alignment horizontal="center"/>
    </xf>
    <xf numFmtId="0" fontId="39" fillId="0" borderId="1" xfId="0" applyFont="1" applyFill="1" applyBorder="1"/>
    <xf numFmtId="1" fontId="39" fillId="0" borderId="1" xfId="0" applyNumberFormat="1" applyFont="1" applyFill="1" applyBorder="1" applyAlignment="1">
      <alignment horizontal="center"/>
    </xf>
    <xf numFmtId="0" fontId="39" fillId="13" borderId="0" xfId="0" applyFont="1" applyFill="1" applyBorder="1" applyAlignment="1">
      <alignment horizontal="center"/>
    </xf>
    <xf numFmtId="0" fontId="64" fillId="13" borderId="0" xfId="0" applyFont="1" applyFill="1" applyBorder="1"/>
    <xf numFmtId="2" fontId="39" fillId="13" borderId="0" xfId="0" applyNumberFormat="1" applyFont="1" applyFill="1" applyBorder="1" applyAlignment="1">
      <alignment horizontal="center"/>
    </xf>
    <xf numFmtId="2" fontId="67" fillId="13" borderId="0" xfId="0" applyNumberFormat="1" applyFont="1" applyFill="1" applyBorder="1" applyAlignment="1">
      <alignment horizontal="center" vertical="center"/>
    </xf>
    <xf numFmtId="2" fontId="66" fillId="13" borderId="0" xfId="0" applyNumberFormat="1" applyFont="1" applyFill="1" applyBorder="1" applyAlignment="1">
      <alignment horizontal="center" vertical="center"/>
    </xf>
    <xf numFmtId="3" fontId="2" fillId="28"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70" applyNumberFormat="1" applyFont="1" applyFill="1" applyBorder="1" applyAlignment="1">
      <alignment horizontal="center"/>
    </xf>
    <xf numFmtId="4" fontId="9" fillId="0" borderId="0" xfId="0" applyNumberFormat="1" applyFont="1" applyBorder="1" applyAlignment="1">
      <alignment horizontal="center"/>
    </xf>
    <xf numFmtId="0" fontId="6" fillId="14" borderId="0" xfId="71" applyFont="1" applyFill="1"/>
    <xf numFmtId="10" fontId="3" fillId="20" borderId="2" xfId="71" applyNumberFormat="1" applyFont="1" applyFill="1" applyBorder="1" applyAlignment="1">
      <alignment horizontal="center"/>
    </xf>
    <xf numFmtId="0" fontId="3" fillId="20" borderId="2" xfId="71" applyFont="1" applyFill="1" applyBorder="1"/>
    <xf numFmtId="173" fontId="3" fillId="14" borderId="2" xfId="71" applyNumberFormat="1" applyFont="1" applyFill="1" applyBorder="1" applyAlignment="1">
      <alignment horizontal="center"/>
    </xf>
    <xf numFmtId="0" fontId="3" fillId="14" borderId="2" xfId="71" applyFont="1" applyFill="1" applyBorder="1"/>
    <xf numFmtId="0" fontId="3" fillId="14" borderId="2" xfId="71" applyFont="1" applyFill="1" applyBorder="1" applyAlignment="1">
      <alignment horizontal="center"/>
    </xf>
    <xf numFmtId="173" fontId="3" fillId="14" borderId="2" xfId="71" applyNumberFormat="1" applyFont="1" applyFill="1" applyBorder="1"/>
    <xf numFmtId="0" fontId="3" fillId="14" borderId="5" xfId="71" applyFont="1" applyFill="1" applyBorder="1" applyAlignment="1">
      <alignment horizontal="center"/>
    </xf>
    <xf numFmtId="0" fontId="3" fillId="0" borderId="2" xfId="71" applyFont="1" applyBorder="1"/>
    <xf numFmtId="0" fontId="6" fillId="20" borderId="5" xfId="71" applyFont="1" applyFill="1" applyBorder="1" applyAlignment="1">
      <alignment horizontal="center"/>
    </xf>
    <xf numFmtId="3" fontId="3" fillId="14" borderId="0" xfId="71" applyNumberFormat="1" applyFont="1" applyFill="1"/>
    <xf numFmtId="174" fontId="3" fillId="14" borderId="0" xfId="71" applyNumberFormat="1" applyFont="1" applyFill="1"/>
    <xf numFmtId="3" fontId="3" fillId="19" borderId="2" xfId="71" applyNumberFormat="1" applyFont="1" applyFill="1" applyBorder="1" applyAlignment="1">
      <alignment horizontal="center"/>
    </xf>
    <xf numFmtId="3" fontId="3" fillId="14" borderId="2" xfId="71" applyNumberFormat="1" applyFont="1" applyFill="1" applyBorder="1" applyAlignment="1">
      <alignment horizontal="center"/>
    </xf>
    <xf numFmtId="3" fontId="3" fillId="22" borderId="2" xfId="71" applyNumberFormat="1" applyFont="1" applyFill="1" applyBorder="1" applyAlignment="1">
      <alignment horizontal="center"/>
    </xf>
    <xf numFmtId="0" fontId="3" fillId="26" borderId="2" xfId="71" applyFont="1" applyFill="1" applyBorder="1"/>
    <xf numFmtId="3" fontId="3" fillId="14" borderId="2" xfId="71" applyNumberFormat="1" applyFont="1" applyFill="1" applyBorder="1"/>
    <xf numFmtId="0" fontId="3" fillId="14" borderId="12" xfId="71" applyFont="1" applyFill="1" applyBorder="1"/>
    <xf numFmtId="0" fontId="3" fillId="14" borderId="12" xfId="71" applyFont="1" applyFill="1" applyBorder="1" applyAlignment="1">
      <alignment horizontal="center"/>
    </xf>
    <xf numFmtId="10" fontId="3" fillId="19" borderId="2" xfId="71" applyNumberFormat="1" applyFont="1" applyFill="1" applyBorder="1" applyAlignment="1">
      <alignment horizontal="center"/>
    </xf>
    <xf numFmtId="4" fontId="3" fillId="14" borderId="2" xfId="71" applyNumberFormat="1" applyFont="1" applyFill="1" applyBorder="1" applyAlignment="1">
      <alignment horizontal="center"/>
    </xf>
    <xf numFmtId="4" fontId="3" fillId="19" borderId="2" xfId="71" applyNumberFormat="1" applyFont="1" applyFill="1" applyBorder="1" applyAlignment="1">
      <alignment horizontal="center"/>
    </xf>
    <xf numFmtId="0" fontId="10" fillId="15" borderId="3" xfId="0" applyFont="1" applyFill="1" applyBorder="1" applyAlignment="1">
      <alignment horizontal="center" vertical="center"/>
    </xf>
    <xf numFmtId="0" fontId="10" fillId="15" borderId="13" xfId="0" applyFont="1" applyFill="1" applyBorder="1" applyAlignment="1">
      <alignment horizontal="center" vertical="center"/>
    </xf>
    <xf numFmtId="0" fontId="2" fillId="0" borderId="0" xfId="0" applyFont="1" applyBorder="1"/>
    <xf numFmtId="9" fontId="2" fillId="0" borderId="0" xfId="0" applyNumberFormat="1" applyFont="1" applyBorder="1" applyAlignment="1">
      <alignment horizontal="center"/>
    </xf>
    <xf numFmtId="3" fontId="3" fillId="0" borderId="0" xfId="70" applyNumberFormat="1" applyFont="1" applyBorder="1" applyAlignment="1">
      <alignment horizontal="center" vertical="top"/>
    </xf>
    <xf numFmtId="10" fontId="2" fillId="0" borderId="2" xfId="3" applyNumberFormat="1" applyFont="1" applyBorder="1" applyAlignment="1">
      <alignment horizontal="center"/>
    </xf>
    <xf numFmtId="1" fontId="10" fillId="15" borderId="13" xfId="0" applyNumberFormat="1" applyFont="1" applyFill="1" applyBorder="1" applyAlignment="1">
      <alignment horizontal="center" vertical="center"/>
    </xf>
    <xf numFmtId="1" fontId="42" fillId="15" borderId="2" xfId="0" applyNumberFormat="1" applyFont="1" applyFill="1" applyBorder="1" applyAlignment="1">
      <alignment horizontal="center"/>
    </xf>
    <xf numFmtId="9" fontId="10" fillId="15" borderId="13" xfId="3" applyFont="1" applyFill="1" applyBorder="1" applyAlignment="1">
      <alignment horizontal="center" vertical="center"/>
    </xf>
    <xf numFmtId="1" fontId="10" fillId="15" borderId="3" xfId="0" applyNumberFormat="1" applyFont="1" applyFill="1" applyBorder="1" applyAlignment="1">
      <alignment horizontal="center" vertical="center"/>
    </xf>
    <xf numFmtId="10" fontId="2" fillId="0" borderId="2" xfId="0" applyNumberFormat="1" applyFont="1" applyFill="1" applyBorder="1" applyAlignment="1">
      <alignment horizontal="center"/>
    </xf>
    <xf numFmtId="1" fontId="2" fillId="0" borderId="2" xfId="0" applyNumberFormat="1" applyFont="1" applyFill="1" applyBorder="1" applyAlignment="1">
      <alignment horizontal="center"/>
    </xf>
    <xf numFmtId="0" fontId="68" fillId="15" borderId="2" xfId="68" applyFont="1" applyFill="1" applyBorder="1" applyAlignment="1">
      <alignment horizontal="center" vertical="top"/>
    </xf>
    <xf numFmtId="0" fontId="2" fillId="0" borderId="0" xfId="0" applyFont="1" applyFill="1" applyBorder="1" applyAlignment="1">
      <alignment horizontal="center" vertical="center"/>
    </xf>
    <xf numFmtId="0" fontId="3" fillId="0" borderId="25" xfId="0" applyFont="1" applyFill="1" applyBorder="1" applyAlignment="1">
      <alignment horizontal="center" wrapText="1"/>
    </xf>
    <xf numFmtId="0" fontId="3" fillId="0" borderId="25" xfId="0" applyFont="1" applyFill="1" applyBorder="1" applyAlignment="1">
      <alignment horizontal="center" vertical="top" wrapText="1"/>
    </xf>
    <xf numFmtId="2" fontId="3" fillId="18" borderId="10" xfId="0" applyNumberFormat="1" applyFont="1" applyFill="1" applyBorder="1" applyAlignment="1">
      <alignment horizontal="center" vertical="top"/>
    </xf>
    <xf numFmtId="2" fontId="3" fillId="18" borderId="11" xfId="0" applyNumberFormat="1" applyFont="1" applyFill="1" applyBorder="1" applyAlignment="1">
      <alignment horizontal="center" vertical="top"/>
    </xf>
    <xf numFmtId="0" fontId="0" fillId="0" borderId="0" xfId="0" applyFill="1"/>
    <xf numFmtId="1" fontId="9" fillId="0" borderId="0" xfId="0" applyNumberFormat="1" applyFont="1" applyBorder="1" applyAlignment="1">
      <alignment horizontal="center"/>
    </xf>
    <xf numFmtId="0" fontId="3" fillId="0" borderId="0" xfId="0" applyFont="1" applyFill="1" applyBorder="1" applyAlignment="1">
      <alignment horizontal="center" vertical="center"/>
    </xf>
    <xf numFmtId="166" fontId="0" fillId="0" borderId="0" xfId="0" applyNumberFormat="1"/>
    <xf numFmtId="0" fontId="53" fillId="0" borderId="8" xfId="0" applyFont="1" applyFill="1" applyBorder="1" applyAlignment="1">
      <alignment horizontal="center"/>
    </xf>
    <xf numFmtId="1" fontId="3" fillId="0" borderId="8" xfId="1" applyNumberFormat="1" applyFont="1" applyFill="1" applyBorder="1" applyAlignment="1">
      <alignment horizontal="center" vertical="center"/>
    </xf>
    <xf numFmtId="1" fontId="3" fillId="0" borderId="1" xfId="46" applyNumberFormat="1" applyFont="1" applyFill="1" applyBorder="1" applyAlignment="1">
      <alignment horizontal="center" vertical="center"/>
    </xf>
    <xf numFmtId="1" fontId="2" fillId="0" borderId="13" xfId="0" applyNumberFormat="1" applyFont="1" applyFill="1" applyBorder="1" applyAlignment="1">
      <alignment horizontal="center" vertical="center"/>
    </xf>
    <xf numFmtId="1" fontId="3" fillId="0" borderId="13" xfId="1" applyNumberFormat="1" applyFont="1" applyFill="1" applyBorder="1" applyAlignment="1">
      <alignment horizontal="center" vertical="center"/>
    </xf>
    <xf numFmtId="4" fontId="3" fillId="0" borderId="0" xfId="0" applyNumberFormat="1" applyFont="1" applyFill="1" applyBorder="1" applyAlignment="1">
      <alignment horizontal="center" vertical="center"/>
    </xf>
    <xf numFmtId="3" fontId="3" fillId="0" borderId="0" xfId="0" applyNumberFormat="1" applyFont="1" applyFill="1" applyBorder="1" applyAlignment="1" applyProtection="1">
      <alignment horizontal="center" vertical="center"/>
      <protection locked="0"/>
    </xf>
    <xf numFmtId="10" fontId="3" fillId="0" borderId="8" xfId="0" applyNumberFormat="1" applyFont="1" applyFill="1" applyBorder="1" applyAlignment="1">
      <alignment horizontal="center"/>
    </xf>
    <xf numFmtId="9" fontId="10" fillId="15" borderId="1" xfId="3" applyFont="1" applyFill="1" applyBorder="1" applyAlignment="1">
      <alignment horizontal="center" vertical="center"/>
    </xf>
    <xf numFmtId="1" fontId="10" fillId="15" borderId="1" xfId="0" applyNumberFormat="1" applyFont="1" applyFill="1" applyBorder="1" applyAlignment="1">
      <alignment horizontal="center" vertical="center"/>
    </xf>
    <xf numFmtId="3" fontId="10" fillId="15" borderId="1" xfId="0" applyNumberFormat="1" applyFont="1" applyFill="1" applyBorder="1" applyAlignment="1">
      <alignment horizontal="center" vertical="center"/>
    </xf>
    <xf numFmtId="167" fontId="65" fillId="19" borderId="2" xfId="0" applyNumberFormat="1" applyFont="1" applyFill="1" applyBorder="1" applyAlignment="1" applyProtection="1">
      <alignment horizontal="center"/>
      <protection locked="0"/>
    </xf>
    <xf numFmtId="0" fontId="50" fillId="13" borderId="0" xfId="0" applyFont="1" applyFill="1"/>
    <xf numFmtId="0" fontId="10" fillId="15" borderId="2" xfId="0" applyFont="1" applyFill="1" applyBorder="1" applyAlignment="1">
      <alignment horizontal="center"/>
    </xf>
    <xf numFmtId="0" fontId="2" fillId="0" borderId="2" xfId="0" applyFont="1" applyBorder="1" applyAlignment="1">
      <alignment horizontal="left"/>
    </xf>
    <xf numFmtId="0" fontId="10" fillId="15" borderId="2" xfId="0" applyFont="1" applyFill="1" applyBorder="1" applyAlignment="1">
      <alignment horizontal="left"/>
    </xf>
    <xf numFmtId="1" fontId="10" fillId="15" borderId="2" xfId="0" applyNumberFormat="1" applyFont="1" applyFill="1" applyBorder="1" applyAlignment="1">
      <alignment horizontal="center"/>
    </xf>
    <xf numFmtId="0" fontId="2" fillId="13" borderId="0" xfId="0" applyFont="1" applyFill="1"/>
    <xf numFmtId="0" fontId="3" fillId="0" borderId="0" xfId="71" applyFont="1"/>
    <xf numFmtId="10" fontId="2" fillId="0" borderId="0" xfId="0" applyNumberFormat="1" applyFont="1"/>
    <xf numFmtId="0" fontId="2" fillId="0" borderId="2" xfId="0" applyFont="1" applyBorder="1"/>
    <xf numFmtId="3" fontId="2" fillId="0" borderId="2" xfId="0" applyNumberFormat="1" applyFont="1" applyBorder="1" applyAlignment="1">
      <alignment horizontal="center"/>
    </xf>
    <xf numFmtId="173" fontId="9" fillId="0" borderId="0" xfId="0" applyNumberFormat="1" applyFont="1"/>
    <xf numFmtId="3" fontId="2" fillId="0" borderId="2" xfId="0" applyNumberFormat="1" applyFont="1" applyBorder="1"/>
    <xf numFmtId="1" fontId="2" fillId="0" borderId="2" xfId="0" applyNumberFormat="1" applyFont="1" applyBorder="1"/>
    <xf numFmtId="10" fontId="2" fillId="0" borderId="2" xfId="0" applyNumberFormat="1" applyFont="1" applyBorder="1"/>
    <xf numFmtId="9" fontId="2" fillId="0" borderId="2" xfId="0" applyNumberFormat="1" applyFont="1" applyBorder="1"/>
    <xf numFmtId="0" fontId="2" fillId="26" borderId="2" xfId="0" applyFont="1" applyFill="1" applyBorder="1"/>
    <xf numFmtId="1" fontId="2" fillId="26" borderId="2" xfId="0" applyNumberFormat="1" applyFont="1" applyFill="1" applyBorder="1"/>
    <xf numFmtId="3" fontId="2" fillId="26" borderId="2" xfId="0" applyNumberFormat="1" applyFont="1" applyFill="1" applyBorder="1"/>
    <xf numFmtId="43" fontId="2" fillId="26" borderId="2" xfId="43" applyFont="1" applyFill="1" applyBorder="1"/>
    <xf numFmtId="0" fontId="42" fillId="29" borderId="2" xfId="0" applyFont="1" applyFill="1" applyBorder="1"/>
    <xf numFmtId="0" fontId="2" fillId="26" borderId="0" xfId="0" applyFont="1" applyFill="1"/>
    <xf numFmtId="0" fontId="9" fillId="0" borderId="0" xfId="0" applyFont="1"/>
    <xf numFmtId="0" fontId="2" fillId="26" borderId="2" xfId="0" applyFont="1" applyFill="1" applyBorder="1" applyAlignment="1">
      <alignment wrapText="1"/>
    </xf>
    <xf numFmtId="0" fontId="6" fillId="20" borderId="2" xfId="56" quotePrefix="1" applyFont="1" applyFill="1" applyBorder="1" applyAlignment="1">
      <alignment horizontal="left" vertical="top"/>
    </xf>
    <xf numFmtId="0" fontId="6" fillId="20" borderId="2" xfId="56" quotePrefix="1" applyFont="1" applyFill="1" applyBorder="1" applyAlignment="1">
      <alignment horizontal="right" vertical="top"/>
    </xf>
    <xf numFmtId="0" fontId="3" fillId="14" borderId="2" xfId="56" applyFont="1" applyFill="1" applyBorder="1" applyAlignment="1">
      <alignment horizontal="left" vertical="top"/>
    </xf>
    <xf numFmtId="0" fontId="3" fillId="14" borderId="2" xfId="56" applyFont="1" applyFill="1" applyBorder="1" applyAlignment="1">
      <alignment horizontal="right" vertical="top"/>
    </xf>
    <xf numFmtId="1" fontId="3" fillId="22" borderId="2" xfId="56" applyNumberFormat="1" applyFont="1" applyFill="1" applyBorder="1" applyAlignment="1">
      <alignment horizontal="right" vertical="top"/>
    </xf>
    <xf numFmtId="0" fontId="6" fillId="23" borderId="2" xfId="57" quotePrefix="1" applyFont="1" applyFill="1" applyBorder="1" applyAlignment="1">
      <alignment horizontal="left" vertical="top"/>
    </xf>
    <xf numFmtId="0" fontId="6" fillId="23" borderId="2" xfId="57" quotePrefix="1" applyFont="1" applyFill="1" applyBorder="1" applyAlignment="1">
      <alignment horizontal="right" vertical="top"/>
    </xf>
    <xf numFmtId="0" fontId="3" fillId="14" borderId="2" xfId="57" applyFont="1" applyFill="1" applyBorder="1" applyAlignment="1">
      <alignment horizontal="left" vertical="top"/>
    </xf>
    <xf numFmtId="0" fontId="3" fillId="14" borderId="2" xfId="57" applyFont="1" applyFill="1" applyBorder="1" applyAlignment="1">
      <alignment horizontal="right" vertical="top"/>
    </xf>
    <xf numFmtId="1" fontId="3" fillId="22" borderId="2" xfId="57" applyNumberFormat="1" applyFont="1" applyFill="1" applyBorder="1" applyAlignment="1">
      <alignment horizontal="right" vertical="top"/>
    </xf>
    <xf numFmtId="0" fontId="3" fillId="14" borderId="6" xfId="57" applyFont="1" applyFill="1" applyBorder="1" applyAlignment="1">
      <alignment horizontal="right" vertical="top"/>
    </xf>
    <xf numFmtId="1" fontId="3" fillId="0" borderId="6" xfId="57" applyNumberFormat="1" applyFont="1" applyBorder="1" applyAlignment="1">
      <alignment horizontal="right" vertical="top"/>
    </xf>
    <xf numFmtId="0" fontId="6" fillId="20" borderId="2" xfId="58" applyFont="1" applyFill="1" applyBorder="1" applyAlignment="1">
      <alignment horizontal="left" vertical="top"/>
    </xf>
    <xf numFmtId="0" fontId="6" fillId="20" borderId="2" xfId="58" applyFont="1" applyFill="1" applyBorder="1" applyAlignment="1">
      <alignment horizontal="right" vertical="top"/>
    </xf>
    <xf numFmtId="0" fontId="3" fillId="0" borderId="2" xfId="58" applyFont="1" applyBorder="1" applyAlignment="1">
      <alignment horizontal="right" vertical="top"/>
    </xf>
    <xf numFmtId="0" fontId="3" fillId="0" borderId="4" xfId="58" applyFont="1" applyBorder="1" applyAlignment="1">
      <alignment horizontal="left" vertical="top"/>
    </xf>
    <xf numFmtId="0" fontId="3" fillId="0" borderId="4" xfId="58" applyFont="1" applyBorder="1" applyAlignment="1">
      <alignment horizontal="right" vertical="top"/>
    </xf>
    <xf numFmtId="0" fontId="3" fillId="0" borderId="0" xfId="59" applyFont="1"/>
    <xf numFmtId="0" fontId="2" fillId="19" borderId="2" xfId="0" applyFont="1" applyFill="1" applyBorder="1"/>
    <xf numFmtId="0" fontId="2" fillId="19" borderId="2" xfId="0" applyFont="1" applyFill="1" applyBorder="1" applyAlignment="1">
      <alignment horizontal="right"/>
    </xf>
    <xf numFmtId="0" fontId="2" fillId="0" borderId="0" xfId="0" applyFont="1" applyAlignment="1">
      <alignment horizontal="right"/>
    </xf>
    <xf numFmtId="0" fontId="2" fillId="0" borderId="2" xfId="0" applyFont="1" applyBorder="1" applyAlignment="1">
      <alignment horizontal="right"/>
    </xf>
    <xf numFmtId="0" fontId="3" fillId="14" borderId="0" xfId="59" applyFont="1" applyFill="1" applyAlignment="1">
      <alignment vertical="top"/>
    </xf>
    <xf numFmtId="0" fontId="3" fillId="0" borderId="0" xfId="59" applyFont="1" applyAlignment="1">
      <alignment vertical="top"/>
    </xf>
    <xf numFmtId="3" fontId="3" fillId="0" borderId="0" xfId="59" applyNumberFormat="1" applyFont="1" applyAlignment="1">
      <alignment vertical="top"/>
    </xf>
    <xf numFmtId="3" fontId="3" fillId="24" borderId="0" xfId="59" applyNumberFormat="1" applyFont="1" applyFill="1" applyAlignment="1">
      <alignment horizontal="right" vertical="top"/>
    </xf>
    <xf numFmtId="3" fontId="3" fillId="24" borderId="0" xfId="59" applyNumberFormat="1" applyFont="1" applyFill="1" applyAlignment="1">
      <alignment vertical="top"/>
    </xf>
    <xf numFmtId="3" fontId="3" fillId="0" borderId="13" xfId="59" applyNumberFormat="1" applyFont="1" applyBorder="1" applyAlignment="1">
      <alignment vertical="top"/>
    </xf>
    <xf numFmtId="3" fontId="3" fillId="20" borderId="0" xfId="59" applyNumberFormat="1" applyFont="1" applyFill="1" applyAlignment="1">
      <alignment vertical="top"/>
    </xf>
    <xf numFmtId="3" fontId="3" fillId="0" borderId="1" xfId="59" applyNumberFormat="1" applyFont="1" applyBorder="1" applyAlignment="1">
      <alignment vertical="top"/>
    </xf>
    <xf numFmtId="169" fontId="3" fillId="14" borderId="0" xfId="59" applyNumberFormat="1" applyFont="1" applyFill="1" applyAlignment="1">
      <alignment vertical="top"/>
    </xf>
    <xf numFmtId="1" fontId="3" fillId="14" borderId="2" xfId="59" applyNumberFormat="1" applyFont="1" applyFill="1" applyBorder="1" applyAlignment="1">
      <alignment vertical="top"/>
    </xf>
    <xf numFmtId="3" fontId="2" fillId="0" borderId="0" xfId="0" applyNumberFormat="1" applyFont="1"/>
    <xf numFmtId="0" fontId="10" fillId="15" borderId="0" xfId="54" applyFont="1" applyFill="1" applyAlignment="1">
      <alignment horizontal="left"/>
    </xf>
    <xf numFmtId="0" fontId="10" fillId="15" borderId="0" xfId="54" applyFont="1" applyFill="1"/>
    <xf numFmtId="0" fontId="69" fillId="0" borderId="0" xfId="54" applyFont="1"/>
    <xf numFmtId="0" fontId="69" fillId="0" borderId="0" xfId="54" applyFont="1" applyAlignment="1">
      <alignment horizontal="left"/>
    </xf>
    <xf numFmtId="0" fontId="6" fillId="0" borderId="0" xfId="54" applyFont="1" applyAlignment="1">
      <alignment horizontal="left"/>
    </xf>
    <xf numFmtId="0" fontId="3" fillId="0" borderId="0" xfId="54" applyFont="1"/>
    <xf numFmtId="0" fontId="6" fillId="0" borderId="0" xfId="54" applyFont="1" applyAlignment="1">
      <alignment horizontal="center" vertical="center" wrapText="1"/>
    </xf>
    <xf numFmtId="0" fontId="3" fillId="0" borderId="0" xfId="54" applyFont="1" applyAlignment="1">
      <alignment horizontal="left"/>
    </xf>
    <xf numFmtId="167" fontId="3" fillId="0" borderId="0" xfId="54" applyNumberFormat="1" applyFont="1" applyAlignment="1">
      <alignment horizontal="center"/>
    </xf>
    <xf numFmtId="167" fontId="6" fillId="0" borderId="0" xfId="54" applyNumberFormat="1" applyFont="1" applyAlignment="1">
      <alignment horizontal="center"/>
    </xf>
    <xf numFmtId="0" fontId="6" fillId="21" borderId="2" xfId="54" applyFont="1" applyFill="1" applyBorder="1" applyAlignment="1">
      <alignment horizontal="left"/>
    </xf>
    <xf numFmtId="10" fontId="6" fillId="21" borderId="2" xfId="27" applyNumberFormat="1" applyFont="1" applyFill="1" applyBorder="1" applyAlignment="1">
      <alignment horizontal="left"/>
    </xf>
    <xf numFmtId="0" fontId="6" fillId="21" borderId="2" xfId="54" applyFont="1" applyFill="1" applyBorder="1" applyAlignment="1">
      <alignment horizontal="left" wrapText="1"/>
    </xf>
    <xf numFmtId="0" fontId="3" fillId="0" borderId="2" xfId="54" applyFont="1" applyBorder="1" applyAlignment="1">
      <alignment horizontal="left"/>
    </xf>
    <xf numFmtId="164" fontId="3" fillId="0" borderId="2" xfId="55" applyFont="1" applyBorder="1" applyAlignment="1"/>
    <xf numFmtId="10" fontId="2" fillId="0" borderId="0" xfId="0" applyNumberFormat="1" applyFont="1" applyAlignment="1">
      <alignment horizontal="center"/>
    </xf>
    <xf numFmtId="167" fontId="2" fillId="0" borderId="0" xfId="0" applyNumberFormat="1" applyFont="1" applyAlignment="1">
      <alignment horizontal="center"/>
    </xf>
    <xf numFmtId="10" fontId="2" fillId="0" borderId="0" xfId="3" applyNumberFormat="1" applyFont="1" applyAlignment="1">
      <alignment horizontal="center"/>
    </xf>
    <xf numFmtId="164" fontId="2" fillId="0" borderId="0" xfId="0" applyNumberFormat="1" applyFont="1"/>
    <xf numFmtId="0" fontId="9" fillId="0" borderId="2" xfId="0" applyFont="1" applyBorder="1"/>
    <xf numFmtId="43" fontId="9" fillId="0" borderId="2" xfId="0" applyNumberFormat="1" applyFont="1" applyBorder="1"/>
    <xf numFmtId="0" fontId="0" fillId="0" borderId="2" xfId="0" applyBorder="1" applyAlignment="1">
      <alignment horizontal="center" vertical="center" wrapText="1"/>
    </xf>
    <xf numFmtId="0" fontId="41" fillId="15" borderId="2" xfId="0" applyFont="1" applyFill="1" applyBorder="1" applyAlignment="1">
      <alignment horizontal="center"/>
    </xf>
    <xf numFmtId="0" fontId="43" fillId="16" borderId="2" xfId="0" applyFont="1" applyFill="1" applyBorder="1" applyAlignment="1">
      <alignment horizontal="center" wrapText="1"/>
    </xf>
    <xf numFmtId="0" fontId="43" fillId="16" borderId="2" xfId="0" applyFont="1" applyFill="1" applyBorder="1" applyAlignment="1">
      <alignment horizontal="center" vertical="center" wrapText="1"/>
    </xf>
    <xf numFmtId="0" fontId="4" fillId="15" borderId="2" xfId="0" applyFont="1" applyFill="1" applyBorder="1" applyAlignment="1">
      <alignment horizontal="center"/>
    </xf>
    <xf numFmtId="3" fontId="3" fillId="0" borderId="25" xfId="42" applyNumberFormat="1" applyFont="1" applyBorder="1" applyAlignment="1">
      <alignment horizontal="left" vertical="center" wrapText="1"/>
    </xf>
    <xf numFmtId="0" fontId="42" fillId="15" borderId="7" xfId="0" applyFont="1" applyFill="1" applyBorder="1" applyAlignment="1">
      <alignment horizontal="center" vertical="center"/>
    </xf>
    <xf numFmtId="0" fontId="42" fillId="15" borderId="8" xfId="0" applyFont="1" applyFill="1" applyBorder="1" applyAlignment="1">
      <alignment horizontal="center" vertical="center"/>
    </xf>
    <xf numFmtId="0" fontId="48" fillId="15" borderId="1" xfId="0" applyFont="1" applyFill="1" applyBorder="1" applyAlignment="1">
      <alignment horizontal="center"/>
    </xf>
    <xf numFmtId="0" fontId="10" fillId="15" borderId="7" xfId="42" applyFont="1" applyFill="1" applyBorder="1" applyAlignment="1">
      <alignment horizontal="center" vertical="center"/>
    </xf>
    <xf numFmtId="0" fontId="10" fillId="15" borderId="8" xfId="42" applyFont="1" applyFill="1" applyBorder="1" applyAlignment="1">
      <alignment horizontal="center" vertical="center"/>
    </xf>
    <xf numFmtId="0" fontId="10" fillId="15" borderId="9" xfId="42" applyFont="1" applyFill="1" applyBorder="1" applyAlignment="1">
      <alignment horizontal="center" vertical="center"/>
    </xf>
    <xf numFmtId="0" fontId="10" fillId="15" borderId="25" xfId="42" applyFont="1" applyFill="1" applyBorder="1" applyAlignment="1">
      <alignment horizontal="center" vertical="center"/>
    </xf>
    <xf numFmtId="0" fontId="10" fillId="15" borderId="0" xfId="42" applyFont="1" applyFill="1" applyBorder="1" applyAlignment="1">
      <alignment horizontal="center" vertical="center"/>
    </xf>
    <xf numFmtId="0" fontId="10" fillId="15" borderId="24" xfId="42" applyFont="1" applyFill="1" applyBorder="1" applyAlignment="1">
      <alignment horizontal="center" vertical="center"/>
    </xf>
    <xf numFmtId="2" fontId="42" fillId="0" borderId="8" xfId="0" applyNumberFormat="1" applyFont="1" applyFill="1" applyBorder="1" applyAlignment="1">
      <alignment horizontal="left" vertical="top" wrapText="1"/>
    </xf>
    <xf numFmtId="0" fontId="48" fillId="15" borderId="0" xfId="0" applyFont="1" applyFill="1" applyBorder="1" applyAlignment="1">
      <alignment horizontal="center" vertical="center"/>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2" fillId="0" borderId="0" xfId="0" applyFont="1" applyBorder="1" applyAlignment="1">
      <alignment horizontal="center" vertical="center"/>
    </xf>
    <xf numFmtId="0" fontId="9" fillId="0" borderId="25" xfId="0" applyFont="1" applyBorder="1" applyAlignment="1">
      <alignment horizontal="center" vertical="center"/>
    </xf>
    <xf numFmtId="0" fontId="9" fillId="0" borderId="10" xfId="0" applyFont="1" applyBorder="1" applyAlignment="1">
      <alignment horizontal="center" vertical="center"/>
    </xf>
    <xf numFmtId="0" fontId="2" fillId="0" borderId="1" xfId="0" applyFont="1" applyBorder="1" applyAlignment="1">
      <alignment horizontal="center" vertical="center"/>
    </xf>
    <xf numFmtId="0" fontId="10" fillId="15" borderId="0" xfId="42" applyFont="1" applyFill="1" applyBorder="1" applyAlignment="1">
      <alignment horizontal="center"/>
    </xf>
    <xf numFmtId="0" fontId="10" fillId="15" borderId="25" xfId="42" applyFont="1" applyFill="1" applyBorder="1" applyAlignment="1">
      <alignment horizontal="center" vertical="center" wrapText="1"/>
    </xf>
    <xf numFmtId="0" fontId="10" fillId="15" borderId="0" xfId="42" applyFont="1" applyFill="1" applyBorder="1" applyAlignment="1">
      <alignment horizontal="center" vertical="center" wrapText="1"/>
    </xf>
    <xf numFmtId="0" fontId="48" fillId="15" borderId="8" xfId="0" applyFont="1" applyFill="1" applyBorder="1" applyAlignment="1">
      <alignment horizontal="center"/>
    </xf>
    <xf numFmtId="0" fontId="9" fillId="0" borderId="7" xfId="0" applyFont="1" applyBorder="1" applyAlignment="1">
      <alignment horizontal="center" vertical="center"/>
    </xf>
    <xf numFmtId="0" fontId="9" fillId="0" borderId="7" xfId="0" applyFont="1" applyFill="1" applyBorder="1" applyAlignment="1">
      <alignment horizontal="center" vertical="center"/>
    </xf>
    <xf numFmtId="0" fontId="9" fillId="0" borderId="25"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0" xfId="0" applyFont="1" applyFill="1" applyBorder="1" applyAlignment="1">
      <alignment horizontal="center" vertical="center"/>
    </xf>
    <xf numFmtId="0" fontId="9"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8" fillId="13" borderId="0" xfId="0" applyFont="1" applyFill="1" applyAlignment="1">
      <alignment horizontal="left" vertical="top" wrapText="1"/>
    </xf>
    <xf numFmtId="0" fontId="10" fillId="15" borderId="7" xfId="0" applyFont="1" applyFill="1" applyBorder="1" applyAlignment="1">
      <alignment horizontal="center" vertical="center" wrapText="1"/>
    </xf>
    <xf numFmtId="0" fontId="10" fillId="15" borderId="8" xfId="0" applyFont="1" applyFill="1" applyBorder="1" applyAlignment="1">
      <alignment horizontal="center" vertical="center" wrapText="1"/>
    </xf>
    <xf numFmtId="0" fontId="10" fillId="15" borderId="9" xfId="0" applyFont="1" applyFill="1" applyBorder="1" applyAlignment="1">
      <alignment horizontal="center" vertical="center" wrapText="1"/>
    </xf>
    <xf numFmtId="0" fontId="8" fillId="0" borderId="25" xfId="0" applyFont="1" applyBorder="1" applyAlignment="1">
      <alignment horizontal="center" vertical="center" wrapText="1"/>
    </xf>
    <xf numFmtId="0" fontId="8" fillId="0" borderId="10" xfId="0" applyFont="1" applyBorder="1" applyAlignment="1">
      <alignment horizontal="center" vertical="center" wrapText="1"/>
    </xf>
    <xf numFmtId="0" fontId="10" fillId="15" borderId="7" xfId="0" applyFont="1" applyFill="1" applyBorder="1" applyAlignment="1">
      <alignment horizontal="center" wrapText="1"/>
    </xf>
    <xf numFmtId="0" fontId="10" fillId="15" borderId="8" xfId="0" applyFont="1" applyFill="1" applyBorder="1" applyAlignment="1">
      <alignment horizontal="center" wrapText="1"/>
    </xf>
    <xf numFmtId="2" fontId="10" fillId="15" borderId="0" xfId="4" applyNumberFormat="1" applyFont="1" applyFill="1" applyBorder="1" applyAlignment="1">
      <alignment horizontal="center" vertical="center"/>
    </xf>
    <xf numFmtId="0" fontId="10" fillId="15" borderId="3" xfId="0" applyFont="1" applyFill="1" applyBorder="1" applyAlignment="1">
      <alignment horizontal="center" vertical="center"/>
    </xf>
    <xf numFmtId="0" fontId="10" fillId="15" borderId="13" xfId="0" applyFont="1" applyFill="1" applyBorder="1" applyAlignment="1">
      <alignment horizontal="center" vertical="center"/>
    </xf>
    <xf numFmtId="0" fontId="10" fillId="15" borderId="0" xfId="0" applyFont="1" applyFill="1" applyBorder="1" applyAlignment="1">
      <alignment horizontal="center" vertical="center"/>
    </xf>
    <xf numFmtId="2" fontId="66" fillId="0" borderId="0" xfId="0" applyNumberFormat="1" applyFont="1" applyFill="1" applyBorder="1" applyAlignment="1">
      <alignment horizontal="center" vertical="center" wrapText="1"/>
    </xf>
    <xf numFmtId="0" fontId="9" fillId="0" borderId="3" xfId="4" applyFont="1" applyFill="1" applyBorder="1" applyAlignment="1">
      <alignment horizontal="center" vertical="center"/>
    </xf>
    <xf numFmtId="0" fontId="9" fillId="0" borderId="13" xfId="4" applyFont="1" applyFill="1" applyBorder="1" applyAlignment="1">
      <alignment horizontal="center" vertical="center"/>
    </xf>
    <xf numFmtId="0" fontId="10" fillId="15" borderId="7" xfId="4"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9" fillId="0" borderId="13" xfId="0" applyFont="1" applyBorder="1" applyAlignment="1">
      <alignment horizontal="center" vertical="center"/>
    </xf>
    <xf numFmtId="0" fontId="65" fillId="14" borderId="10" xfId="62" quotePrefix="1" applyFont="1" applyFill="1" applyBorder="1" applyAlignment="1">
      <alignment horizontal="center" vertical="top"/>
    </xf>
    <xf numFmtId="0" fontId="65" fillId="14" borderId="1" xfId="62" quotePrefix="1" applyFont="1" applyFill="1" applyBorder="1" applyAlignment="1">
      <alignment horizontal="center" vertical="top"/>
    </xf>
    <xf numFmtId="0" fontId="65" fillId="14" borderId="0" xfId="62" quotePrefix="1" applyFont="1" applyFill="1" applyAlignment="1">
      <alignment horizontal="center" vertical="top"/>
    </xf>
    <xf numFmtId="0" fontId="40" fillId="0" borderId="3" xfId="0" applyFont="1" applyBorder="1" applyAlignment="1">
      <alignment horizontal="center"/>
    </xf>
    <xf numFmtId="0" fontId="40" fillId="0" borderId="6" xfId="0" applyFont="1" applyBorder="1" applyAlignment="1">
      <alignment horizontal="center"/>
    </xf>
    <xf numFmtId="0" fontId="65" fillId="14" borderId="0" xfId="66" quotePrefix="1" applyFont="1" applyFill="1" applyAlignment="1">
      <alignment horizontal="center" vertical="top"/>
    </xf>
    <xf numFmtId="0" fontId="65" fillId="14" borderId="0" xfId="66" applyFont="1" applyFill="1" applyAlignment="1">
      <alignment horizontal="center" vertical="top"/>
    </xf>
    <xf numFmtId="0" fontId="65" fillId="14" borderId="0" xfId="67" applyFont="1" applyFill="1" applyAlignment="1">
      <alignment horizontal="center" vertical="top"/>
    </xf>
    <xf numFmtId="0" fontId="68" fillId="15" borderId="1" xfId="0" applyFont="1" applyFill="1" applyBorder="1" applyAlignment="1">
      <alignment horizontal="center"/>
    </xf>
    <xf numFmtId="0" fontId="48" fillId="15" borderId="13" xfId="0" applyFont="1" applyFill="1" applyBorder="1" applyAlignment="1">
      <alignment horizontal="center" vertical="center"/>
    </xf>
    <xf numFmtId="0" fontId="10" fillId="15" borderId="6" xfId="0" applyFont="1" applyFill="1" applyBorder="1" applyAlignment="1">
      <alignment horizontal="center" vertical="center"/>
    </xf>
    <xf numFmtId="0" fontId="10" fillId="15" borderId="1" xfId="42" applyFont="1" applyFill="1" applyBorder="1" applyAlignment="1">
      <alignment horizontal="left"/>
    </xf>
    <xf numFmtId="0" fontId="10" fillId="15" borderId="7" xfId="42" applyFont="1" applyFill="1" applyBorder="1" applyAlignment="1">
      <alignment horizontal="center" vertical="center" wrapText="1"/>
    </xf>
    <xf numFmtId="0" fontId="10" fillId="15" borderId="8" xfId="42" applyFont="1" applyFill="1" applyBorder="1" applyAlignment="1">
      <alignment horizontal="center" vertical="center" wrapText="1"/>
    </xf>
    <xf numFmtId="0" fontId="6" fillId="14" borderId="0" xfId="59" quotePrefix="1" applyFont="1" applyFill="1" applyAlignment="1">
      <alignment horizontal="center" vertical="top"/>
    </xf>
    <xf numFmtId="0" fontId="6" fillId="14" borderId="0" xfId="59" applyFont="1" applyFill="1" applyAlignment="1">
      <alignment horizontal="center" vertical="top"/>
    </xf>
    <xf numFmtId="0" fontId="3" fillId="14" borderId="1" xfId="59" applyFont="1" applyFill="1" applyBorder="1" applyAlignment="1">
      <alignment horizontal="center" vertical="top"/>
    </xf>
    <xf numFmtId="0" fontId="38" fillId="0" borderId="25" xfId="42" applyFont="1" applyBorder="1" applyAlignment="1">
      <alignment horizontal="right" vertical="center"/>
    </xf>
    <xf numFmtId="0" fontId="38" fillId="0" borderId="0" xfId="42" applyFont="1" applyBorder="1" applyAlignment="1">
      <alignment horizontal="right" vertical="center"/>
    </xf>
    <xf numFmtId="0" fontId="38" fillId="0" borderId="24" xfId="42" applyFont="1" applyBorder="1" applyAlignment="1">
      <alignment horizontal="right" vertical="center"/>
    </xf>
    <xf numFmtId="0" fontId="10" fillId="15" borderId="7" xfId="44" applyFont="1" applyFill="1" applyBorder="1" applyAlignment="1">
      <alignment horizontal="center" vertical="center"/>
    </xf>
    <xf numFmtId="0" fontId="10" fillId="15" borderId="9" xfId="44" applyFont="1" applyFill="1" applyBorder="1" applyAlignment="1">
      <alignment horizontal="center" vertical="center"/>
    </xf>
    <xf numFmtId="0" fontId="38" fillId="0" borderId="25" xfId="44" applyFont="1" applyBorder="1" applyAlignment="1">
      <alignment horizontal="right" vertical="center"/>
    </xf>
    <xf numFmtId="0" fontId="38" fillId="0" borderId="24" xfId="44" applyFont="1" applyBorder="1" applyAlignment="1">
      <alignment horizontal="right" vertical="center"/>
    </xf>
    <xf numFmtId="0" fontId="10" fillId="15" borderId="5" xfId="0" applyFont="1" applyFill="1" applyBorder="1" applyAlignment="1">
      <alignment horizontal="center" vertical="center"/>
    </xf>
    <xf numFmtId="0" fontId="10" fillId="15" borderId="25" xfId="44" applyFont="1" applyFill="1" applyBorder="1" applyAlignment="1">
      <alignment horizontal="center" vertical="center"/>
    </xf>
    <xf numFmtId="0" fontId="10" fillId="15" borderId="0" xfId="44" applyFont="1" applyFill="1" applyBorder="1" applyAlignment="1">
      <alignment horizontal="center" vertical="center"/>
    </xf>
    <xf numFmtId="0" fontId="38" fillId="14" borderId="7" xfId="44" applyFont="1" applyFill="1" applyBorder="1" applyAlignment="1">
      <alignment horizontal="right" vertical="center"/>
    </xf>
    <xf numFmtId="0" fontId="38" fillId="14" borderId="8" xfId="44" applyFont="1" applyFill="1" applyBorder="1" applyAlignment="1">
      <alignment horizontal="right" vertical="center"/>
    </xf>
    <xf numFmtId="0" fontId="38" fillId="14" borderId="9" xfId="44" applyFont="1" applyFill="1" applyBorder="1" applyAlignment="1">
      <alignment horizontal="right" vertical="center"/>
    </xf>
    <xf numFmtId="0" fontId="3" fillId="0" borderId="25" xfId="42" applyBorder="1" applyAlignment="1">
      <alignment horizontal="center" vertical="center"/>
    </xf>
    <xf numFmtId="0" fontId="3" fillId="0" borderId="0" xfId="42" applyBorder="1" applyAlignment="1">
      <alignment horizontal="center" vertical="center"/>
    </xf>
    <xf numFmtId="0" fontId="3" fillId="0" borderId="24" xfId="42" applyBorder="1" applyAlignment="1">
      <alignment horizontal="center" vertical="center"/>
    </xf>
  </cellXfs>
  <cellStyles count="72">
    <cellStyle name="Accent1" xfId="4" builtinId="29"/>
    <cellStyle name="Bad 2" xfId="9" xr:uid="{48DE6014-26F9-4BA3-A0A0-4917FB7E34D7}"/>
    <cellStyle name="Calculation 2" xfId="10" xr:uid="{8F3D0360-925C-4710-974B-707B0F58BE93}"/>
    <cellStyle name="Check Cell 2" xfId="11" xr:uid="{510EA78C-DDC9-4FA2-B47F-64722EFF647E}"/>
    <cellStyle name="Comma" xfId="1" builtinId="3"/>
    <cellStyle name="Comma 2" xfId="6" xr:uid="{0229D74B-331A-4F69-A5FE-0452AE7ACC39}"/>
    <cellStyle name="Comma 2 2" xfId="12" xr:uid="{8DECBF38-C898-4921-B027-343F20BBE4D7}"/>
    <cellStyle name="Comma 2 3" xfId="43" xr:uid="{BB3DAF20-FC18-41A6-8EBC-A0DAA3A8D4D8}"/>
    <cellStyle name="Comma 3" xfId="55" xr:uid="{3A807C39-DBA3-45E0-AEB5-2FB8042D3502}"/>
    <cellStyle name="Explanatory Text 2" xfId="13" xr:uid="{B3C7CC67-98EE-4D2F-BADA-D616E12DA79A}"/>
    <cellStyle name="Good 2" xfId="14" xr:uid="{27B05DF4-F490-493B-96F2-930CF757E6DF}"/>
    <cellStyle name="Heading 1 2" xfId="15" xr:uid="{DD3A45F9-F362-463E-981C-A242D6C9F4BA}"/>
    <cellStyle name="Heading 2 2" xfId="16" xr:uid="{BCC5B706-8E20-4F2A-BEFB-CD7E2CC6207C}"/>
    <cellStyle name="Heading 3 2" xfId="17" xr:uid="{6BC53DA9-B9A3-44AF-BDE2-D939AE531E2D}"/>
    <cellStyle name="Heading 4 2" xfId="18" xr:uid="{A91BDE40-E3B8-460F-BBED-9D748CC83409}"/>
    <cellStyle name="Hyperlink" xfId="5" builtinId="8"/>
    <cellStyle name="Hyperlink 2" xfId="19" xr:uid="{2D804C5C-D60A-4B4F-9BF9-40558A154281}"/>
    <cellStyle name="Input 2" xfId="20" xr:uid="{F59897F6-6982-4635-B93B-FC6EFF6963F0}"/>
    <cellStyle name="Linked Cell 2" xfId="21" xr:uid="{C65A5F45-AAA4-44DC-9628-715D0BE49C5F}"/>
    <cellStyle name="Neutral 2" xfId="22" xr:uid="{CE9F1EF0-FDBD-434D-BF77-4D5403F4DB94}"/>
    <cellStyle name="Normal" xfId="0" builtinId="0"/>
    <cellStyle name="Normal 10" xfId="2" xr:uid="{00000000-0005-0000-0000-000002000000}"/>
    <cellStyle name="Normal 12" xfId="70" xr:uid="{F3B06A18-557E-45D3-83E8-6E0CCAA7E297}"/>
    <cellStyle name="Normal 19" xfId="60" xr:uid="{EEF73A10-C563-4045-8350-D50AFF050EA6}"/>
    <cellStyle name="Normal 2" xfId="7" xr:uid="{6A967F83-02FA-4E11-934B-003E0BE46696}"/>
    <cellStyle name="Normal 2 2" xfId="42" xr:uid="{D04E8E66-BA66-4123-AF6F-4C593C947D77}"/>
    <cellStyle name="Normal 2 3" xfId="45" xr:uid="{8AEEB901-DEFB-45C6-86B9-6BC73A34549B}"/>
    <cellStyle name="Normal 2 4" xfId="48" xr:uid="{C6EA5D4D-AB15-486C-BB42-D9B0BC1F9180}"/>
    <cellStyle name="Normal 2 5" xfId="50" xr:uid="{5B6E3469-A93A-422E-A4DE-11B97B20F040}"/>
    <cellStyle name="Normal 21" xfId="61" xr:uid="{92AD7BCB-72E1-44BB-93E5-13861DF5BD3D}"/>
    <cellStyle name="Normal 22" xfId="56" xr:uid="{13225A05-164B-4F82-86C5-32DD12447B84}"/>
    <cellStyle name="Normal 23" xfId="62" xr:uid="{61F0A863-8B47-4AC6-B2D6-FC1AE39FF8D0}"/>
    <cellStyle name="Normal 24" xfId="57" xr:uid="{E42D2190-B63C-4B46-AFB1-A53204E74912}"/>
    <cellStyle name="Normal 25" xfId="64" xr:uid="{9F7E93E6-BB4E-468F-B348-ADDC0B995513}"/>
    <cellStyle name="Normal 26" xfId="63" xr:uid="{12946B85-C542-4EF0-B8EC-BB6EFEA7878E}"/>
    <cellStyle name="Normal 27" xfId="65" xr:uid="{50B861CF-9BDE-4B25-BEE7-C68BD162DAC0}"/>
    <cellStyle name="Normal 28" xfId="53" xr:uid="{A6856C85-97F6-4FAB-8BA3-296E7F5C2652}"/>
    <cellStyle name="Normal 29" xfId="66" xr:uid="{40A9E18F-F160-48DC-98FD-B6BBC08A9050}"/>
    <cellStyle name="Normal 3" xfId="23" xr:uid="{1AD652F5-741A-4BEF-B735-DAE51F13EF39}"/>
    <cellStyle name="Normal 3 2" xfId="46" xr:uid="{66B6AF13-4B7B-4DC0-B574-AE46C7BF8A2D}"/>
    <cellStyle name="Normal 3 3" xfId="49" xr:uid="{E4F3D19D-E873-4119-BF1E-CA2AD52FFFBD}"/>
    <cellStyle name="Normal 30" xfId="67" xr:uid="{04E3ED1D-E3B6-4FA5-8C66-E0A80EBE7BC9}"/>
    <cellStyle name="Normal 31" xfId="68" xr:uid="{26AF3936-351E-48D6-9AA0-EA1F7C40F461}"/>
    <cellStyle name="Normal 32" xfId="54" xr:uid="{7EF770AC-3276-4233-A7C4-B5100FE5FA6D}"/>
    <cellStyle name="Normal 33" xfId="71" xr:uid="{64A69285-66F4-4938-96E9-24C23C19DA6F}"/>
    <cellStyle name="Normal 34" xfId="59" xr:uid="{01FB9842-D5A9-4F22-BECD-98AAADF74B79}"/>
    <cellStyle name="Normal 35" xfId="58" xr:uid="{392651D9-3682-45EA-8F64-EC1CF1C55321}"/>
    <cellStyle name="Normal 4" xfId="8" xr:uid="{5AE70C0A-5FC6-46A6-ADE9-ACC88AA36743}"/>
    <cellStyle name="Normal 5 2" xfId="44" xr:uid="{BED2590C-F188-4172-8441-91D36500BC98}"/>
    <cellStyle name="Normal 6 2" xfId="51" xr:uid="{EAF9DFAE-72FE-498E-A5BA-A0EC35C92E26}"/>
    <cellStyle name="Note 2" xfId="24" xr:uid="{36D3206A-1E89-4A42-A28C-F49E1312FF63}"/>
    <cellStyle name="Output 2" xfId="25" xr:uid="{64B61667-5B67-451B-AA5A-F79CB8516894}"/>
    <cellStyle name="Percent" xfId="3" builtinId="5"/>
    <cellStyle name="Percent 13" xfId="69" xr:uid="{EDC8BE44-95FE-42D3-8A53-D9C254E0C01A}"/>
    <cellStyle name="Percent 2" xfId="27" xr:uid="{E92EB642-49A1-4A5D-866D-2F2BEAA99244}"/>
    <cellStyle name="Percent 2 2" xfId="47" xr:uid="{174184A0-89E0-4E2A-B1C3-3FF8F0BB3CA1}"/>
    <cellStyle name="Percent 3" xfId="26" xr:uid="{89F59B0F-399C-4825-8323-1A0B366B1827}"/>
    <cellStyle name="Percent 4" xfId="52" xr:uid="{44E58AFD-1F69-453D-B359-91E20549F222}"/>
    <cellStyle name="Smart Bold" xfId="28" xr:uid="{35949368-D2D9-4FD0-935D-72DC3815F6F0}"/>
    <cellStyle name="Smart Forecast" xfId="29" xr:uid="{DA1847E8-C87D-4E5E-BA5B-C103A281A188}"/>
    <cellStyle name="Smart General" xfId="30" xr:uid="{C0B8B36A-358E-4C70-8253-A2BB81521B6A}"/>
    <cellStyle name="Smart Highlight" xfId="31" xr:uid="{39804A6A-9501-44A9-8A2B-61FBC1EF7C9C}"/>
    <cellStyle name="Smart Percent" xfId="32" xr:uid="{2296B838-4D0B-4715-BE6E-0FFB4CFD77A6}"/>
    <cellStyle name="Smart Source" xfId="33" xr:uid="{4C539167-4F04-4120-99B9-BEE5390475D6}"/>
    <cellStyle name="Smart Subtitle 1" xfId="34" xr:uid="{5E6502DB-2715-489B-A345-1417A83B62B8}"/>
    <cellStyle name="Smart Subtitle 2" xfId="35" xr:uid="{52973591-BAAD-4677-94F6-41D001FD3E44}"/>
    <cellStyle name="Smart Subtitle 3" xfId="36" xr:uid="{1FCE42C9-A970-4BB7-9F47-DFD74F86985B}"/>
    <cellStyle name="Smart Subtotal" xfId="37" xr:uid="{7D6FC9B3-2F29-4CFE-8F4F-06A12BEC12E4}"/>
    <cellStyle name="Smart Title" xfId="38" xr:uid="{015B8C42-624F-48BB-AF42-8E33342CFB59}"/>
    <cellStyle name="Smart Total" xfId="39" xr:uid="{B57A5A91-9942-4AEA-BC7B-998D724CBF66}"/>
    <cellStyle name="Title 2" xfId="40" xr:uid="{E601D9A6-590D-452D-B94E-92F6B5F85844}"/>
    <cellStyle name="Total 2" xfId="41" xr:uid="{93F2EFB4-C20E-4EB2-86DA-2B6349B46C47}"/>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19</xdr:col>
      <xdr:colOff>486834</xdr:colOff>
      <xdr:row>30</xdr:row>
      <xdr:rowOff>148167</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0" y="1"/>
          <a:ext cx="12149667" cy="5863166"/>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Erection and foundation at 7.5% of plant machinery</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100" i="1">
            <a:solidFill>
              <a:schemeClr val="dk1"/>
            </a:solidFill>
            <a:effectLst/>
            <a:latin typeface="Arial" panose="020B0604020202020204" pitchFamily="34" charset="0"/>
            <a:ea typeface="+mn-ea"/>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a:t>
          </a:r>
          <a:r>
            <a:rPr lang="en-IN" sz="1100" i="1">
              <a:solidFill>
                <a:schemeClr val="dk1"/>
              </a:solidFill>
              <a:effectLst/>
              <a:latin typeface="Arial" panose="020B0604020202020204" pitchFamily="34" charset="0"/>
              <a:ea typeface="+mn-ea"/>
              <a:cs typeface="Arial" panose="020B0604020202020204" pitchFamily="34" charset="0"/>
            </a:rPr>
            <a:t> </a:t>
          </a:r>
          <a:r>
            <a:rPr lang="en-IN" sz="1000" i="1">
              <a:solidFill>
                <a:schemeClr val="dk1"/>
              </a:solidFill>
              <a:effectLst/>
              <a:latin typeface="Arial" panose="020B0604020202020204" pitchFamily="34" charset="0"/>
              <a:ea typeface="+mn-ea"/>
              <a:cs typeface="Arial" panose="020B0604020202020204" pitchFamily="34" charset="0"/>
            </a:rPr>
            <a:t>Maintenance and repairs, Plant Overhead and Administrative Costs, therefore, to avoid double counting, those have been considered in the WNA operating cost.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3% of Maintenance and repairs + Labour</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100" i="1">
            <a:solidFill>
              <a:schemeClr val="dk1"/>
            </a:solidFill>
            <a:effectLst/>
            <a:latin typeface="Arial" panose="020B0604020202020204" pitchFamily="34" charset="0"/>
            <a:ea typeface="+mn-ea"/>
            <a:cs typeface="Arial" panose="020B0604020202020204" pitchFamily="34" charset="0"/>
          </a:endParaRPr>
        </a:p>
        <a:p>
          <a:pPr lvl="0"/>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100" i="1">
            <a:solidFill>
              <a:schemeClr val="dk1"/>
            </a:solidFill>
            <a:effectLst/>
            <a:latin typeface="Arial" panose="020B0604020202020204" pitchFamily="34" charset="0"/>
            <a:ea typeface="+mn-ea"/>
            <a:cs typeface="Arial" panose="020B0604020202020204" pitchFamily="34" charset="0"/>
          </a:endParaRPr>
        </a:p>
        <a:p>
          <a:pPr lvl="1"/>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100" i="1">
            <a:solidFill>
              <a:schemeClr val="dk1"/>
            </a:solidFill>
            <a:effectLst/>
            <a:latin typeface="Arial" panose="020B0604020202020204" pitchFamily="34" charset="0"/>
            <a:ea typeface="+mn-ea"/>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100" i="1">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0</xdr:col>
      <xdr:colOff>76200</xdr:colOff>
      <xdr:row>44</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43</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FR-%20WNA+AN%20Shahajahan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ardik.malhotra/Desktop/Desktop%20Data/Ammonium%20Nitrate/Copy%20of%20Nitric%20Acid%20-%20Financial%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Materials Requirement "/>
      <sheetName val="Basis"/>
      <sheetName val="Norms"/>
      <sheetName val="Capex"/>
      <sheetName val="Opex"/>
      <sheetName val="Cashflow "/>
      <sheetName val="IRR"/>
      <sheetName val="Reference Values"/>
      <sheetName val="Interest Cal."/>
      <sheetName val="Bal sheet"/>
      <sheetName val="Depreciation"/>
      <sheetName val="Profitability"/>
      <sheetName val=" Breakeven Point"/>
      <sheetName val="DSCR"/>
    </sheetNames>
    <sheetDataSet>
      <sheetData sheetId="0"/>
      <sheetData sheetId="1"/>
      <sheetData sheetId="2"/>
      <sheetData sheetId="3"/>
      <sheetData sheetId="4">
        <row r="19">
          <cell r="C19">
            <v>10994.968048192877</v>
          </cell>
        </row>
        <row r="20">
          <cell r="F20">
            <v>13865.56888200008</v>
          </cell>
        </row>
      </sheetData>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itric Acid"/>
      <sheetName val="Project Cost"/>
      <sheetName val="IRR"/>
      <sheetName val="bal sheet"/>
      <sheetName val="Depreciation"/>
    </sheetNames>
    <sheetDataSet>
      <sheetData sheetId="0"/>
      <sheetData sheetId="1">
        <row r="166">
          <cell r="C166">
            <v>2161.988996302438</v>
          </cell>
          <cell r="D166">
            <v>2161.988996302438</v>
          </cell>
          <cell r="E166">
            <v>2161.988996302438</v>
          </cell>
          <cell r="F166">
            <v>2161.988996302438</v>
          </cell>
          <cell r="G166">
            <v>2161.988996302438</v>
          </cell>
          <cell r="H166">
            <v>2161.988996302438</v>
          </cell>
          <cell r="I166">
            <v>2161.988996302438</v>
          </cell>
          <cell r="J166">
            <v>2161.988996302438</v>
          </cell>
          <cell r="K166">
            <v>2161.988996302438</v>
          </cell>
          <cell r="L166">
            <v>2161.988996302438</v>
          </cell>
          <cell r="M166">
            <v>2161.988996302438</v>
          </cell>
          <cell r="N166">
            <v>2161.988996302438</v>
          </cell>
          <cell r="O166">
            <v>2161.988996302438</v>
          </cell>
          <cell r="P166">
            <v>2161.988996302438</v>
          </cell>
          <cell r="Q166">
            <v>2161.988996302438</v>
          </cell>
        </row>
        <row r="167">
          <cell r="C167">
            <v>526.87379347884962</v>
          </cell>
          <cell r="D167">
            <v>1581.3113927071222</v>
          </cell>
          <cell r="E167">
            <v>2936.0664870659893</v>
          </cell>
          <cell r="F167">
            <v>3338.35823018664</v>
          </cell>
          <cell r="G167">
            <v>3801.8580605343068</v>
          </cell>
          <cell r="H167">
            <v>4297.3866180427431</v>
          </cell>
          <cell r="I167">
            <v>4827.223519545917</v>
          </cell>
          <cell r="J167">
            <v>5363.827322774745</v>
          </cell>
          <cell r="K167">
            <v>5747.4155537751149</v>
          </cell>
          <cell r="L167">
            <v>5673.7493176342041</v>
          </cell>
          <cell r="M167">
            <v>5597.1860776277035</v>
          </cell>
          <cell r="N167">
            <v>5517.6045728005784</v>
          </cell>
          <cell r="O167">
            <v>5434.8781868271844</v>
          </cell>
          <cell r="P167">
            <v>5348.8747014730698</v>
          </cell>
          <cell r="Q167">
            <v>5259.4560383667276</v>
          </cell>
        </row>
        <row r="169">
          <cell r="C169">
            <v>434.818404282225</v>
          </cell>
          <cell r="D169">
            <v>1305.0246661733338</v>
          </cell>
          <cell r="E169">
            <v>2423.0769504458194</v>
          </cell>
          <cell r="F169">
            <v>2755.0802802084299</v>
          </cell>
          <cell r="G169">
            <v>3137.5974201977524</v>
          </cell>
          <cell r="H169">
            <v>3546.5472281383149</v>
          </cell>
          <cell r="I169">
            <v>3983.8110262108544</v>
          </cell>
          <cell r="J169">
            <v>4426.6594129395417</v>
          </cell>
          <cell r="K169">
            <v>4743.2271082195266</v>
          </cell>
          <cell r="L169">
            <v>4682.4318368571558</v>
          </cell>
          <cell r="M169">
            <v>3355.1593633896655</v>
          </cell>
          <cell r="N169">
            <v>3157.1201332277628</v>
          </cell>
          <cell r="O169">
            <v>3056.3977387700547</v>
          </cell>
          <cell r="P169">
            <v>2960.4232826807211</v>
          </cell>
          <cell r="Q169">
            <v>2868.0905234110028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NPV@12%2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B5D7-3C16-44A9-A4F4-2A7ED35310AB}">
  <dimension ref="A1:BO34"/>
  <sheetViews>
    <sheetView showGridLines="0" topLeftCell="A20" workbookViewId="0">
      <selection activeCell="C27" sqref="C27"/>
    </sheetView>
  </sheetViews>
  <sheetFormatPr defaultColWidth="9.140625" defaultRowHeight="15"/>
  <cols>
    <col min="1" max="1" width="9.140625" style="3"/>
    <col min="2" max="2" width="29.5703125" style="3" customWidth="1"/>
    <col min="3" max="3" width="17" style="3" customWidth="1"/>
    <col min="4" max="4" width="18.28515625" style="3" bestFit="1" customWidth="1"/>
    <col min="5" max="5" width="16.42578125" style="3" bestFit="1" customWidth="1"/>
    <col min="6" max="6" width="37.5703125" style="3" bestFit="1" customWidth="1"/>
    <col min="7" max="7" width="30.28515625" style="3" customWidth="1"/>
    <col min="8" max="8" width="30" style="3" customWidth="1"/>
    <col min="9" max="9" width="35.5703125" style="3" bestFit="1" customWidth="1"/>
    <col min="10" max="10" width="27.42578125" style="3" bestFit="1" customWidth="1"/>
    <col min="11" max="16384" width="9.140625" style="3"/>
  </cols>
  <sheetData>
    <row r="1" spans="2:12">
      <c r="B1" s="167" t="s">
        <v>252</v>
      </c>
      <c r="C1" s="167" t="s">
        <v>176</v>
      </c>
      <c r="D1" s="167" t="s">
        <v>251</v>
      </c>
      <c r="E1" s="167" t="s">
        <v>250</v>
      </c>
      <c r="F1" s="167" t="s">
        <v>249</v>
      </c>
      <c r="H1" s="3">
        <f>G6*0.001</f>
        <v>175</v>
      </c>
    </row>
    <row r="2" spans="2:12">
      <c r="B2" s="807" t="s">
        <v>188</v>
      </c>
      <c r="C2" s="807"/>
      <c r="D2" s="807"/>
      <c r="E2" s="807"/>
      <c r="F2" s="807"/>
      <c r="H2" s="162" t="s">
        <v>188</v>
      </c>
      <c r="I2" s="162" t="s">
        <v>248</v>
      </c>
      <c r="J2" s="3">
        <v>216</v>
      </c>
      <c r="K2" s="3">
        <v>274</v>
      </c>
    </row>
    <row r="3" spans="2:12">
      <c r="B3" s="160" t="s">
        <v>190</v>
      </c>
      <c r="C3" s="160" t="s">
        <v>72</v>
      </c>
      <c r="D3" s="160" t="s">
        <v>247</v>
      </c>
      <c r="E3" s="160" t="s">
        <v>234</v>
      </c>
      <c r="F3" s="160" t="s">
        <v>238</v>
      </c>
      <c r="H3" s="160" t="s">
        <v>246</v>
      </c>
      <c r="I3" s="160" t="s">
        <v>245</v>
      </c>
      <c r="K3" s="3">
        <f>J2/K2</f>
        <v>0.78832116788321172</v>
      </c>
      <c r="L3" s="141">
        <f>K3*300</f>
        <v>236.49635036496352</v>
      </c>
    </row>
    <row r="4" spans="2:12">
      <c r="B4" s="807" t="s">
        <v>244</v>
      </c>
      <c r="C4" s="807"/>
      <c r="D4" s="807"/>
      <c r="E4" s="807"/>
      <c r="F4" s="807"/>
      <c r="H4" s="160" t="s">
        <v>221</v>
      </c>
      <c r="I4" s="160" t="s">
        <v>243</v>
      </c>
      <c r="J4" s="3">
        <v>148</v>
      </c>
      <c r="K4" s="3">
        <v>550</v>
      </c>
    </row>
    <row r="5" spans="2:12">
      <c r="B5" s="160" t="s">
        <v>242</v>
      </c>
      <c r="C5" s="160" t="s">
        <v>72</v>
      </c>
      <c r="D5" s="160" t="s">
        <v>241</v>
      </c>
      <c r="E5" s="160" t="s">
        <v>234</v>
      </c>
      <c r="F5" s="160" t="s">
        <v>233</v>
      </c>
      <c r="H5" s="166" t="s">
        <v>240</v>
      </c>
      <c r="I5" s="165" t="s">
        <v>223</v>
      </c>
      <c r="J5" s="3">
        <v>59</v>
      </c>
      <c r="K5" s="3">
        <v>274</v>
      </c>
    </row>
    <row r="6" spans="2:12">
      <c r="B6" s="160" t="s">
        <v>190</v>
      </c>
      <c r="C6" s="160" t="s">
        <v>72</v>
      </c>
      <c r="D6" s="160" t="s">
        <v>239</v>
      </c>
      <c r="E6" s="160" t="s">
        <v>234</v>
      </c>
      <c r="F6" s="160" t="s">
        <v>238</v>
      </c>
      <c r="G6" s="3">
        <v>175000</v>
      </c>
      <c r="H6" s="3">
        <f>529*330</f>
        <v>174570</v>
      </c>
      <c r="I6" s="3">
        <f>150*330</f>
        <v>49500</v>
      </c>
      <c r="K6" s="3">
        <f>J5/K5</f>
        <v>0.21532846715328466</v>
      </c>
      <c r="L6" s="141">
        <f>K6*300</f>
        <v>64.598540145985396</v>
      </c>
    </row>
    <row r="7" spans="2:12">
      <c r="B7" s="807" t="s">
        <v>237</v>
      </c>
      <c r="C7" s="807"/>
      <c r="D7" s="807"/>
      <c r="E7" s="807"/>
      <c r="F7" s="807"/>
      <c r="H7" s="3">
        <f>100*330</f>
        <v>33000</v>
      </c>
      <c r="I7" s="3">
        <f>I6-G6</f>
        <v>-125500</v>
      </c>
    </row>
    <row r="8" spans="2:12">
      <c r="B8" s="164" t="s">
        <v>236</v>
      </c>
      <c r="C8" s="160" t="s">
        <v>72</v>
      </c>
      <c r="D8" s="160" t="s">
        <v>235</v>
      </c>
      <c r="E8" s="160" t="s">
        <v>234</v>
      </c>
      <c r="F8" s="160" t="s">
        <v>233</v>
      </c>
      <c r="H8" s="162" t="s">
        <v>232</v>
      </c>
      <c r="I8" s="162" t="s">
        <v>231</v>
      </c>
      <c r="J8" s="162" t="s">
        <v>230</v>
      </c>
    </row>
    <row r="9" spans="2:12">
      <c r="B9" s="160" t="s">
        <v>229</v>
      </c>
      <c r="C9" s="160" t="s">
        <v>72</v>
      </c>
      <c r="D9" s="160" t="s">
        <v>228</v>
      </c>
      <c r="E9" s="160" t="s">
        <v>227</v>
      </c>
      <c r="F9" s="160" t="s">
        <v>226</v>
      </c>
      <c r="H9" s="160" t="s">
        <v>225</v>
      </c>
      <c r="I9" s="160" t="s">
        <v>224</v>
      </c>
      <c r="J9" s="160" t="s">
        <v>223</v>
      </c>
    </row>
    <row r="10" spans="2:12" ht="34.5" customHeight="1">
      <c r="B10" s="805" t="s">
        <v>222</v>
      </c>
      <c r="C10" s="805"/>
      <c r="D10" s="805"/>
      <c r="E10" s="805"/>
      <c r="F10" s="805"/>
      <c r="G10" s="3">
        <f>300*330</f>
        <v>99000</v>
      </c>
      <c r="H10" s="160" t="s">
        <v>255</v>
      </c>
      <c r="I10" s="160" t="s">
        <v>256</v>
      </c>
      <c r="J10" s="160" t="s">
        <v>257</v>
      </c>
      <c r="K10" s="169"/>
    </row>
    <row r="11" spans="2:12" ht="57" customHeight="1">
      <c r="B11" s="163" t="s">
        <v>220</v>
      </c>
      <c r="C11" s="803" t="s">
        <v>219</v>
      </c>
      <c r="D11" s="803"/>
      <c r="E11" s="803"/>
      <c r="F11" s="803"/>
      <c r="H11" s="806" t="s">
        <v>218</v>
      </c>
      <c r="I11" s="806"/>
      <c r="J11" s="806"/>
    </row>
    <row r="12" spans="2:12" ht="31.5" customHeight="1">
      <c r="B12" s="163" t="s">
        <v>217</v>
      </c>
      <c r="C12" s="803" t="s">
        <v>216</v>
      </c>
      <c r="D12" s="803"/>
      <c r="E12" s="803"/>
      <c r="F12" s="803"/>
      <c r="H12" s="160" t="s">
        <v>215</v>
      </c>
      <c r="I12" s="160" t="s">
        <v>214</v>
      </c>
      <c r="J12" s="160" t="s">
        <v>213</v>
      </c>
    </row>
    <row r="13" spans="2:12">
      <c r="J13" s="141"/>
    </row>
    <row r="14" spans="2:12">
      <c r="E14" s="74">
        <v>1361769867</v>
      </c>
      <c r="F14" s="3">
        <f>E14/10^7</f>
        <v>136.17698669999999</v>
      </c>
      <c r="H14" s="162" t="s">
        <v>212</v>
      </c>
      <c r="I14" s="162" t="s">
        <v>211</v>
      </c>
      <c r="J14" s="162" t="s">
        <v>210</v>
      </c>
    </row>
    <row r="15" spans="2:12">
      <c r="B15" s="804" t="s">
        <v>209</v>
      </c>
      <c r="C15" s="804"/>
      <c r="F15" s="3">
        <f>14.02*10^5</f>
        <v>1402000</v>
      </c>
      <c r="H15" s="160" t="s">
        <v>208</v>
      </c>
      <c r="I15" s="160" t="s">
        <v>207</v>
      </c>
      <c r="J15" s="160" t="s">
        <v>206</v>
      </c>
    </row>
    <row r="16" spans="2:12">
      <c r="B16" s="160" t="s">
        <v>205</v>
      </c>
      <c r="C16" s="161">
        <v>0.28399999999999997</v>
      </c>
      <c r="E16" s="3">
        <f>F14/33</f>
        <v>4.1265753545454542</v>
      </c>
      <c r="F16" s="74">
        <f>E16*175</f>
        <v>722.15068704545445</v>
      </c>
    </row>
    <row r="17" spans="1:67">
      <c r="B17" s="160" t="s">
        <v>204</v>
      </c>
      <c r="C17" s="160" t="s">
        <v>203</v>
      </c>
      <c r="E17" s="74">
        <v>945654735</v>
      </c>
    </row>
    <row r="18" spans="1:67">
      <c r="B18" s="160" t="s">
        <v>202</v>
      </c>
      <c r="C18" s="160" t="s">
        <v>201</v>
      </c>
      <c r="E18" s="126">
        <f>E17/E14</f>
        <v>0.69443065081421718</v>
      </c>
    </row>
    <row r="19" spans="1:67">
      <c r="B19" s="160" t="s">
        <v>200</v>
      </c>
      <c r="C19" s="160" t="s">
        <v>199</v>
      </c>
    </row>
    <row r="20" spans="1:67">
      <c r="B20" s="160" t="s">
        <v>198</v>
      </c>
      <c r="C20" s="160" t="s">
        <v>197</v>
      </c>
    </row>
    <row r="21" spans="1:67">
      <c r="B21" s="160" t="s">
        <v>65</v>
      </c>
      <c r="C21" s="160" t="s">
        <v>196</v>
      </c>
      <c r="E21" s="3" t="s">
        <v>263</v>
      </c>
      <c r="F21" s="168" t="s">
        <v>264</v>
      </c>
      <c r="G21" s="168" t="s">
        <v>265</v>
      </c>
      <c r="H21" s="168" t="s">
        <v>266</v>
      </c>
      <c r="I21" s="168" t="s">
        <v>300</v>
      </c>
    </row>
    <row r="22" spans="1:67" s="1" customFormat="1" ht="12.75">
      <c r="A22" s="88"/>
      <c r="D22" s="1">
        <f>F23*100000</f>
        <v>27.999999999999996</v>
      </c>
      <c r="E22" s="150">
        <v>88626.4</v>
      </c>
      <c r="F22" s="88" t="s">
        <v>310</v>
      </c>
      <c r="G22" s="149">
        <f>F23*E22</f>
        <v>24.815391999999996</v>
      </c>
      <c r="H22" s="393">
        <f>G22*76</f>
        <v>1885.9697919999996</v>
      </c>
      <c r="I22" s="149">
        <f>H22*100000</f>
        <v>188596979.19999996</v>
      </c>
      <c r="J22" s="149">
        <f>I22/10^7</f>
        <v>18.859697919999995</v>
      </c>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row>
    <row r="23" spans="1:67" s="1" customFormat="1" ht="12.75">
      <c r="E23" s="1">
        <v>28</v>
      </c>
      <c r="F23" s="88">
        <f>E23/100000</f>
        <v>2.7999999999999998E-4</v>
      </c>
      <c r="G23" s="88"/>
      <c r="H23" s="88"/>
      <c r="I23" s="171">
        <f>I22/10^7</f>
        <v>18.859697919999995</v>
      </c>
      <c r="J23" s="88"/>
      <c r="K23" s="88"/>
      <c r="L23" s="88"/>
      <c r="M23" s="88"/>
      <c r="N23" s="88"/>
      <c r="O23" s="88"/>
      <c r="P23" s="88"/>
      <c r="Q23" s="88"/>
      <c r="R23" s="88"/>
      <c r="S23" s="88"/>
      <c r="T23" s="88"/>
      <c r="U23" s="88"/>
      <c r="V23" s="89"/>
      <c r="BO23" s="90"/>
    </row>
    <row r="27" spans="1:67" ht="15.75">
      <c r="A27" s="401" t="s">
        <v>347</v>
      </c>
      <c r="B27"/>
      <c r="D27" s="401" t="s">
        <v>350</v>
      </c>
      <c r="E27"/>
      <c r="F27" s="3">
        <f>0.28/1000</f>
        <v>2.8000000000000003E-4</v>
      </c>
    </row>
    <row r="28" spans="1:67" ht="16.5" thickBot="1">
      <c r="A28" s="401" t="s">
        <v>348</v>
      </c>
      <c r="B28"/>
      <c r="D28" s="401" t="s">
        <v>351</v>
      </c>
      <c r="E28"/>
    </row>
    <row r="29" spans="1:67" ht="15.75" thickBot="1">
      <c r="A29" s="402" t="s">
        <v>272</v>
      </c>
      <c r="B29" s="403">
        <v>28412</v>
      </c>
      <c r="D29" s="406" t="s">
        <v>272</v>
      </c>
      <c r="E29" s="407">
        <v>25699</v>
      </c>
    </row>
    <row r="30" spans="1:67" ht="15.75" thickBot="1">
      <c r="A30" s="404" t="s">
        <v>273</v>
      </c>
      <c r="B30" s="405">
        <v>29925</v>
      </c>
      <c r="D30" s="408" t="s">
        <v>273</v>
      </c>
      <c r="E30" s="409">
        <v>26033</v>
      </c>
    </row>
    <row r="31" spans="1:67" ht="15.75" thickBot="1">
      <c r="A31" s="404" t="s">
        <v>274</v>
      </c>
      <c r="B31" s="405">
        <v>29764</v>
      </c>
      <c r="D31" s="408" t="s">
        <v>274</v>
      </c>
      <c r="E31" s="409">
        <v>28157</v>
      </c>
    </row>
    <row r="32" spans="1:67" ht="15.75" thickBot="1">
      <c r="A32" s="404" t="s">
        <v>275</v>
      </c>
      <c r="B32" s="405">
        <v>28868</v>
      </c>
      <c r="D32" s="408" t="s">
        <v>275</v>
      </c>
      <c r="E32" s="409">
        <v>26258</v>
      </c>
    </row>
    <row r="33" spans="1:5" ht="15.75" thickBot="1">
      <c r="A33" s="404" t="s">
        <v>349</v>
      </c>
      <c r="B33" s="405">
        <v>49740</v>
      </c>
      <c r="D33" s="408" t="s">
        <v>349</v>
      </c>
      <c r="E33" s="409">
        <v>43871</v>
      </c>
    </row>
    <row r="34" spans="1:5">
      <c r="B34" s="141">
        <f>AVERAGE(B29:B32)</f>
        <v>29242.25</v>
      </c>
      <c r="E34" s="141">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7753-C1C2-43B9-B765-834FEA0B0C63}">
  <dimension ref="A3:S55"/>
  <sheetViews>
    <sheetView showGridLines="0" topLeftCell="A38" workbookViewId="0">
      <selection activeCell="E55" sqref="E55"/>
    </sheetView>
  </sheetViews>
  <sheetFormatPr defaultRowHeight="12.75"/>
  <cols>
    <col min="1" max="1" width="9.140625" style="1"/>
    <col min="2" max="2" width="40.140625" style="1" bestFit="1" customWidth="1"/>
    <col min="3" max="3" width="9.140625" style="1"/>
    <col min="4" max="4" width="14.28515625" style="1" customWidth="1"/>
    <col min="5" max="16384" width="9.140625" style="1"/>
  </cols>
  <sheetData>
    <row r="3" spans="2:4">
      <c r="B3" s="767" t="s">
        <v>451</v>
      </c>
      <c r="C3" s="768"/>
      <c r="D3" s="768">
        <v>365</v>
      </c>
    </row>
    <row r="4" spans="2:4">
      <c r="C4" s="769"/>
      <c r="D4" s="769"/>
    </row>
    <row r="5" spans="2:4">
      <c r="B5" s="749" t="s">
        <v>452</v>
      </c>
      <c r="C5" s="750"/>
      <c r="D5" s="750" t="s">
        <v>22</v>
      </c>
    </row>
    <row r="6" spans="2:4">
      <c r="B6" s="751" t="s">
        <v>453</v>
      </c>
      <c r="C6" s="752"/>
      <c r="D6" s="753">
        <v>30</v>
      </c>
    </row>
    <row r="7" spans="2:4">
      <c r="C7" s="769"/>
      <c r="D7" s="769"/>
    </row>
    <row r="8" spans="2:4">
      <c r="B8" s="754" t="s">
        <v>454</v>
      </c>
      <c r="C8" s="755"/>
      <c r="D8" s="755" t="s">
        <v>22</v>
      </c>
    </row>
    <row r="9" spans="2:4">
      <c r="B9" s="756" t="s">
        <v>455</v>
      </c>
      <c r="C9" s="757"/>
      <c r="D9" s="758">
        <v>30</v>
      </c>
    </row>
    <row r="10" spans="2:4">
      <c r="B10" s="756"/>
      <c r="C10" s="759"/>
      <c r="D10" s="760"/>
    </row>
    <row r="11" spans="2:4">
      <c r="B11" s="761" t="s">
        <v>456</v>
      </c>
      <c r="C11" s="762"/>
      <c r="D11" s="763" t="s">
        <v>22</v>
      </c>
    </row>
    <row r="12" spans="2:4">
      <c r="B12" s="764" t="s">
        <v>457</v>
      </c>
      <c r="C12" s="765"/>
      <c r="D12" s="758">
        <v>30</v>
      </c>
    </row>
    <row r="13" spans="2:4">
      <c r="C13" s="769"/>
      <c r="D13" s="769"/>
    </row>
    <row r="14" spans="2:4">
      <c r="B14" s="761" t="s">
        <v>458</v>
      </c>
      <c r="C14" s="762"/>
      <c r="D14" s="762" t="s">
        <v>22</v>
      </c>
    </row>
    <row r="15" spans="2:4">
      <c r="B15" s="734"/>
      <c r="C15" s="770"/>
      <c r="D15" s="770">
        <v>45</v>
      </c>
    </row>
    <row r="16" spans="2:4">
      <c r="C16" s="769"/>
      <c r="D16" s="769"/>
    </row>
    <row r="17" spans="1:19">
      <c r="B17" s="761" t="s">
        <v>459</v>
      </c>
      <c r="C17" s="762"/>
      <c r="D17" s="762" t="s">
        <v>22</v>
      </c>
    </row>
    <row r="18" spans="1:19">
      <c r="B18" s="734"/>
      <c r="C18" s="770"/>
      <c r="D18" s="770">
        <v>30</v>
      </c>
    </row>
    <row r="20" spans="1:19">
      <c r="A20" s="872" t="s">
        <v>460</v>
      </c>
      <c r="B20" s="872"/>
      <c r="C20" s="872"/>
      <c r="D20" s="872"/>
      <c r="E20" s="872"/>
      <c r="F20" s="872"/>
      <c r="G20" s="872"/>
      <c r="H20" s="872"/>
      <c r="I20" s="872"/>
      <c r="J20" s="872"/>
      <c r="K20" s="872"/>
      <c r="L20" s="872"/>
      <c r="M20" s="872"/>
      <c r="N20" s="872"/>
      <c r="O20" s="872"/>
      <c r="P20" s="872"/>
      <c r="Q20" s="872"/>
      <c r="R20" s="872"/>
      <c r="S20" s="872"/>
    </row>
    <row r="21" spans="1:19">
      <c r="A21" s="873" t="s">
        <v>461</v>
      </c>
      <c r="B21" s="873"/>
      <c r="C21" s="873"/>
      <c r="D21" s="873"/>
      <c r="E21" s="873"/>
      <c r="F21" s="873"/>
      <c r="G21" s="873"/>
      <c r="H21" s="873"/>
      <c r="I21" s="873"/>
      <c r="J21" s="873"/>
      <c r="K21" s="873"/>
      <c r="L21" s="873"/>
      <c r="M21" s="873"/>
      <c r="N21" s="873"/>
      <c r="O21" s="873"/>
      <c r="P21" s="873"/>
      <c r="Q21" s="873"/>
      <c r="R21" s="873"/>
      <c r="S21" s="873"/>
    </row>
    <row r="22" spans="1:19">
      <c r="A22" s="468"/>
      <c r="B22" s="469"/>
      <c r="C22" s="874" t="s">
        <v>462</v>
      </c>
      <c r="D22" s="874"/>
      <c r="E22" s="470">
        <v>82627.033698117535</v>
      </c>
      <c r="F22" s="771"/>
      <c r="G22" s="771"/>
      <c r="H22" s="771"/>
      <c r="I22" s="470"/>
      <c r="J22" s="470"/>
      <c r="K22" s="470"/>
      <c r="L22" s="470"/>
      <c r="M22" s="470"/>
      <c r="N22" s="470"/>
      <c r="O22" s="470"/>
      <c r="P22" s="470"/>
      <c r="Q22" s="470"/>
      <c r="R22" s="470"/>
      <c r="S22" s="470"/>
    </row>
    <row r="23" spans="1:19">
      <c r="A23" s="471" t="s">
        <v>463</v>
      </c>
      <c r="B23" s="472" t="s">
        <v>464</v>
      </c>
      <c r="C23" s="473">
        <v>-2</v>
      </c>
      <c r="D23" s="473">
        <v>-1</v>
      </c>
      <c r="E23" s="473">
        <v>1</v>
      </c>
      <c r="F23" s="473" t="s">
        <v>465</v>
      </c>
      <c r="G23" s="473" t="s">
        <v>466</v>
      </c>
      <c r="H23" s="473" t="s">
        <v>467</v>
      </c>
      <c r="I23" s="473" t="s">
        <v>468</v>
      </c>
      <c r="J23" s="473" t="s">
        <v>469</v>
      </c>
      <c r="K23" s="473" t="s">
        <v>470</v>
      </c>
      <c r="L23" s="473" t="s">
        <v>471</v>
      </c>
      <c r="M23" s="473" t="s">
        <v>472</v>
      </c>
      <c r="N23" s="473" t="s">
        <v>473</v>
      </c>
      <c r="O23" s="473" t="s">
        <v>474</v>
      </c>
      <c r="P23" s="473" t="s">
        <v>475</v>
      </c>
      <c r="Q23" s="473" t="s">
        <v>476</v>
      </c>
      <c r="R23" s="473" t="s">
        <v>477</v>
      </c>
      <c r="S23" s="473" t="s">
        <v>478</v>
      </c>
    </row>
    <row r="24" spans="1:19">
      <c r="A24" s="474" t="s">
        <v>479</v>
      </c>
      <c r="B24" s="475"/>
      <c r="C24" s="476" t="s">
        <v>480</v>
      </c>
      <c r="D24" s="476"/>
      <c r="E24" s="477">
        <v>0.7</v>
      </c>
      <c r="F24" s="477">
        <v>0.9</v>
      </c>
      <c r="G24" s="477">
        <v>0.95</v>
      </c>
      <c r="H24" s="477">
        <v>0.95</v>
      </c>
      <c r="I24" s="477">
        <v>0.95</v>
      </c>
      <c r="J24" s="477">
        <v>0.95</v>
      </c>
      <c r="K24" s="477">
        <v>0.95</v>
      </c>
      <c r="L24" s="477">
        <v>0.95</v>
      </c>
      <c r="M24" s="477">
        <v>0.95</v>
      </c>
      <c r="N24" s="477">
        <v>0.95</v>
      </c>
      <c r="O24" s="477">
        <v>0.95</v>
      </c>
      <c r="P24" s="477">
        <v>0.95</v>
      </c>
      <c r="Q24" s="477">
        <v>0.95</v>
      </c>
      <c r="R24" s="477">
        <v>0.95</v>
      </c>
      <c r="S24" s="477">
        <v>0.95</v>
      </c>
    </row>
    <row r="25" spans="1:19">
      <c r="A25" s="478" t="s">
        <v>32</v>
      </c>
      <c r="B25" s="479" t="s">
        <v>481</v>
      </c>
      <c r="C25" s="480"/>
      <c r="D25" s="480"/>
      <c r="E25" s="772"/>
      <c r="F25" s="772"/>
      <c r="G25" s="772"/>
      <c r="H25" s="772"/>
      <c r="I25" s="772"/>
      <c r="J25" s="772"/>
      <c r="K25" s="772"/>
      <c r="L25" s="772"/>
      <c r="M25" s="772"/>
      <c r="N25" s="772"/>
      <c r="O25" s="772"/>
      <c r="P25" s="772"/>
      <c r="Q25" s="772"/>
      <c r="R25" s="772"/>
      <c r="S25" s="772"/>
    </row>
    <row r="26" spans="1:19">
      <c r="A26" s="478">
        <v>1</v>
      </c>
      <c r="B26" s="479" t="s">
        <v>482</v>
      </c>
      <c r="C26" s="480"/>
      <c r="D26" s="480"/>
      <c r="E26" s="772"/>
      <c r="F26" s="772"/>
      <c r="G26" s="772"/>
      <c r="H26" s="772"/>
      <c r="I26" s="772"/>
      <c r="J26" s="772"/>
      <c r="K26" s="772"/>
      <c r="L26" s="772"/>
      <c r="M26" s="772"/>
      <c r="N26" s="772"/>
      <c r="O26" s="772"/>
      <c r="P26" s="772"/>
      <c r="Q26" s="772"/>
      <c r="R26" s="772"/>
      <c r="S26" s="772"/>
    </row>
    <row r="27" spans="1:19">
      <c r="A27" s="481"/>
      <c r="B27" s="482" t="s">
        <v>20</v>
      </c>
      <c r="C27" s="483"/>
      <c r="D27" s="483"/>
      <c r="E27" s="766"/>
      <c r="F27" s="766"/>
      <c r="G27" s="766"/>
      <c r="H27" s="766"/>
      <c r="I27" s="766"/>
      <c r="J27" s="766"/>
      <c r="K27" s="766"/>
      <c r="L27" s="766"/>
      <c r="M27" s="766"/>
      <c r="N27" s="766"/>
      <c r="O27" s="766"/>
      <c r="P27" s="766"/>
      <c r="Q27" s="766"/>
      <c r="R27" s="766"/>
      <c r="S27" s="766"/>
    </row>
    <row r="28" spans="1:19">
      <c r="A28" s="481"/>
      <c r="B28" s="482" t="s">
        <v>483</v>
      </c>
      <c r="C28" s="483">
        <v>0</v>
      </c>
      <c r="D28" s="483">
        <v>0</v>
      </c>
      <c r="E28" s="773">
        <f>(('Cashflow '!F11+'Cashflow '!F12)/$D$3)*$D$12</f>
        <v>22.975643178082191</v>
      </c>
      <c r="F28" s="773">
        <f>(('Cashflow '!G11+'Cashflow '!G12)/$D$3)*$D$12</f>
        <v>29.540112657534248</v>
      </c>
      <c r="G28" s="773">
        <f>(('Cashflow '!H11+'Cashflow '!H12)/$D$3)*$D$12</f>
        <v>31.181230027397259</v>
      </c>
      <c r="H28" s="773">
        <f>(('Cashflow '!I11+'Cashflow '!I12)/$D$3)*$D$12</f>
        <v>31.181230027397259</v>
      </c>
      <c r="I28" s="773">
        <f>(('Cashflow '!J11+'Cashflow '!J12)/$D$3)*$D$12</f>
        <v>31.181230027397259</v>
      </c>
      <c r="J28" s="773">
        <f>(('Cashflow '!K11+'Cashflow '!K12)/$D$3)*$D$12</f>
        <v>31.181230027397259</v>
      </c>
      <c r="K28" s="773">
        <f>(('Cashflow '!L11+'Cashflow '!L12)/$D$3)*$D$12</f>
        <v>31.181230027397259</v>
      </c>
      <c r="L28" s="773">
        <f>(('Cashflow '!M11+'Cashflow '!M12)/$D$3)*$D$12</f>
        <v>31.181230027397259</v>
      </c>
      <c r="M28" s="773">
        <f>(('Cashflow '!N11+'Cashflow '!N12)/$D$3)*$D$12</f>
        <v>31.181230027397259</v>
      </c>
      <c r="N28" s="773">
        <f>(('Cashflow '!O11+'Cashflow '!O12)/$D$3)*$D$12</f>
        <v>31.181230027397259</v>
      </c>
      <c r="O28" s="773">
        <f>(('Cashflow '!P11+'Cashflow '!P12)/$D$3)*$D$12</f>
        <v>31.181230027397259</v>
      </c>
      <c r="P28" s="773">
        <f>(('Cashflow '!Q11+'Cashflow '!Q12)/$D$3)*$D$12</f>
        <v>31.181230027397259</v>
      </c>
      <c r="Q28" s="773">
        <f>(('Cashflow '!R11+'Cashflow '!R12)/$D$3)*$D$12</f>
        <v>31.181230027397259</v>
      </c>
      <c r="R28" s="773">
        <f>(('Cashflow '!S11+'Cashflow '!S12)/$D$3)*$D$12</f>
        <v>31.181230027397259</v>
      </c>
      <c r="S28" s="773">
        <f>(('Cashflow '!T11+'Cashflow '!T12)/$D$3)*$D$12</f>
        <v>31.181230027397259</v>
      </c>
    </row>
    <row r="29" spans="1:19">
      <c r="A29" s="481"/>
      <c r="B29" s="482" t="s">
        <v>484</v>
      </c>
      <c r="C29" s="483">
        <v>0</v>
      </c>
      <c r="D29" s="483">
        <v>0</v>
      </c>
      <c r="E29" s="773">
        <f>'Cashflow '!F21/'Bal sheet'!$D$3*'Bal sheet'!$D$15</f>
        <v>21.348197526846537</v>
      </c>
      <c r="F29" s="773">
        <f>'Cashflow '!G21/'Bal sheet'!$D$3*'Bal sheet'!$D$15</f>
        <v>27.839009304610837</v>
      </c>
      <c r="G29" s="773">
        <f>'Cashflow '!H21/'Bal sheet'!$D$3*'Bal sheet'!$D$15</f>
        <v>29.839150507927013</v>
      </c>
      <c r="H29" s="773">
        <f>'Cashflow '!I21/'Bal sheet'!$D$3*'Bal sheet'!$D$15</f>
        <v>30.276443924630414</v>
      </c>
      <c r="I29" s="773">
        <f>'Cashflow '!J21/'Bal sheet'!$D$3*'Bal sheet'!$D$15</f>
        <v>30.649255012847988</v>
      </c>
      <c r="J29" s="773">
        <f>'Cashflow '!K21/'Bal sheet'!$D$3*'Bal sheet'!$D$15</f>
        <v>31.059955030020152</v>
      </c>
      <c r="K29" s="773">
        <f>'Cashflow '!L21/'Bal sheet'!$D$3*'Bal sheet'!$D$15</f>
        <v>31.467889572708902</v>
      </c>
      <c r="L29" s="773">
        <f>'Cashflow '!M21/'Bal sheet'!$D$3*'Bal sheet'!$D$15</f>
        <v>31.89235168521996</v>
      </c>
      <c r="M29" s="773">
        <f>'Cashflow '!N21/'Bal sheet'!$D$3*'Bal sheet'!$D$15</f>
        <v>32.364990630313116</v>
      </c>
      <c r="N29" s="773">
        <f>'Cashflow '!O21/'Bal sheet'!$D$3*'Bal sheet'!$D$15</f>
        <v>32.712505278511415</v>
      </c>
      <c r="O29" s="773">
        <f>'Cashflow '!P21/'Bal sheet'!$D$3*'Bal sheet'!$D$15</f>
        <v>33.086999712642822</v>
      </c>
      <c r="P29" s="773">
        <f>'Cashflow '!Q21/'Bal sheet'!$D$3*'Bal sheet'!$D$15</f>
        <v>33.474601984115836</v>
      </c>
      <c r="Q29" s="773">
        <f>'Cashflow '!R21/'Bal sheet'!$D$3*'Bal sheet'!$D$15</f>
        <v>33.837070105908502</v>
      </c>
      <c r="R29" s="773">
        <f>'Cashflow '!S21/'Bal sheet'!$D$3*'Bal sheet'!$D$15</f>
        <v>34.197491649242856</v>
      </c>
      <c r="S29" s="773">
        <f>'Cashflow '!T21/'Bal sheet'!$D$3*'Bal sheet'!$D$15</f>
        <v>34.558754247299369</v>
      </c>
    </row>
    <row r="30" spans="1:19">
      <c r="A30" s="481"/>
      <c r="B30" s="484" t="s">
        <v>485</v>
      </c>
      <c r="C30" s="485">
        <v>0</v>
      </c>
      <c r="D30" s="485">
        <v>0</v>
      </c>
      <c r="E30" s="773">
        <f>('Cashflow '!F15/'Bal sheet'!$D$6)</f>
        <v>5.1238653723330287</v>
      </c>
      <c r="F30" s="773">
        <f>('Cashflow '!G15/'Bal sheet'!$D$6)</f>
        <v>6.680715266678046</v>
      </c>
      <c r="G30" s="773">
        <f>('Cashflow '!H15/'Bal sheet'!$D$6)</f>
        <v>7.16046485299516</v>
      </c>
      <c r="H30" s="773">
        <f>('Cashflow '!I15/'Bal sheet'!$D$6)</f>
        <v>7.2657236863341872</v>
      </c>
      <c r="I30" s="773">
        <f>('Cashflow '!J15/'Bal sheet'!$D$6)</f>
        <v>7.3536389429388311</v>
      </c>
      <c r="J30" s="773">
        <f>('Cashflow '!K15/'Bal sheet'!$D$6)</f>
        <v>7.4521777047742122</v>
      </c>
      <c r="K30" s="773">
        <f>('Cashflow '!L15/'Bal sheet'!$D$6)</f>
        <v>7.5498012327067539</v>
      </c>
      <c r="L30" s="773">
        <f>('Cashflow '!M15/'Bal sheet'!$D$6)</f>
        <v>7.6517235493482954</v>
      </c>
      <c r="M30" s="773">
        <f>('Cashflow '!N15/'Bal sheet'!$D$6)</f>
        <v>7.7664994025885203</v>
      </c>
      <c r="N30" s="773">
        <f>('Cashflow '!O15/'Bal sheet'!$D$6)</f>
        <v>7.8472709963754417</v>
      </c>
      <c r="O30" s="773">
        <f>('Cashflow '!P15/'Bal sheet'!$D$6)</f>
        <v>7.9351604315348458</v>
      </c>
      <c r="P30" s="773">
        <f>('Cashflow '!Q15/'Bal sheet'!$D$6)</f>
        <v>8.0264147764974965</v>
      </c>
      <c r="Q30" s="773">
        <f>('Cashflow '!R15/'Bal sheet'!$D$6)</f>
        <v>8.1106921316507208</v>
      </c>
      <c r="R30" s="773">
        <f>('Cashflow '!S15/'Bal sheet'!$D$6)</f>
        <v>8.1942322606067233</v>
      </c>
      <c r="S30" s="773">
        <f>('Cashflow '!T15/'Bal sheet'!$D$6)</f>
        <v>8.2778134296649117</v>
      </c>
    </row>
    <row r="31" spans="1:19">
      <c r="A31" s="481"/>
      <c r="B31" s="482" t="s">
        <v>486</v>
      </c>
      <c r="C31" s="486">
        <f>+G31/2</f>
        <v>0.15526647259781082</v>
      </c>
      <c r="D31" s="487">
        <f>+E31</f>
        <v>0.22183840643454694</v>
      </c>
      <c r="E31" s="773">
        <f>('Cashflow '!F18+'Cashflow '!F20)/'Bal sheet'!$D$3*'Bal sheet'!$D$18</f>
        <v>0.22183840643454694</v>
      </c>
      <c r="F31" s="773">
        <f>('Cashflow '!G18+'Cashflow '!G20)/'Bal sheet'!$D$3*'Bal sheet'!$D$18</f>
        <v>0.28964173080122035</v>
      </c>
      <c r="G31" s="773">
        <f>('Cashflow '!H18+'Cashflow '!H20)/'Bal sheet'!$D$3*'Bal sheet'!$D$18</f>
        <v>0.31053294519562163</v>
      </c>
      <c r="H31" s="773">
        <f>('Cashflow '!I18+'Cashflow '!I20)/'Bal sheet'!$D$3*'Bal sheet'!$D$18</f>
        <v>0.31497356631191903</v>
      </c>
      <c r="I31" s="773">
        <f>('Cashflow '!J18+'Cashflow '!J20)/'Bal sheet'!$D$3*'Bal sheet'!$D$18</f>
        <v>0.31938319624028588</v>
      </c>
      <c r="J31" s="773">
        <f>('Cashflow '!K18+'Cashflow '!K20)/'Bal sheet'!$D$3*'Bal sheet'!$D$18</f>
        <v>0.32366293106990568</v>
      </c>
      <c r="K31" s="773">
        <f>('Cashflow '!L18+'Cashflow '!L20)/'Bal sheet'!$D$3*'Bal sheet'!$D$18</f>
        <v>0.32800001434624249</v>
      </c>
      <c r="L31" s="773">
        <f>('Cashflow '!M18+'Cashflow '!M20)/'Bal sheet'!$D$3*'Bal sheet'!$D$18</f>
        <v>0.33239521453848209</v>
      </c>
      <c r="M31" s="773">
        <f>('Cashflow '!N18+'Cashflow '!N20)/'Bal sheet'!$D$3*'Bal sheet'!$D$18</f>
        <v>0.3368493104132978</v>
      </c>
      <c r="N31" s="773">
        <f>('Cashflow '!O18+'Cashflow '!O20)/'Bal sheet'!$D$3*'Bal sheet'!$D$18</f>
        <v>0.34136309117283592</v>
      </c>
      <c r="O31" s="773">
        <f>('Cashflow '!P18+'Cashflow '!P20)/'Bal sheet'!$D$3*'Bal sheet'!$D$18</f>
        <v>0.34593735659455194</v>
      </c>
      <c r="P31" s="773">
        <f>('Cashflow '!Q18+'Cashflow '!Q20)/'Bal sheet'!$D$3*'Bal sheet'!$D$18</f>
        <v>0.350572917172919</v>
      </c>
      <c r="Q31" s="773">
        <f>('Cashflow '!R18+'Cashflow '!R20)/'Bal sheet'!$D$3*'Bal sheet'!$D$18</f>
        <v>0.35527059426303609</v>
      </c>
      <c r="R31" s="773">
        <f>('Cashflow '!S18+'Cashflow '!S20)/'Bal sheet'!$D$3*'Bal sheet'!$D$18</f>
        <v>0.36003122022616074</v>
      </c>
      <c r="S31" s="773">
        <f>('Cashflow '!T18+'Cashflow '!T20)/'Bal sheet'!$D$3*'Bal sheet'!$D$18</f>
        <v>0.36485563857719122</v>
      </c>
    </row>
    <row r="32" spans="1:19">
      <c r="A32" s="481"/>
      <c r="B32" s="488" t="s">
        <v>487</v>
      </c>
      <c r="C32" s="489">
        <f>SUM(C28:C31)</f>
        <v>0.15526647259781082</v>
      </c>
      <c r="D32" s="774">
        <f>SUM(D28:D31)</f>
        <v>0.22183840643454694</v>
      </c>
      <c r="E32" s="775">
        <f>SUM(E28:E31)</f>
        <v>49.669544483696306</v>
      </c>
      <c r="F32" s="775">
        <f t="shared" ref="F32:S32" si="0">SUM(F28:F31)</f>
        <v>64.349478959624349</v>
      </c>
      <c r="G32" s="775">
        <f t="shared" si="0"/>
        <v>68.491378333515044</v>
      </c>
      <c r="H32" s="775">
        <f t="shared" si="0"/>
        <v>69.03837120467378</v>
      </c>
      <c r="I32" s="775">
        <f t="shared" si="0"/>
        <v>69.503507179424361</v>
      </c>
      <c r="J32" s="775">
        <f t="shared" si="0"/>
        <v>70.01702569326153</v>
      </c>
      <c r="K32" s="775">
        <f t="shared" si="0"/>
        <v>70.526920847159161</v>
      </c>
      <c r="L32" s="775">
        <f t="shared" si="0"/>
        <v>71.057700476503996</v>
      </c>
      <c r="M32" s="775">
        <f t="shared" si="0"/>
        <v>71.6495693707122</v>
      </c>
      <c r="N32" s="775">
        <f t="shared" si="0"/>
        <v>72.082369393456958</v>
      </c>
      <c r="O32" s="775">
        <f t="shared" si="0"/>
        <v>72.549327528169471</v>
      </c>
      <c r="P32" s="775">
        <f t="shared" si="0"/>
        <v>73.032819705183513</v>
      </c>
      <c r="Q32" s="775">
        <f t="shared" si="0"/>
        <v>73.484262859219513</v>
      </c>
      <c r="R32" s="775">
        <f t="shared" si="0"/>
        <v>73.932985157472999</v>
      </c>
      <c r="S32" s="775">
        <f t="shared" si="0"/>
        <v>74.382653342938738</v>
      </c>
    </row>
    <row r="33" spans="1:19">
      <c r="A33" s="478">
        <v>2</v>
      </c>
      <c r="B33" s="490" t="s">
        <v>488</v>
      </c>
      <c r="C33" s="491">
        <v>0</v>
      </c>
      <c r="D33" s="491">
        <v>0</v>
      </c>
      <c r="E33" s="773">
        <f>'Cashflow '!E118</f>
        <v>2.2620884938909693</v>
      </c>
      <c r="F33" s="773">
        <f>'Cashflow '!F118</f>
        <v>2.2620884938909693</v>
      </c>
      <c r="G33" s="773">
        <f>'Cashflow '!G118</f>
        <v>2.2620884938909693</v>
      </c>
      <c r="H33" s="773">
        <f>'Cashflow '!H118</f>
        <v>2.2620884938909693</v>
      </c>
      <c r="I33" s="773">
        <f>'Cashflow '!I118</f>
        <v>4.0989017950772517</v>
      </c>
      <c r="J33" s="773">
        <f>'Cashflow '!J118</f>
        <v>2.2620884938909693</v>
      </c>
      <c r="K33" s="773">
        <f>'Cashflow '!K118</f>
        <v>2.2620884938909693</v>
      </c>
      <c r="L33" s="773">
        <f>'Cashflow '!L118</f>
        <v>2.2620884938909693</v>
      </c>
      <c r="M33" s="773">
        <f>'Cashflow '!M118</f>
        <v>2.2620884938909693</v>
      </c>
      <c r="N33" s="773">
        <f>'Cashflow '!N118</f>
        <v>2.2620884938909551</v>
      </c>
      <c r="O33" s="773">
        <f>'Cashflow '!O118</f>
        <v>15.999556573945439</v>
      </c>
      <c r="P33" s="773">
        <f>'Cashflow '!P118</f>
        <v>25.10628988405908</v>
      </c>
      <c r="Q33" s="773">
        <f>'Cashflow '!Q118</f>
        <v>29.454142746204269</v>
      </c>
      <c r="R33" s="773">
        <f>'Cashflow '!R118</f>
        <v>30.876760307506061</v>
      </c>
      <c r="S33" s="773">
        <f>'Cashflow '!S118</f>
        <v>29.494999222584696</v>
      </c>
    </row>
    <row r="34" spans="1:19">
      <c r="A34" s="478">
        <v>3</v>
      </c>
      <c r="B34" s="479" t="s">
        <v>489</v>
      </c>
      <c r="C34" s="480"/>
      <c r="D34" s="480"/>
      <c r="E34" s="773"/>
      <c r="F34" s="773"/>
      <c r="G34" s="773"/>
      <c r="H34" s="773"/>
      <c r="I34" s="773"/>
      <c r="J34" s="773"/>
      <c r="K34" s="773"/>
      <c r="L34" s="773"/>
      <c r="M34" s="773"/>
      <c r="N34" s="773"/>
      <c r="O34" s="773"/>
      <c r="P34" s="773"/>
      <c r="Q34" s="773"/>
      <c r="R34" s="773"/>
      <c r="S34" s="773"/>
    </row>
    <row r="35" spans="1:19">
      <c r="A35" s="481"/>
      <c r="B35" s="482" t="s">
        <v>490</v>
      </c>
      <c r="C35" s="773">
        <f>'Cashflow '!D55</f>
        <v>113.10442469454674</v>
      </c>
      <c r="D35" s="773">
        <f>+E35</f>
        <v>463.24690174879851</v>
      </c>
      <c r="E35" s="773">
        <f>'Cashflow '!C51+Capex!B30</f>
        <v>463.24690174879851</v>
      </c>
      <c r="F35" s="773">
        <f t="shared" ref="F35:K35" si="1">E35</f>
        <v>463.24690174879851</v>
      </c>
      <c r="G35" s="773">
        <f t="shared" si="1"/>
        <v>463.24690174879851</v>
      </c>
      <c r="H35" s="773">
        <f t="shared" si="1"/>
        <v>463.24690174879851</v>
      </c>
      <c r="I35" s="773">
        <f t="shared" si="1"/>
        <v>463.24690174879851</v>
      </c>
      <c r="J35" s="773">
        <f t="shared" si="1"/>
        <v>463.24690174879851</v>
      </c>
      <c r="K35" s="773">
        <f t="shared" si="1"/>
        <v>463.24690174879851</v>
      </c>
      <c r="L35" s="773">
        <f t="shared" ref="L35:S35" si="2">K35</f>
        <v>463.24690174879851</v>
      </c>
      <c r="M35" s="773">
        <f t="shared" si="2"/>
        <v>463.24690174879851</v>
      </c>
      <c r="N35" s="773">
        <f t="shared" si="2"/>
        <v>463.24690174879851</v>
      </c>
      <c r="O35" s="773">
        <f t="shared" si="2"/>
        <v>463.24690174879851</v>
      </c>
      <c r="P35" s="773">
        <f t="shared" si="2"/>
        <v>463.24690174879851</v>
      </c>
      <c r="Q35" s="773">
        <f t="shared" si="2"/>
        <v>463.24690174879851</v>
      </c>
      <c r="R35" s="773">
        <f t="shared" si="2"/>
        <v>463.24690174879851</v>
      </c>
      <c r="S35" s="773">
        <f t="shared" si="2"/>
        <v>463.24690174879851</v>
      </c>
    </row>
    <row r="36" spans="1:19">
      <c r="A36" s="481"/>
      <c r="B36" s="484" t="s">
        <v>491</v>
      </c>
      <c r="C36" s="485">
        <v>0</v>
      </c>
      <c r="D36" s="485">
        <v>0</v>
      </c>
      <c r="E36" s="773">
        <f>SUM('Cashflow '!$F$76:'Cashflow '!F76)</f>
        <v>20.827099284627533</v>
      </c>
      <c r="F36" s="773">
        <f>SUM('Cashflow '!$F$76:'Cashflow '!G76)</f>
        <v>41.654198569255065</v>
      </c>
      <c r="G36" s="773">
        <f>SUM('Cashflow '!$F$76:'Cashflow '!H76)</f>
        <v>62.481297853882594</v>
      </c>
      <c r="H36" s="773">
        <f>SUM('Cashflow '!$F$76:'Cashflow '!I76)</f>
        <v>83.308397138510131</v>
      </c>
      <c r="I36" s="773">
        <f>SUM('Cashflow '!$F$76:'Cashflow '!J76)</f>
        <v>104.13549642313767</v>
      </c>
      <c r="J36" s="773">
        <f>SUM('Cashflow '!$F$76:'Cashflow '!K76)</f>
        <v>124.9625957077652</v>
      </c>
      <c r="K36" s="773">
        <f>SUM('Cashflow '!$F$76:'Cashflow '!L76)</f>
        <v>145.78969499239273</v>
      </c>
      <c r="L36" s="773">
        <f>SUM('Cashflow '!$F$76:'Cashflow '!M76)</f>
        <v>166.61679427702026</v>
      </c>
      <c r="M36" s="773">
        <f>SUM('Cashflow '!$F$76:'Cashflow '!N76)</f>
        <v>187.4438935616478</v>
      </c>
      <c r="N36" s="773">
        <f>SUM('Cashflow '!$F$76:'Cashflow '!O76)</f>
        <v>208.27099284627533</v>
      </c>
      <c r="O36" s="773">
        <f>SUM('Cashflow '!$F$76:'Cashflow '!P76)</f>
        <v>229.09809213090287</v>
      </c>
      <c r="P36" s="773">
        <f>SUM('Cashflow '!$F$76:'Cashflow '!Q76)</f>
        <v>249.92519141553041</v>
      </c>
      <c r="Q36" s="773">
        <f>SUM('Cashflow '!$F$76:'Cashflow '!R76)</f>
        <v>270.75229070015791</v>
      </c>
      <c r="R36" s="773">
        <f>SUM('Cashflow '!$F$76:'Cashflow '!S76)</f>
        <v>291.57938998478545</v>
      </c>
      <c r="S36" s="773">
        <f>SUM('Cashflow '!$F$76:'Cashflow '!T76)</f>
        <v>312.40648926941299</v>
      </c>
    </row>
    <row r="37" spans="1:19">
      <c r="A37" s="481"/>
      <c r="B37" s="482" t="s">
        <v>492</v>
      </c>
      <c r="C37" s="773">
        <f t="shared" ref="C37:J37" si="3">C35-C36</f>
        <v>113.10442469454674</v>
      </c>
      <c r="D37" s="773">
        <f t="shared" si="3"/>
        <v>463.24690174879851</v>
      </c>
      <c r="E37" s="773">
        <f t="shared" si="3"/>
        <v>442.41980246417097</v>
      </c>
      <c r="F37" s="773">
        <f t="shared" si="3"/>
        <v>421.59270317954343</v>
      </c>
      <c r="G37" s="773">
        <f t="shared" si="3"/>
        <v>400.7656038949159</v>
      </c>
      <c r="H37" s="773">
        <f t="shared" si="3"/>
        <v>379.93850461028836</v>
      </c>
      <c r="I37" s="773">
        <f t="shared" si="3"/>
        <v>359.11140532566083</v>
      </c>
      <c r="J37" s="773">
        <f t="shared" si="3"/>
        <v>338.28430604103329</v>
      </c>
      <c r="K37" s="773">
        <f t="shared" ref="K37:S37" si="4">K35-K36</f>
        <v>317.45720675640575</v>
      </c>
      <c r="L37" s="773">
        <f t="shared" si="4"/>
        <v>296.63010747177827</v>
      </c>
      <c r="M37" s="773">
        <f t="shared" si="4"/>
        <v>275.80300818715068</v>
      </c>
      <c r="N37" s="773">
        <f t="shared" si="4"/>
        <v>254.97590890252317</v>
      </c>
      <c r="O37" s="773">
        <f t="shared" si="4"/>
        <v>234.14880961789564</v>
      </c>
      <c r="P37" s="773">
        <f t="shared" si="4"/>
        <v>213.3217103332681</v>
      </c>
      <c r="Q37" s="773">
        <f t="shared" si="4"/>
        <v>192.49461104864059</v>
      </c>
      <c r="R37" s="773">
        <f t="shared" si="4"/>
        <v>171.66751176401306</v>
      </c>
      <c r="S37" s="773">
        <f t="shared" si="4"/>
        <v>150.84041247938552</v>
      </c>
    </row>
    <row r="38" spans="1:19">
      <c r="A38" s="481" t="s">
        <v>312</v>
      </c>
      <c r="B38" s="479" t="s">
        <v>493</v>
      </c>
      <c r="C38" s="776">
        <f t="shared" ref="C38:J38" si="5">C32+C33+C37</f>
        <v>113.25969116714455</v>
      </c>
      <c r="D38" s="776">
        <f t="shared" si="5"/>
        <v>463.46874015523304</v>
      </c>
      <c r="E38" s="776">
        <f t="shared" si="5"/>
        <v>494.35143544175827</v>
      </c>
      <c r="F38" s="776">
        <f t="shared" si="5"/>
        <v>488.20427063305874</v>
      </c>
      <c r="G38" s="776">
        <f t="shared" si="5"/>
        <v>471.51907072232189</v>
      </c>
      <c r="H38" s="776">
        <f t="shared" si="5"/>
        <v>451.2389643088531</v>
      </c>
      <c r="I38" s="776">
        <f t="shared" si="5"/>
        <v>432.71381430016243</v>
      </c>
      <c r="J38" s="776">
        <f t="shared" si="5"/>
        <v>410.56342022818581</v>
      </c>
      <c r="K38" s="776">
        <f t="shared" ref="K38:S38" si="6">K32+K33+K37</f>
        <v>390.24621609745589</v>
      </c>
      <c r="L38" s="776">
        <f t="shared" si="6"/>
        <v>369.94989644217321</v>
      </c>
      <c r="M38" s="776">
        <f t="shared" si="6"/>
        <v>349.71466605175385</v>
      </c>
      <c r="N38" s="776">
        <f t="shared" si="6"/>
        <v>329.32036678987106</v>
      </c>
      <c r="O38" s="776">
        <f t="shared" si="6"/>
        <v>322.69769372001053</v>
      </c>
      <c r="P38" s="776">
        <f t="shared" si="6"/>
        <v>311.46081992251072</v>
      </c>
      <c r="Q38" s="776">
        <f t="shared" si="6"/>
        <v>295.43301665406437</v>
      </c>
      <c r="R38" s="776">
        <f t="shared" si="6"/>
        <v>276.47725722899213</v>
      </c>
      <c r="S38" s="776">
        <f t="shared" si="6"/>
        <v>254.71806504490894</v>
      </c>
    </row>
    <row r="39" spans="1:19">
      <c r="A39" s="478" t="s">
        <v>44</v>
      </c>
      <c r="B39" s="479" t="s">
        <v>494</v>
      </c>
      <c r="C39" s="480"/>
      <c r="D39" s="480"/>
      <c r="E39" s="773"/>
      <c r="F39" s="773"/>
      <c r="G39" s="773"/>
      <c r="H39" s="773"/>
      <c r="I39" s="773"/>
      <c r="J39" s="773"/>
      <c r="K39" s="773"/>
      <c r="L39" s="773"/>
      <c r="M39" s="773"/>
      <c r="N39" s="773"/>
      <c r="O39" s="773"/>
      <c r="P39" s="773"/>
      <c r="Q39" s="773"/>
      <c r="R39" s="773"/>
      <c r="S39" s="773"/>
    </row>
    <row r="40" spans="1:19">
      <c r="A40" s="478">
        <v>1</v>
      </c>
      <c r="B40" s="479" t="s">
        <v>495</v>
      </c>
      <c r="C40" s="480"/>
      <c r="D40" s="480"/>
      <c r="E40" s="773"/>
      <c r="F40" s="773"/>
      <c r="G40" s="773"/>
      <c r="H40" s="773"/>
      <c r="I40" s="773"/>
      <c r="J40" s="773"/>
      <c r="K40" s="773"/>
      <c r="L40" s="773"/>
      <c r="M40" s="773"/>
      <c r="N40" s="773"/>
      <c r="O40" s="773"/>
      <c r="P40" s="773"/>
      <c r="Q40" s="773"/>
      <c r="R40" s="773"/>
      <c r="S40" s="773"/>
    </row>
    <row r="41" spans="1:19">
      <c r="A41" s="481"/>
      <c r="B41" s="482" t="s">
        <v>496</v>
      </c>
      <c r="C41" s="483">
        <v>0</v>
      </c>
      <c r="D41" s="483">
        <v>0</v>
      </c>
      <c r="E41" s="773">
        <f>($D$9*(Norms!$D$3+Norms!$D$5)*(Norms!$B$5/1000)*Norms!$G$13*E24)/10000000</f>
        <v>6.3527326012499996</v>
      </c>
      <c r="F41" s="773">
        <f>($D$9*(Norms!$D$3+Norms!$D$5)*(Norms!$B$5/1000)*Norms!$G$13*F24)/10000000</f>
        <v>8.1677990587500009</v>
      </c>
      <c r="G41" s="773">
        <f>($D$9*(Norms!$D$3+Norms!$D$5)*(Norms!$B$5/1000)*Norms!$G$13*G24)/10000000</f>
        <v>8.6215656731249997</v>
      </c>
      <c r="H41" s="773">
        <f>($D$9*(Norms!$D$3+Norms!$D$5)*(Norms!$B$5/1000)*Norms!$G$13*H24)/10000000</f>
        <v>8.6215656731249997</v>
      </c>
      <c r="I41" s="773">
        <f>($D$9*(Norms!$D$3+Norms!$D$5)*(Norms!$B$5/1000)*Norms!$G$13*I24)/10000000</f>
        <v>8.6215656731249997</v>
      </c>
      <c r="J41" s="773">
        <f>($D$9*(Norms!$D$3+Norms!$D$5)*(Norms!$B$5/1000)*Norms!$G$13*J24)/10000000</f>
        <v>8.6215656731249997</v>
      </c>
      <c r="K41" s="773">
        <f>($D$9*(Norms!$D$3+Norms!$D$5)*(Norms!$B$5/1000)*Norms!$G$13*K24)/10000000</f>
        <v>8.6215656731249997</v>
      </c>
      <c r="L41" s="773">
        <f>($D$9*(Norms!$D$3+Norms!$D$5)*(Norms!$B$5/1000)*Norms!$G$13*L24)/10000000</f>
        <v>8.6215656731249997</v>
      </c>
      <c r="M41" s="773">
        <f>($D$9*(Norms!$D$3+Norms!$D$5)*(Norms!$B$5/1000)*Norms!$G$13*M24)/10000000</f>
        <v>8.6215656731249997</v>
      </c>
      <c r="N41" s="773">
        <f>($D$9*(Norms!$D$3+Norms!$D$5)*(Norms!$B$5/1000)*Norms!$G$13*N24)/10000000</f>
        <v>8.6215656731249997</v>
      </c>
      <c r="O41" s="773">
        <f>($D$9*(Norms!$D$3+Norms!$D$5)*(Norms!$B$5/1000)*Norms!$G$13*O24)/10000000</f>
        <v>8.6215656731249997</v>
      </c>
      <c r="P41" s="773">
        <f>($D$9*(Norms!$D$3+Norms!$D$5)*(Norms!$B$5/1000)*Norms!$G$13*P24)/10000000</f>
        <v>8.6215656731249997</v>
      </c>
      <c r="Q41" s="773">
        <f>($D$9*(Norms!$D$3+Norms!$D$5)*(Norms!$B$5/1000)*Norms!$G$13*Q24)/10000000</f>
        <v>8.6215656731249997</v>
      </c>
      <c r="R41" s="773">
        <f>($D$9*(Norms!$D$3+Norms!$D$5)*(Norms!$B$5/1000)*Norms!$G$13*R24)/10000000</f>
        <v>8.6215656731249997</v>
      </c>
      <c r="S41" s="773">
        <f>($D$9*(Norms!$D$3+Norms!$D$5)*(Norms!$B$5/1000)*Norms!$G$13*S24)/10000000</f>
        <v>8.6215656731249997</v>
      </c>
    </row>
    <row r="42" spans="1:19">
      <c r="A42" s="481"/>
      <c r="B42" s="482" t="s">
        <v>497</v>
      </c>
      <c r="C42" s="486">
        <f>+C31</f>
        <v>0.15526647259781082</v>
      </c>
      <c r="D42" s="487">
        <f>+D31</f>
        <v>0.22183840643454694</v>
      </c>
      <c r="E42" s="773">
        <v>0</v>
      </c>
      <c r="F42" s="773"/>
      <c r="G42" s="773"/>
      <c r="H42" s="773"/>
      <c r="I42" s="773"/>
      <c r="J42" s="773"/>
      <c r="K42" s="773"/>
      <c r="L42" s="773"/>
      <c r="M42" s="773"/>
      <c r="N42" s="773"/>
      <c r="O42" s="773"/>
      <c r="P42" s="773"/>
      <c r="Q42" s="773"/>
      <c r="R42" s="773"/>
      <c r="S42" s="773"/>
    </row>
    <row r="43" spans="1:19">
      <c r="A43" s="481"/>
      <c r="B43" s="479" t="s">
        <v>498</v>
      </c>
      <c r="C43" s="773">
        <f t="shared" ref="C43:D43" si="7">SUM(C41:C42)</f>
        <v>0.15526647259781082</v>
      </c>
      <c r="D43" s="773">
        <f t="shared" si="7"/>
        <v>0.22183840643454694</v>
      </c>
      <c r="E43" s="773">
        <f>SUM(E41:E42)</f>
        <v>6.3527326012499996</v>
      </c>
      <c r="F43" s="773">
        <f t="shared" ref="F43:S43" si="8">SUM(F41:F42)</f>
        <v>8.1677990587500009</v>
      </c>
      <c r="G43" s="773">
        <f t="shared" si="8"/>
        <v>8.6215656731249997</v>
      </c>
      <c r="H43" s="773">
        <f t="shared" si="8"/>
        <v>8.6215656731249997</v>
      </c>
      <c r="I43" s="773">
        <f t="shared" si="8"/>
        <v>8.6215656731249997</v>
      </c>
      <c r="J43" s="773">
        <f t="shared" si="8"/>
        <v>8.6215656731249997</v>
      </c>
      <c r="K43" s="773">
        <f t="shared" si="8"/>
        <v>8.6215656731249997</v>
      </c>
      <c r="L43" s="773">
        <f t="shared" si="8"/>
        <v>8.6215656731249997</v>
      </c>
      <c r="M43" s="773">
        <f t="shared" si="8"/>
        <v>8.6215656731249997</v>
      </c>
      <c r="N43" s="773">
        <f t="shared" si="8"/>
        <v>8.6215656731249997</v>
      </c>
      <c r="O43" s="773">
        <f t="shared" si="8"/>
        <v>8.6215656731249997</v>
      </c>
      <c r="P43" s="773">
        <f t="shared" si="8"/>
        <v>8.6215656731249997</v>
      </c>
      <c r="Q43" s="773">
        <f t="shared" si="8"/>
        <v>8.6215656731249997</v>
      </c>
      <c r="R43" s="773">
        <f t="shared" si="8"/>
        <v>8.6215656731249997</v>
      </c>
      <c r="S43" s="773">
        <f t="shared" si="8"/>
        <v>8.6215656731249997</v>
      </c>
    </row>
    <row r="44" spans="1:19">
      <c r="A44" s="492">
        <v>2</v>
      </c>
      <c r="B44" s="493" t="s">
        <v>499</v>
      </c>
      <c r="C44" s="494">
        <v>0</v>
      </c>
      <c r="D44" s="494">
        <v>0</v>
      </c>
      <c r="E44" s="777">
        <f>'Cashflow '!E115</f>
        <v>18.938129948192362</v>
      </c>
      <c r="F44" s="777">
        <f>'Cashflow '!F115</f>
        <v>18.29789712836395</v>
      </c>
      <c r="G44" s="777">
        <f>'Cashflow '!G115</f>
        <v>12.879058133625612</v>
      </c>
      <c r="H44" s="777">
        <f>'Cashflow '!H115</f>
        <v>6.4008944729081838</v>
      </c>
      <c r="I44" s="777">
        <f>'Cashflow '!I115</f>
        <v>0</v>
      </c>
      <c r="J44" s="777">
        <f>'Cashflow '!J115</f>
        <v>2.9839552751287695</v>
      </c>
      <c r="K44" s="777">
        <f>'Cashflow '!K115</f>
        <v>18.863677475428226</v>
      </c>
      <c r="L44" s="777">
        <f>'Cashflow '!L115</f>
        <v>37.672834931667659</v>
      </c>
      <c r="M44" s="777">
        <f>'Cashflow '!M115</f>
        <v>17.363939604693833</v>
      </c>
      <c r="N44" s="777">
        <f>'Cashflow '!N115</f>
        <v>0.12459468231460136</v>
      </c>
      <c r="O44" s="777">
        <f>'Cashflow '!O115</f>
        <v>0</v>
      </c>
      <c r="P44" s="777">
        <f>'Cashflow '!P115</f>
        <v>0</v>
      </c>
      <c r="Q44" s="777">
        <f>'Cashflow '!Q115</f>
        <v>0</v>
      </c>
      <c r="R44" s="777">
        <f>'Cashflow '!R115</f>
        <v>0</v>
      </c>
      <c r="S44" s="777">
        <f>'Cashflow '!S115</f>
        <v>0</v>
      </c>
    </row>
    <row r="45" spans="1:19">
      <c r="A45" s="478">
        <v>3</v>
      </c>
      <c r="B45" s="479" t="s">
        <v>500</v>
      </c>
      <c r="C45" s="480">
        <v>0</v>
      </c>
      <c r="D45" s="773">
        <f>'Cashflow '!E166-Capex!B30</f>
        <v>140.06154751394772</v>
      </c>
      <c r="E45" s="773">
        <f>'Cashflow '!F166</f>
        <v>42.033851920698666</v>
      </c>
      <c r="F45" s="773">
        <f>'Cashflow '!G166</f>
        <v>35.728774132593863</v>
      </c>
      <c r="G45" s="773">
        <f>'Cashflow '!H166</f>
        <v>30.369458012704783</v>
      </c>
      <c r="H45" s="773">
        <f>'Cashflow '!I166</f>
        <v>25.814039310799064</v>
      </c>
      <c r="I45" s="773">
        <f>'Cashflow '!J166</f>
        <v>21.941933414179204</v>
      </c>
      <c r="J45" s="773">
        <f>'Cashflow '!K166</f>
        <v>18.650643402052321</v>
      </c>
      <c r="K45" s="773">
        <f>'Cashflow '!L166</f>
        <v>15.853046891744473</v>
      </c>
      <c r="L45" s="773">
        <f>'Cashflow '!M166</f>
        <v>13.475089857982802</v>
      </c>
      <c r="M45" s="773">
        <f>'Cashflow '!N166</f>
        <v>11.453826379285381</v>
      </c>
      <c r="N45" s="773">
        <f>'Cashflow '!O166</f>
        <v>9.735752422392574</v>
      </c>
      <c r="O45" s="773">
        <f>'Cashflow '!P166</f>
        <v>8.2753895590336874</v>
      </c>
      <c r="P45" s="773">
        <f>'Cashflow '!Q166</f>
        <v>7.0340811251786342</v>
      </c>
      <c r="Q45" s="773">
        <f>'Cashflow '!R166</f>
        <v>5.9789689564018387</v>
      </c>
      <c r="R45" s="773">
        <f>'Cashflow '!S166</f>
        <v>5.0821236129415626</v>
      </c>
      <c r="S45" s="773">
        <f>'Cashflow '!T166</f>
        <v>4.319805071000328</v>
      </c>
    </row>
    <row r="46" spans="1:19">
      <c r="A46" s="478">
        <v>4</v>
      </c>
      <c r="B46" s="479" t="s">
        <v>122</v>
      </c>
      <c r="C46" s="773">
        <f>'Cashflow '!D55</f>
        <v>113.10442469454674</v>
      </c>
      <c r="D46" s="773">
        <f>+C46</f>
        <v>113.10442469454674</v>
      </c>
      <c r="E46" s="773">
        <f>('Cashflow '!$C$51/(Norms!$B$58+Norms!$B$59))*Norms!$B$58+'Cashflow '!F90</f>
        <v>113.10442469454674</v>
      </c>
      <c r="F46" s="773">
        <f>('Cashflow '!$C$51/(Norms!$B$58+Norms!$B$59))*Norms!$B$58+'Cashflow '!G90</f>
        <v>113.10442469454674</v>
      </c>
      <c r="G46" s="773">
        <f>('Cashflow '!$C$51/(Norms!$B$58+Norms!$B$59))*Norms!$B$58+'Cashflow '!H90</f>
        <v>113.10442469454674</v>
      </c>
      <c r="H46" s="773">
        <f>('Cashflow '!$C$51/(Norms!$B$58+Norms!$B$59))*Norms!$B$58+'Cashflow '!I90</f>
        <v>113.10442469454674</v>
      </c>
      <c r="I46" s="773">
        <f>('Cashflow '!$C$51/(Norms!$B$58+Norms!$B$59))*Norms!$B$58+'Cashflow '!J90</f>
        <v>113.10442469454674</v>
      </c>
      <c r="J46" s="773">
        <f>('Cashflow '!$C$51/(Norms!$B$58+Norms!$B$59))*Norms!$B$58+'Cashflow '!K90</f>
        <v>113.10442469454674</v>
      </c>
      <c r="K46" s="773">
        <f>('Cashflow '!$C$51/(Norms!$B$58+Norms!$B$59))*Norms!$B$58+'Cashflow '!L90</f>
        <v>113.10442469454674</v>
      </c>
      <c r="L46" s="773">
        <f>('Cashflow '!$C$51/(Norms!$B$58+Norms!$B$59))*Norms!$B$58+'Cashflow '!M90</f>
        <v>113.10442469454674</v>
      </c>
      <c r="M46" s="773">
        <f>('Cashflow '!$C$51/(Norms!$B$58+Norms!$B$59))*Norms!$B$58+'Cashflow '!N90</f>
        <v>113.10442469454674</v>
      </c>
      <c r="N46" s="773">
        <f>('Cashflow '!$C$51/(Norms!$B$58+Norms!$B$59))*Norms!$B$58+'Cashflow '!O90</f>
        <v>113.10442469454674</v>
      </c>
      <c r="O46" s="773">
        <f>('Cashflow '!$C$51/(Norms!$B$58+Norms!$B$59))*Norms!$B$58+'Cashflow '!P90</f>
        <v>113.10442469454674</v>
      </c>
      <c r="P46" s="773">
        <f>('Cashflow '!$C$51/(Norms!$B$58+Norms!$B$59))*Norms!$B$58+'Cashflow '!Q90</f>
        <v>113.10442469454674</v>
      </c>
      <c r="Q46" s="773">
        <f>('Cashflow '!$C$51/(Norms!$B$58+Norms!$B$59))*Norms!$B$58+'Cashflow '!R90</f>
        <v>113.10442469454674</v>
      </c>
      <c r="R46" s="773">
        <f>('Cashflow '!$C$51/(Norms!$B$58+Norms!$B$59))*Norms!$B$58+'Cashflow '!S90</f>
        <v>113.10442469454674</v>
      </c>
      <c r="S46" s="773">
        <f>('Cashflow '!$C$51/(Norms!$B$58+Norms!$B$59))*Norms!$B$58+'Cashflow '!T90</f>
        <v>113.10442469454674</v>
      </c>
    </row>
    <row r="47" spans="1:19">
      <c r="A47" s="478">
        <v>5</v>
      </c>
      <c r="B47" s="479" t="s">
        <v>501</v>
      </c>
      <c r="C47" s="480">
        <v>0</v>
      </c>
      <c r="D47" s="480">
        <v>0</v>
      </c>
      <c r="E47" s="778">
        <f>'Cashflow '!F80</f>
        <v>51.07241974559733</v>
      </c>
      <c r="F47" s="778">
        <f>'Cashflow '!G80</f>
        <v>126.52026661881483</v>
      </c>
      <c r="G47" s="778">
        <f>'Cashflow '!H80</f>
        <v>195.9218690875079</v>
      </c>
      <c r="H47" s="778">
        <f>'Cashflow '!I80</f>
        <v>254.8048359716459</v>
      </c>
      <c r="I47" s="778">
        <f>'Cashflow '!J80</f>
        <v>313.13726942426285</v>
      </c>
      <c r="J47" s="778">
        <f>'Cashflow '!K80</f>
        <v>370.96068299137806</v>
      </c>
      <c r="K47" s="778">
        <f>'Cashflow '!L80</f>
        <v>428.4950306383322</v>
      </c>
      <c r="L47" s="778">
        <f>'Cashflow '!M80</f>
        <v>485.82777734432301</v>
      </c>
      <c r="M47" s="778">
        <f>'Cashflow '!N80</f>
        <v>542.85328886406182</v>
      </c>
      <c r="N47" s="778">
        <f>'Cashflow '!O80</f>
        <v>600.35820989433921</v>
      </c>
      <c r="O47" s="778">
        <f>'Cashflow '!P80</f>
        <v>655.27247114111731</v>
      </c>
      <c r="P47" s="778">
        <f>'Cashflow '!Q80</f>
        <v>707.61837790942639</v>
      </c>
      <c r="Q47" s="778">
        <f>'Cashflow '!R80</f>
        <v>757.60637950596708</v>
      </c>
      <c r="R47" s="778">
        <f>'Cashflow '!S80</f>
        <v>805.31348801158208</v>
      </c>
      <c r="S47" s="778">
        <f>'Cashflow '!T80</f>
        <v>850.79160364903532</v>
      </c>
    </row>
    <row r="48" spans="1:19">
      <c r="A48" s="495" t="s">
        <v>312</v>
      </c>
      <c r="B48" s="475" t="s">
        <v>502</v>
      </c>
      <c r="C48" s="776">
        <f t="shared" ref="C48:D48" si="9">SUM(C43:C47)</f>
        <v>113.25969116714455</v>
      </c>
      <c r="D48" s="776">
        <f t="shared" si="9"/>
        <v>253.38781061492901</v>
      </c>
      <c r="E48" s="778">
        <f>SUM(E43:E47)</f>
        <v>231.5015589102851</v>
      </c>
      <c r="F48" s="778">
        <f t="shared" ref="F48:S48" si="10">SUM(F43:F47)</f>
        <v>301.81916163306937</v>
      </c>
      <c r="G48" s="778">
        <f t="shared" si="10"/>
        <v>360.89637560151004</v>
      </c>
      <c r="H48" s="778">
        <f t="shared" si="10"/>
        <v>408.74576012302487</v>
      </c>
      <c r="I48" s="778">
        <f t="shared" si="10"/>
        <v>456.80519320611381</v>
      </c>
      <c r="J48" s="778">
        <f t="shared" si="10"/>
        <v>514.32127203623088</v>
      </c>
      <c r="K48" s="778">
        <f t="shared" si="10"/>
        <v>584.93774537317665</v>
      </c>
      <c r="L48" s="778">
        <f t="shared" si="10"/>
        <v>658.7016925016452</v>
      </c>
      <c r="M48" s="778">
        <f t="shared" si="10"/>
        <v>693.39704521571275</v>
      </c>
      <c r="N48" s="778">
        <f t="shared" si="10"/>
        <v>731.9445473667181</v>
      </c>
      <c r="O48" s="778">
        <f t="shared" si="10"/>
        <v>785.27385106782276</v>
      </c>
      <c r="P48" s="778">
        <f t="shared" si="10"/>
        <v>836.37844940227671</v>
      </c>
      <c r="Q48" s="778">
        <f t="shared" si="10"/>
        <v>885.31133883004065</v>
      </c>
      <c r="R48" s="778">
        <f t="shared" si="10"/>
        <v>932.12160199219534</v>
      </c>
      <c r="S48" s="778">
        <f t="shared" si="10"/>
        <v>976.83739908770735</v>
      </c>
    </row>
    <row r="49" spans="1:19">
      <c r="A49" s="468"/>
      <c r="B49" s="496"/>
      <c r="C49" s="470">
        <f t="shared" ref="C49:J49" si="11">C38-C48</f>
        <v>0</v>
      </c>
      <c r="D49" s="470">
        <f t="shared" si="11"/>
        <v>210.08092954030403</v>
      </c>
      <c r="E49" s="470">
        <f t="shared" si="11"/>
        <v>262.84987653147317</v>
      </c>
      <c r="F49" s="470">
        <f t="shared" si="11"/>
        <v>186.38510899998937</v>
      </c>
      <c r="G49" s="470">
        <f t="shared" si="11"/>
        <v>110.62269512081184</v>
      </c>
      <c r="H49" s="470">
        <f t="shared" si="11"/>
        <v>42.493204185828233</v>
      </c>
      <c r="I49" s="470">
        <f t="shared" si="11"/>
        <v>-24.091378905951387</v>
      </c>
      <c r="J49" s="470">
        <f t="shared" si="11"/>
        <v>-103.75785180804507</v>
      </c>
      <c r="K49" s="470">
        <f t="shared" ref="K49:S49" si="12">K38-K48</f>
        <v>-194.69152927572077</v>
      </c>
      <c r="L49" s="470">
        <f t="shared" si="12"/>
        <v>-288.75179605947199</v>
      </c>
      <c r="M49" s="470">
        <f t="shared" si="12"/>
        <v>-343.6823791639589</v>
      </c>
      <c r="N49" s="470">
        <f t="shared" si="12"/>
        <v>-402.62418057684704</v>
      </c>
      <c r="O49" s="470">
        <f t="shared" si="12"/>
        <v>-462.57615734781223</v>
      </c>
      <c r="P49" s="470">
        <f t="shared" si="12"/>
        <v>-524.91762947976599</v>
      </c>
      <c r="Q49" s="470">
        <f t="shared" si="12"/>
        <v>-589.87832217597634</v>
      </c>
      <c r="R49" s="470">
        <f t="shared" si="12"/>
        <v>-655.64434476320321</v>
      </c>
      <c r="S49" s="470">
        <f t="shared" si="12"/>
        <v>-722.11933404279841</v>
      </c>
    </row>
    <row r="50" spans="1:19">
      <c r="A50" s="468"/>
      <c r="B50" s="496" t="s">
        <v>503</v>
      </c>
      <c r="C50" s="497"/>
      <c r="D50" s="497"/>
      <c r="E50" s="771">
        <v>3</v>
      </c>
      <c r="F50" s="771">
        <v>3</v>
      </c>
      <c r="G50" s="771">
        <v>3</v>
      </c>
      <c r="H50" s="771">
        <v>3</v>
      </c>
      <c r="I50" s="771">
        <v>3</v>
      </c>
      <c r="J50" s="771">
        <v>3</v>
      </c>
      <c r="K50" s="771">
        <v>3</v>
      </c>
      <c r="L50" s="771">
        <v>3</v>
      </c>
      <c r="M50" s="771">
        <v>3</v>
      </c>
      <c r="N50" s="771">
        <v>3</v>
      </c>
      <c r="O50" s="771">
        <v>3</v>
      </c>
      <c r="P50" s="771">
        <v>3</v>
      </c>
      <c r="Q50" s="771">
        <v>3</v>
      </c>
      <c r="R50" s="771">
        <v>3</v>
      </c>
      <c r="S50" s="771">
        <v>3</v>
      </c>
    </row>
    <row r="51" spans="1:19">
      <c r="A51" s="468"/>
      <c r="B51" s="469"/>
      <c r="C51" s="498"/>
      <c r="D51" s="498"/>
      <c r="E51" s="779">
        <v>0.27393623663307581</v>
      </c>
      <c r="F51" s="779">
        <v>0.27287470616545811</v>
      </c>
      <c r="G51" s="779">
        <v>0.27211560399236667</v>
      </c>
      <c r="H51" s="779">
        <v>0.27211560399236667</v>
      </c>
      <c r="I51" s="779">
        <v>0.27211560399236667</v>
      </c>
      <c r="J51" s="779">
        <v>0.27211560399236667</v>
      </c>
      <c r="K51" s="779">
        <v>0.27211560399236667</v>
      </c>
      <c r="L51" s="779">
        <v>0.27211560399236667</v>
      </c>
      <c r="M51" s="779">
        <v>0.27211560399236667</v>
      </c>
      <c r="N51" s="779">
        <v>0.27211560399236667</v>
      </c>
      <c r="O51" s="779">
        <v>0.27211560399236667</v>
      </c>
      <c r="P51" s="779">
        <v>0.27211560399236667</v>
      </c>
      <c r="Q51" s="779">
        <v>0.27211560399236667</v>
      </c>
      <c r="R51" s="779">
        <v>0.27211560399236667</v>
      </c>
      <c r="S51" s="779">
        <v>0.27211560399236667</v>
      </c>
    </row>
    <row r="52" spans="1:19">
      <c r="A52" s="468"/>
      <c r="B52" s="469"/>
      <c r="C52" s="498"/>
      <c r="D52" s="498"/>
      <c r="E52" s="470">
        <v>99.986726371072677</v>
      </c>
      <c r="F52" s="470">
        <v>99.599267750392215</v>
      </c>
      <c r="G52" s="470">
        <v>99.322195457213837</v>
      </c>
      <c r="H52" s="470">
        <v>99.322195457213837</v>
      </c>
      <c r="I52" s="470">
        <v>99.322195457213837</v>
      </c>
      <c r="J52" s="470">
        <v>99.322195457213837</v>
      </c>
      <c r="K52" s="470">
        <v>99.322195457213837</v>
      </c>
      <c r="L52" s="470">
        <v>99.322195457213837</v>
      </c>
      <c r="M52" s="470">
        <v>99.322195457213837</v>
      </c>
      <c r="N52" s="470">
        <v>99.322195457213837</v>
      </c>
      <c r="O52" s="470">
        <v>99.322195457213837</v>
      </c>
      <c r="P52" s="470">
        <v>99.322195457213837</v>
      </c>
      <c r="Q52" s="470">
        <v>99.322195457213837</v>
      </c>
      <c r="R52" s="470">
        <v>99.322195457213837</v>
      </c>
      <c r="S52" s="470">
        <v>99.322195457213837</v>
      </c>
    </row>
    <row r="53" spans="1:19">
      <c r="A53" s="468"/>
      <c r="B53" s="499" t="s">
        <v>504</v>
      </c>
      <c r="C53" s="500"/>
      <c r="D53" s="500"/>
      <c r="E53" s="780">
        <v>68713.033698117535</v>
      </c>
      <c r="F53" s="780">
        <v>83113.927449380149</v>
      </c>
      <c r="G53" s="780">
        <v>97509.076756198367</v>
      </c>
      <c r="H53" s="780">
        <v>97509.076756198367</v>
      </c>
      <c r="I53" s="780">
        <v>97509.076756198367</v>
      </c>
      <c r="J53" s="780">
        <v>97509.076756198367</v>
      </c>
      <c r="K53" s="780">
        <v>97509.076756198367</v>
      </c>
      <c r="L53" s="780">
        <v>97509.076756198367</v>
      </c>
      <c r="M53" s="780">
        <v>97509.076756198367</v>
      </c>
      <c r="N53" s="780">
        <v>97509.076756198367</v>
      </c>
      <c r="O53" s="780">
        <v>97509.076756198367</v>
      </c>
      <c r="P53" s="780">
        <v>97509.076756198367</v>
      </c>
      <c r="Q53" s="780">
        <v>97509.076756198367</v>
      </c>
      <c r="R53" s="780">
        <v>97509.076756198367</v>
      </c>
      <c r="S53" s="780">
        <v>97509.076756198367</v>
      </c>
    </row>
    <row r="54" spans="1:19">
      <c r="C54" s="769"/>
      <c r="D54" s="769"/>
    </row>
    <row r="55" spans="1:19">
      <c r="B55" s="1" t="s">
        <v>505</v>
      </c>
      <c r="C55" s="781">
        <f t="shared" ref="C55:D55" si="13">+C32-C43</f>
        <v>0</v>
      </c>
      <c r="D55" s="781">
        <f t="shared" si="13"/>
        <v>0</v>
      </c>
      <c r="E55" s="781">
        <f>+E32-E43</f>
        <v>43.316811882446309</v>
      </c>
      <c r="F55" s="781">
        <f t="shared" ref="F55:S55" si="14">+F32-F43</f>
        <v>56.18167990087435</v>
      </c>
      <c r="G55" s="781">
        <f t="shared" si="14"/>
        <v>59.869812660390046</v>
      </c>
      <c r="H55" s="781">
        <f t="shared" si="14"/>
        <v>60.416805531548782</v>
      </c>
      <c r="I55" s="781">
        <f t="shared" si="14"/>
        <v>60.881941506299363</v>
      </c>
      <c r="J55" s="781">
        <f t="shared" si="14"/>
        <v>61.395460020136532</v>
      </c>
      <c r="K55" s="781">
        <f t="shared" si="14"/>
        <v>61.905355174034163</v>
      </c>
      <c r="L55" s="781">
        <f t="shared" si="14"/>
        <v>62.436134803378998</v>
      </c>
      <c r="M55" s="781">
        <f t="shared" si="14"/>
        <v>63.028003697587202</v>
      </c>
      <c r="N55" s="781">
        <f t="shared" si="14"/>
        <v>63.46080372033196</v>
      </c>
      <c r="O55" s="781">
        <f t="shared" si="14"/>
        <v>63.927761855044473</v>
      </c>
      <c r="P55" s="781">
        <f t="shared" si="14"/>
        <v>64.411254032058508</v>
      </c>
      <c r="Q55" s="781">
        <f t="shared" si="14"/>
        <v>64.862697186094508</v>
      </c>
      <c r="R55" s="781">
        <f t="shared" si="14"/>
        <v>65.311419484347994</v>
      </c>
      <c r="S55" s="781">
        <f t="shared" si="14"/>
        <v>65.761087669813733</v>
      </c>
    </row>
  </sheetData>
  <mergeCells count="3">
    <mergeCell ref="A20:S20"/>
    <mergeCell ref="A21:S21"/>
    <mergeCell ref="C22:D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168D-D318-4CEF-AAEF-4096C3BB7D8C}">
  <dimension ref="B3:G40"/>
  <sheetViews>
    <sheetView showGridLines="0" workbookViewId="0">
      <selection activeCell="C8" sqref="C8"/>
    </sheetView>
  </sheetViews>
  <sheetFormatPr defaultRowHeight="12.75"/>
  <cols>
    <col min="1" max="1" width="9.140625" style="1"/>
    <col min="2" max="2" width="37.5703125" style="1" customWidth="1"/>
    <col min="3" max="3" width="11.28515625" style="1" bestFit="1" customWidth="1"/>
    <col min="4" max="4" width="14.85546875" style="1" bestFit="1" customWidth="1"/>
    <col min="5" max="5" width="12.140625" style="1" bestFit="1" customWidth="1"/>
    <col min="6" max="6" width="14.85546875" style="1" bestFit="1" customWidth="1"/>
    <col min="7" max="7" width="11" style="1" bestFit="1" customWidth="1"/>
    <col min="8" max="16384" width="9.140625" style="1"/>
  </cols>
  <sheetData>
    <row r="3" spans="2:7">
      <c r="B3" s="782" t="s">
        <v>379</v>
      </c>
      <c r="C3" s="783"/>
      <c r="D3" s="783"/>
      <c r="E3" s="783" t="s">
        <v>64</v>
      </c>
      <c r="F3" s="784"/>
      <c r="G3" s="784"/>
    </row>
    <row r="4" spans="2:7">
      <c r="B4" s="785"/>
      <c r="C4" s="784"/>
      <c r="D4" s="784"/>
      <c r="E4" s="784"/>
      <c r="F4" s="784"/>
      <c r="G4" s="784"/>
    </row>
    <row r="5" spans="2:7">
      <c r="B5" s="786" t="s">
        <v>380</v>
      </c>
      <c r="C5" s="787"/>
      <c r="D5" s="787"/>
      <c r="E5" s="787"/>
      <c r="F5" s="787"/>
      <c r="G5" s="787"/>
    </row>
    <row r="6" spans="2:7">
      <c r="B6" s="786"/>
      <c r="C6" s="787"/>
      <c r="D6" s="787"/>
      <c r="E6" s="787"/>
      <c r="F6" s="787"/>
      <c r="G6" s="787"/>
    </row>
    <row r="7" spans="2:7">
      <c r="B7" s="786" t="s">
        <v>381</v>
      </c>
      <c r="C7" s="788" t="s">
        <v>382</v>
      </c>
      <c r="D7" s="788" t="s">
        <v>383</v>
      </c>
      <c r="E7" s="788" t="s">
        <v>384</v>
      </c>
      <c r="F7" s="788" t="s">
        <v>385</v>
      </c>
      <c r="G7" s="788"/>
    </row>
    <row r="9" spans="2:7">
      <c r="B9" s="789" t="s">
        <v>386</v>
      </c>
      <c r="C9" s="790">
        <f>Capex!B24</f>
        <v>8.254999999999999</v>
      </c>
      <c r="D9" s="797">
        <f>+C9/C11</f>
        <v>2.3714535027775884E-2</v>
      </c>
      <c r="E9" s="798">
        <f>+D9*(Capex!B27+Capex!B28+Capex!B29+Capex!B32)</f>
        <v>2.2170658516916113</v>
      </c>
      <c r="F9" s="798">
        <f>+C9+E9</f>
        <v>10.47206585169161</v>
      </c>
      <c r="G9" s="790"/>
    </row>
    <row r="10" spans="2:7">
      <c r="B10" s="789" t="s">
        <v>387</v>
      </c>
      <c r="C10" s="790">
        <f>Capex!B25+Capex!B26</f>
        <v>339.84374999999994</v>
      </c>
      <c r="D10" s="799">
        <f>+C10/C11</f>
        <v>0.97628546497222413</v>
      </c>
      <c r="E10" s="798">
        <f>+D10*(Capex!B27+Capex!B28+Capex!B29+Capex!B32)</f>
        <v>91.272679955883831</v>
      </c>
      <c r="F10" s="798">
        <f>+C10+E10</f>
        <v>431.11642995588375</v>
      </c>
      <c r="G10" s="790"/>
    </row>
    <row r="11" spans="2:7">
      <c r="B11" s="786" t="s">
        <v>388</v>
      </c>
      <c r="C11" s="791">
        <f>SUM(C9:C10)</f>
        <v>348.09874999999994</v>
      </c>
      <c r="D11" s="797">
        <f>SUM(D9:D10)</f>
        <v>1</v>
      </c>
      <c r="E11" s="791">
        <f>SUM(E9:E10)</f>
        <v>93.489745807575446</v>
      </c>
      <c r="F11" s="791">
        <f>SUM(F9:F10)</f>
        <v>441.58849580757533</v>
      </c>
      <c r="G11" s="791"/>
    </row>
    <row r="12" spans="2:7">
      <c r="B12" s="787"/>
      <c r="C12" s="787"/>
      <c r="D12" s="787"/>
      <c r="E12" s="787"/>
      <c r="F12" s="787"/>
      <c r="G12" s="787"/>
    </row>
    <row r="13" spans="2:7">
      <c r="B13" s="786" t="s">
        <v>389</v>
      </c>
      <c r="C13" s="787"/>
      <c r="D13" s="787"/>
      <c r="E13" s="787"/>
      <c r="F13" s="787"/>
      <c r="G13" s="787"/>
    </row>
    <row r="14" spans="2:7">
      <c r="B14" s="786"/>
      <c r="C14" s="787"/>
      <c r="D14" s="787"/>
      <c r="E14" s="787"/>
      <c r="F14" s="787"/>
      <c r="G14" s="787"/>
    </row>
    <row r="15" spans="2:7">
      <c r="B15" s="789" t="s">
        <v>390</v>
      </c>
      <c r="C15" s="787"/>
      <c r="D15" s="787"/>
      <c r="E15" s="787"/>
      <c r="F15" s="787"/>
      <c r="G15" s="787"/>
    </row>
    <row r="17" spans="2:7" ht="89.25">
      <c r="B17" s="792" t="s">
        <v>391</v>
      </c>
      <c r="C17" s="792" t="s">
        <v>392</v>
      </c>
      <c r="D17" s="793">
        <v>3.3333333333333333E-2</v>
      </c>
      <c r="E17" s="794" t="s">
        <v>387</v>
      </c>
      <c r="F17" s="793">
        <v>4.7500000000000001E-2</v>
      </c>
      <c r="G17" s="792" t="s">
        <v>73</v>
      </c>
    </row>
    <row r="18" spans="2:7">
      <c r="B18" s="792"/>
      <c r="C18" s="792" t="s">
        <v>393</v>
      </c>
      <c r="D18" s="792" t="s">
        <v>394</v>
      </c>
      <c r="E18" s="792" t="s">
        <v>393</v>
      </c>
      <c r="F18" s="792" t="s">
        <v>394</v>
      </c>
      <c r="G18" s="792"/>
    </row>
    <row r="19" spans="2:7">
      <c r="B19" s="795" t="s">
        <v>395</v>
      </c>
      <c r="C19" s="796">
        <f>+F9</f>
        <v>10.47206585169161</v>
      </c>
      <c r="D19" s="796">
        <f>$C$19*$D$17</f>
        <v>0.34906886172305368</v>
      </c>
      <c r="E19" s="796">
        <f>+F10</f>
        <v>431.11642995588375</v>
      </c>
      <c r="F19" s="796">
        <f>+$F$17*$E$19</f>
        <v>20.478030422904478</v>
      </c>
      <c r="G19" s="796">
        <f>+D19+F19</f>
        <v>20.827099284627533</v>
      </c>
    </row>
    <row r="20" spans="2:7">
      <c r="B20" s="795" t="s">
        <v>396</v>
      </c>
      <c r="C20" s="796">
        <f>+C19-D19</f>
        <v>10.122996989968557</v>
      </c>
      <c r="D20" s="796">
        <f t="shared" ref="D20:D38" si="0">$C$19*$D$17</f>
        <v>0.34906886172305368</v>
      </c>
      <c r="E20" s="796">
        <f>+E19-F19</f>
        <v>410.63839953297929</v>
      </c>
      <c r="F20" s="796">
        <f t="shared" ref="F20:F38" si="1">+$F$17*$E$19</f>
        <v>20.478030422904478</v>
      </c>
      <c r="G20" s="796">
        <f t="shared" ref="G20:G38" si="2">+D20+F20</f>
        <v>20.827099284627533</v>
      </c>
    </row>
    <row r="21" spans="2:7">
      <c r="B21" s="795" t="s">
        <v>397</v>
      </c>
      <c r="C21" s="796">
        <f t="shared" ref="C21:C38" si="3">+C20-D20</f>
        <v>9.7739281282455046</v>
      </c>
      <c r="D21" s="796">
        <f t="shared" si="0"/>
        <v>0.34906886172305368</v>
      </c>
      <c r="E21" s="796">
        <f t="shared" ref="E21:E38" si="4">+E20-F20</f>
        <v>390.16036911007484</v>
      </c>
      <c r="F21" s="796">
        <f t="shared" si="1"/>
        <v>20.478030422904478</v>
      </c>
      <c r="G21" s="796">
        <f t="shared" si="2"/>
        <v>20.827099284627533</v>
      </c>
    </row>
    <row r="22" spans="2:7">
      <c r="B22" s="795" t="s">
        <v>398</v>
      </c>
      <c r="C22" s="796">
        <f t="shared" si="3"/>
        <v>9.4248592665224518</v>
      </c>
      <c r="D22" s="796">
        <f t="shared" si="0"/>
        <v>0.34906886172305368</v>
      </c>
      <c r="E22" s="796">
        <f t="shared" si="4"/>
        <v>369.68233868717039</v>
      </c>
      <c r="F22" s="796">
        <f t="shared" si="1"/>
        <v>20.478030422904478</v>
      </c>
      <c r="G22" s="796">
        <f t="shared" si="2"/>
        <v>20.827099284627533</v>
      </c>
    </row>
    <row r="23" spans="2:7">
      <c r="B23" s="795" t="s">
        <v>399</v>
      </c>
      <c r="C23" s="796">
        <f t="shared" si="3"/>
        <v>9.0757904047993989</v>
      </c>
      <c r="D23" s="796">
        <f t="shared" si="0"/>
        <v>0.34906886172305368</v>
      </c>
      <c r="E23" s="796">
        <f t="shared" si="4"/>
        <v>349.20430826426593</v>
      </c>
      <c r="F23" s="796">
        <f t="shared" si="1"/>
        <v>20.478030422904478</v>
      </c>
      <c r="G23" s="796">
        <f t="shared" si="2"/>
        <v>20.827099284627533</v>
      </c>
    </row>
    <row r="24" spans="2:7">
      <c r="B24" s="795" t="s">
        <v>400</v>
      </c>
      <c r="C24" s="796">
        <f t="shared" si="3"/>
        <v>8.7267215430763461</v>
      </c>
      <c r="D24" s="796">
        <f t="shared" si="0"/>
        <v>0.34906886172305368</v>
      </c>
      <c r="E24" s="796">
        <f t="shared" si="4"/>
        <v>328.72627784136148</v>
      </c>
      <c r="F24" s="796">
        <f t="shared" si="1"/>
        <v>20.478030422904478</v>
      </c>
      <c r="G24" s="796">
        <f t="shared" si="2"/>
        <v>20.827099284627533</v>
      </c>
    </row>
    <row r="25" spans="2:7">
      <c r="B25" s="795" t="s">
        <v>401</v>
      </c>
      <c r="C25" s="796">
        <f t="shared" si="3"/>
        <v>8.3776526813532932</v>
      </c>
      <c r="D25" s="796">
        <f t="shared" si="0"/>
        <v>0.34906886172305368</v>
      </c>
      <c r="E25" s="796">
        <f t="shared" si="4"/>
        <v>308.24824741845703</v>
      </c>
      <c r="F25" s="796">
        <f t="shared" si="1"/>
        <v>20.478030422904478</v>
      </c>
      <c r="G25" s="796">
        <f t="shared" si="2"/>
        <v>20.827099284627533</v>
      </c>
    </row>
    <row r="26" spans="2:7">
      <c r="B26" s="795" t="s">
        <v>402</v>
      </c>
      <c r="C26" s="796">
        <f t="shared" si="3"/>
        <v>8.0285838196302404</v>
      </c>
      <c r="D26" s="796">
        <f t="shared" si="0"/>
        <v>0.34906886172305368</v>
      </c>
      <c r="E26" s="796">
        <f t="shared" si="4"/>
        <v>287.77021699555257</v>
      </c>
      <c r="F26" s="796">
        <f t="shared" si="1"/>
        <v>20.478030422904478</v>
      </c>
      <c r="G26" s="796">
        <f t="shared" si="2"/>
        <v>20.827099284627533</v>
      </c>
    </row>
    <row r="27" spans="2:7">
      <c r="B27" s="795" t="s">
        <v>403</v>
      </c>
      <c r="C27" s="796">
        <f t="shared" si="3"/>
        <v>7.6795149579071866</v>
      </c>
      <c r="D27" s="796">
        <f t="shared" si="0"/>
        <v>0.34906886172305368</v>
      </c>
      <c r="E27" s="796">
        <f t="shared" si="4"/>
        <v>267.29218657264812</v>
      </c>
      <c r="F27" s="796">
        <f t="shared" si="1"/>
        <v>20.478030422904478</v>
      </c>
      <c r="G27" s="796">
        <f t="shared" si="2"/>
        <v>20.827099284627533</v>
      </c>
    </row>
    <row r="28" spans="2:7">
      <c r="B28" s="795" t="s">
        <v>404</v>
      </c>
      <c r="C28" s="796">
        <f t="shared" si="3"/>
        <v>7.3304460961841329</v>
      </c>
      <c r="D28" s="796">
        <f t="shared" si="0"/>
        <v>0.34906886172305368</v>
      </c>
      <c r="E28" s="796">
        <f t="shared" si="4"/>
        <v>246.81415614974364</v>
      </c>
      <c r="F28" s="796">
        <f t="shared" si="1"/>
        <v>20.478030422904478</v>
      </c>
      <c r="G28" s="796">
        <f t="shared" si="2"/>
        <v>20.827099284627533</v>
      </c>
    </row>
    <row r="29" spans="2:7">
      <c r="B29" s="795" t="s">
        <v>405</v>
      </c>
      <c r="C29" s="796">
        <f t="shared" si="3"/>
        <v>6.9813772344610792</v>
      </c>
      <c r="D29" s="796">
        <f t="shared" si="0"/>
        <v>0.34906886172305368</v>
      </c>
      <c r="E29" s="796">
        <f t="shared" si="4"/>
        <v>226.33612572683916</v>
      </c>
      <c r="F29" s="796">
        <f t="shared" si="1"/>
        <v>20.478030422904478</v>
      </c>
      <c r="G29" s="796">
        <f t="shared" si="2"/>
        <v>20.827099284627533</v>
      </c>
    </row>
    <row r="30" spans="2:7">
      <c r="B30" s="795" t="s">
        <v>406</v>
      </c>
      <c r="C30" s="796">
        <f t="shared" si="3"/>
        <v>6.6323083727380254</v>
      </c>
      <c r="D30" s="796">
        <f t="shared" si="0"/>
        <v>0.34906886172305368</v>
      </c>
      <c r="E30" s="796">
        <f t="shared" si="4"/>
        <v>205.85809530393468</v>
      </c>
      <c r="F30" s="796">
        <f t="shared" si="1"/>
        <v>20.478030422904478</v>
      </c>
      <c r="G30" s="796">
        <f t="shared" si="2"/>
        <v>20.827099284627533</v>
      </c>
    </row>
    <row r="31" spans="2:7">
      <c r="B31" s="795" t="s">
        <v>407</v>
      </c>
      <c r="C31" s="796">
        <f t="shared" si="3"/>
        <v>6.2832395110149717</v>
      </c>
      <c r="D31" s="796">
        <f t="shared" si="0"/>
        <v>0.34906886172305368</v>
      </c>
      <c r="E31" s="796">
        <f t="shared" si="4"/>
        <v>185.38006488103019</v>
      </c>
      <c r="F31" s="796">
        <f t="shared" si="1"/>
        <v>20.478030422904478</v>
      </c>
      <c r="G31" s="796">
        <f t="shared" si="2"/>
        <v>20.827099284627533</v>
      </c>
    </row>
    <row r="32" spans="2:7">
      <c r="B32" s="795" t="s">
        <v>408</v>
      </c>
      <c r="C32" s="796">
        <f t="shared" si="3"/>
        <v>5.934170649291918</v>
      </c>
      <c r="D32" s="796">
        <f t="shared" si="0"/>
        <v>0.34906886172305368</v>
      </c>
      <c r="E32" s="796">
        <f t="shared" si="4"/>
        <v>164.90203445812571</v>
      </c>
      <c r="F32" s="796">
        <f t="shared" si="1"/>
        <v>20.478030422904478</v>
      </c>
      <c r="G32" s="796">
        <f t="shared" si="2"/>
        <v>20.827099284627533</v>
      </c>
    </row>
    <row r="33" spans="2:7">
      <c r="B33" s="795" t="s">
        <v>409</v>
      </c>
      <c r="C33" s="796">
        <f t="shared" si="3"/>
        <v>5.5851017875688642</v>
      </c>
      <c r="D33" s="796">
        <f t="shared" si="0"/>
        <v>0.34906886172305368</v>
      </c>
      <c r="E33" s="796">
        <f t="shared" si="4"/>
        <v>144.42400403522123</v>
      </c>
      <c r="F33" s="796">
        <f t="shared" si="1"/>
        <v>20.478030422904478</v>
      </c>
      <c r="G33" s="796">
        <f t="shared" si="2"/>
        <v>20.827099284627533</v>
      </c>
    </row>
    <row r="34" spans="2:7">
      <c r="B34" s="795" t="s">
        <v>410</v>
      </c>
      <c r="C34" s="796">
        <f t="shared" si="3"/>
        <v>5.2360329258458105</v>
      </c>
      <c r="D34" s="796">
        <f t="shared" si="0"/>
        <v>0.34906886172305368</v>
      </c>
      <c r="E34" s="796">
        <f t="shared" si="4"/>
        <v>123.94597361231675</v>
      </c>
      <c r="F34" s="796">
        <f t="shared" si="1"/>
        <v>20.478030422904478</v>
      </c>
      <c r="G34" s="796">
        <f t="shared" si="2"/>
        <v>20.827099284627533</v>
      </c>
    </row>
    <row r="35" spans="2:7">
      <c r="B35" s="795" t="s">
        <v>411</v>
      </c>
      <c r="C35" s="796">
        <f t="shared" si="3"/>
        <v>4.8869640641227567</v>
      </c>
      <c r="D35" s="796">
        <f t="shared" si="0"/>
        <v>0.34906886172305368</v>
      </c>
      <c r="E35" s="796">
        <f t="shared" si="4"/>
        <v>103.46794318941227</v>
      </c>
      <c r="F35" s="796">
        <f t="shared" si="1"/>
        <v>20.478030422904478</v>
      </c>
      <c r="G35" s="796">
        <f t="shared" si="2"/>
        <v>20.827099284627533</v>
      </c>
    </row>
    <row r="36" spans="2:7">
      <c r="B36" s="795" t="s">
        <v>412</v>
      </c>
      <c r="C36" s="796">
        <f t="shared" si="3"/>
        <v>4.537895202399703</v>
      </c>
      <c r="D36" s="796">
        <f t="shared" si="0"/>
        <v>0.34906886172305368</v>
      </c>
      <c r="E36" s="796">
        <f t="shared" si="4"/>
        <v>82.989912766507786</v>
      </c>
      <c r="F36" s="796">
        <f t="shared" si="1"/>
        <v>20.478030422904478</v>
      </c>
      <c r="G36" s="796">
        <f t="shared" si="2"/>
        <v>20.827099284627533</v>
      </c>
    </row>
    <row r="37" spans="2:7">
      <c r="B37" s="795" t="s">
        <v>413</v>
      </c>
      <c r="C37" s="796">
        <f t="shared" si="3"/>
        <v>4.1888263406766493</v>
      </c>
      <c r="D37" s="796">
        <f t="shared" si="0"/>
        <v>0.34906886172305368</v>
      </c>
      <c r="E37" s="796">
        <f t="shared" si="4"/>
        <v>62.511882343603304</v>
      </c>
      <c r="F37" s="796">
        <f t="shared" si="1"/>
        <v>20.478030422904478</v>
      </c>
      <c r="G37" s="796">
        <f t="shared" si="2"/>
        <v>20.827099284627533</v>
      </c>
    </row>
    <row r="38" spans="2:7">
      <c r="B38" s="795" t="s">
        <v>414</v>
      </c>
      <c r="C38" s="796">
        <f t="shared" si="3"/>
        <v>3.8397574789535955</v>
      </c>
      <c r="D38" s="796">
        <f t="shared" si="0"/>
        <v>0.34906886172305368</v>
      </c>
      <c r="E38" s="796">
        <f t="shared" si="4"/>
        <v>42.033851920698822</v>
      </c>
      <c r="F38" s="796">
        <f t="shared" si="1"/>
        <v>20.478030422904478</v>
      </c>
      <c r="G38" s="796">
        <f t="shared" si="2"/>
        <v>20.827099284627533</v>
      </c>
    </row>
    <row r="39" spans="2:7">
      <c r="G39" s="800">
        <f>SUM(G19:G38)</f>
        <v>416.54198569255067</v>
      </c>
    </row>
    <row r="40" spans="2:7">
      <c r="F40" s="801" t="s">
        <v>415</v>
      </c>
      <c r="G40" s="802">
        <f>+F11-G39</f>
        <v>25.04651011502466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0F7E-C505-47EF-9AA5-B9A2D15AF5F9}">
  <dimension ref="A1:L38"/>
  <sheetViews>
    <sheetView showGridLines="0" zoomScaleNormal="100" zoomScaleSheetLayoutView="100" workbookViewId="0">
      <selection activeCell="B35" sqref="B35"/>
    </sheetView>
  </sheetViews>
  <sheetFormatPr defaultRowHeight="21" customHeight="1"/>
  <cols>
    <col min="1" max="1" width="33" style="223" customWidth="1"/>
    <col min="2" max="2" width="63.7109375" style="223" bestFit="1" customWidth="1"/>
    <col min="3" max="11" width="10.7109375" style="223" customWidth="1"/>
    <col min="12" max="256" width="9.140625" style="223"/>
    <col min="257" max="257" width="35.7109375" style="223" customWidth="1"/>
    <col min="258" max="267" width="10.7109375" style="223" customWidth="1"/>
    <col min="268" max="512" width="9.140625" style="223"/>
    <col min="513" max="513" width="35.7109375" style="223" customWidth="1"/>
    <col min="514" max="523" width="10.7109375" style="223" customWidth="1"/>
    <col min="524" max="768" width="9.140625" style="223"/>
    <col min="769" max="769" width="35.7109375" style="223" customWidth="1"/>
    <col min="770" max="779" width="10.7109375" style="223" customWidth="1"/>
    <col min="780" max="1024" width="9.140625" style="223"/>
    <col min="1025" max="1025" width="35.7109375" style="223" customWidth="1"/>
    <col min="1026" max="1035" width="10.7109375" style="223" customWidth="1"/>
    <col min="1036" max="1280" width="9.140625" style="223"/>
    <col min="1281" max="1281" width="35.7109375" style="223" customWidth="1"/>
    <col min="1282" max="1291" width="10.7109375" style="223" customWidth="1"/>
    <col min="1292" max="1536" width="9.140625" style="223"/>
    <col min="1537" max="1537" width="35.7109375" style="223" customWidth="1"/>
    <col min="1538" max="1547" width="10.7109375" style="223" customWidth="1"/>
    <col min="1548" max="1792" width="9.140625" style="223"/>
    <col min="1793" max="1793" width="35.7109375" style="223" customWidth="1"/>
    <col min="1794" max="1803" width="10.7109375" style="223" customWidth="1"/>
    <col min="1804" max="2048" width="9.140625" style="223"/>
    <col min="2049" max="2049" width="35.7109375" style="223" customWidth="1"/>
    <col min="2050" max="2059" width="10.7109375" style="223" customWidth="1"/>
    <col min="2060" max="2304" width="9.140625" style="223"/>
    <col min="2305" max="2305" width="35.7109375" style="223" customWidth="1"/>
    <col min="2306" max="2315" width="10.7109375" style="223" customWidth="1"/>
    <col min="2316" max="2560" width="9.140625" style="223"/>
    <col min="2561" max="2561" width="35.7109375" style="223" customWidth="1"/>
    <col min="2562" max="2571" width="10.7109375" style="223" customWidth="1"/>
    <col min="2572" max="2816" width="9.140625" style="223"/>
    <col min="2817" max="2817" width="35.7109375" style="223" customWidth="1"/>
    <col min="2818" max="2827" width="10.7109375" style="223" customWidth="1"/>
    <col min="2828" max="3072" width="9.140625" style="223"/>
    <col min="3073" max="3073" width="35.7109375" style="223" customWidth="1"/>
    <col min="3074" max="3083" width="10.7109375" style="223" customWidth="1"/>
    <col min="3084" max="3328" width="9.140625" style="223"/>
    <col min="3329" max="3329" width="35.7109375" style="223" customWidth="1"/>
    <col min="3330" max="3339" width="10.7109375" style="223" customWidth="1"/>
    <col min="3340" max="3584" width="9.140625" style="223"/>
    <col min="3585" max="3585" width="35.7109375" style="223" customWidth="1"/>
    <col min="3586" max="3595" width="10.7109375" style="223" customWidth="1"/>
    <col min="3596" max="3840" width="9.140625" style="223"/>
    <col min="3841" max="3841" width="35.7109375" style="223" customWidth="1"/>
    <col min="3842" max="3851" width="10.7109375" style="223" customWidth="1"/>
    <col min="3852" max="4096" width="9.140625" style="223"/>
    <col min="4097" max="4097" width="35.7109375" style="223" customWidth="1"/>
    <col min="4098" max="4107" width="10.7109375" style="223" customWidth="1"/>
    <col min="4108" max="4352" width="9.140625" style="223"/>
    <col min="4353" max="4353" width="35.7109375" style="223" customWidth="1"/>
    <col min="4354" max="4363" width="10.7109375" style="223" customWidth="1"/>
    <col min="4364" max="4608" width="9.140625" style="223"/>
    <col min="4609" max="4609" width="35.7109375" style="223" customWidth="1"/>
    <col min="4610" max="4619" width="10.7109375" style="223" customWidth="1"/>
    <col min="4620" max="4864" width="9.140625" style="223"/>
    <col min="4865" max="4865" width="35.7109375" style="223" customWidth="1"/>
    <col min="4866" max="4875" width="10.7109375" style="223" customWidth="1"/>
    <col min="4876" max="5120" width="9.140625" style="223"/>
    <col min="5121" max="5121" width="35.7109375" style="223" customWidth="1"/>
    <col min="5122" max="5131" width="10.7109375" style="223" customWidth="1"/>
    <col min="5132" max="5376" width="9.140625" style="223"/>
    <col min="5377" max="5377" width="35.7109375" style="223" customWidth="1"/>
    <col min="5378" max="5387" width="10.7109375" style="223" customWidth="1"/>
    <col min="5388" max="5632" width="9.140625" style="223"/>
    <col min="5633" max="5633" width="35.7109375" style="223" customWidth="1"/>
    <col min="5634" max="5643" width="10.7109375" style="223" customWidth="1"/>
    <col min="5644" max="5888" width="9.140625" style="223"/>
    <col min="5889" max="5889" width="35.7109375" style="223" customWidth="1"/>
    <col min="5890" max="5899" width="10.7109375" style="223" customWidth="1"/>
    <col min="5900" max="6144" width="9.140625" style="223"/>
    <col min="6145" max="6145" width="35.7109375" style="223" customWidth="1"/>
    <col min="6146" max="6155" width="10.7109375" style="223" customWidth="1"/>
    <col min="6156" max="6400" width="9.140625" style="223"/>
    <col min="6401" max="6401" width="35.7109375" style="223" customWidth="1"/>
    <col min="6402" max="6411" width="10.7109375" style="223" customWidth="1"/>
    <col min="6412" max="6656" width="9.140625" style="223"/>
    <col min="6657" max="6657" width="35.7109375" style="223" customWidth="1"/>
    <col min="6658" max="6667" width="10.7109375" style="223" customWidth="1"/>
    <col min="6668" max="6912" width="9.140625" style="223"/>
    <col min="6913" max="6913" width="35.7109375" style="223" customWidth="1"/>
    <col min="6914" max="6923" width="10.7109375" style="223" customWidth="1"/>
    <col min="6924" max="7168" width="9.140625" style="223"/>
    <col min="7169" max="7169" width="35.7109375" style="223" customWidth="1"/>
    <col min="7170" max="7179" width="10.7109375" style="223" customWidth="1"/>
    <col min="7180" max="7424" width="9.140625" style="223"/>
    <col min="7425" max="7425" width="35.7109375" style="223" customWidth="1"/>
    <col min="7426" max="7435" width="10.7109375" style="223" customWidth="1"/>
    <col min="7436" max="7680" width="9.140625" style="223"/>
    <col min="7681" max="7681" width="35.7109375" style="223" customWidth="1"/>
    <col min="7682" max="7691" width="10.7109375" style="223" customWidth="1"/>
    <col min="7692" max="7936" width="9.140625" style="223"/>
    <col min="7937" max="7937" width="35.7109375" style="223" customWidth="1"/>
    <col min="7938" max="7947" width="10.7109375" style="223" customWidth="1"/>
    <col min="7948" max="8192" width="9.140625" style="223"/>
    <col min="8193" max="8193" width="35.7109375" style="223" customWidth="1"/>
    <col min="8194" max="8203" width="10.7109375" style="223" customWidth="1"/>
    <col min="8204" max="8448" width="9.140625" style="223"/>
    <col min="8449" max="8449" width="35.7109375" style="223" customWidth="1"/>
    <col min="8450" max="8459" width="10.7109375" style="223" customWidth="1"/>
    <col min="8460" max="8704" width="9.140625" style="223"/>
    <col min="8705" max="8705" width="35.7109375" style="223" customWidth="1"/>
    <col min="8706" max="8715" width="10.7109375" style="223" customWidth="1"/>
    <col min="8716" max="8960" width="9.140625" style="223"/>
    <col min="8961" max="8961" width="35.7109375" style="223" customWidth="1"/>
    <col min="8962" max="8971" width="10.7109375" style="223" customWidth="1"/>
    <col min="8972" max="9216" width="9.140625" style="223"/>
    <col min="9217" max="9217" width="35.7109375" style="223" customWidth="1"/>
    <col min="9218" max="9227" width="10.7109375" style="223" customWidth="1"/>
    <col min="9228" max="9472" width="9.140625" style="223"/>
    <col min="9473" max="9473" width="35.7109375" style="223" customWidth="1"/>
    <col min="9474" max="9483" width="10.7109375" style="223" customWidth="1"/>
    <col min="9484" max="9728" width="9.140625" style="223"/>
    <col min="9729" max="9729" width="35.7109375" style="223" customWidth="1"/>
    <col min="9730" max="9739" width="10.7109375" style="223" customWidth="1"/>
    <col min="9740" max="9984" width="9.140625" style="223"/>
    <col min="9985" max="9985" width="35.7109375" style="223" customWidth="1"/>
    <col min="9986" max="9995" width="10.7109375" style="223" customWidth="1"/>
    <col min="9996" max="10240" width="9.140625" style="223"/>
    <col min="10241" max="10241" width="35.7109375" style="223" customWidth="1"/>
    <col min="10242" max="10251" width="10.7109375" style="223" customWidth="1"/>
    <col min="10252" max="10496" width="9.140625" style="223"/>
    <col min="10497" max="10497" width="35.7109375" style="223" customWidth="1"/>
    <col min="10498" max="10507" width="10.7109375" style="223" customWidth="1"/>
    <col min="10508" max="10752" width="9.140625" style="223"/>
    <col min="10753" max="10753" width="35.7109375" style="223" customWidth="1"/>
    <col min="10754" max="10763" width="10.7109375" style="223" customWidth="1"/>
    <col min="10764" max="11008" width="9.140625" style="223"/>
    <col min="11009" max="11009" width="35.7109375" style="223" customWidth="1"/>
    <col min="11010" max="11019" width="10.7109375" style="223" customWidth="1"/>
    <col min="11020" max="11264" width="9.140625" style="223"/>
    <col min="11265" max="11265" width="35.7109375" style="223" customWidth="1"/>
    <col min="11266" max="11275" width="10.7109375" style="223" customWidth="1"/>
    <col min="11276" max="11520" width="9.140625" style="223"/>
    <col min="11521" max="11521" width="35.7109375" style="223" customWidth="1"/>
    <col min="11522" max="11531" width="10.7109375" style="223" customWidth="1"/>
    <col min="11532" max="11776" width="9.140625" style="223"/>
    <col min="11777" max="11777" width="35.7109375" style="223" customWidth="1"/>
    <col min="11778" max="11787" width="10.7109375" style="223" customWidth="1"/>
    <col min="11788" max="12032" width="9.140625" style="223"/>
    <col min="12033" max="12033" width="35.7109375" style="223" customWidth="1"/>
    <col min="12034" max="12043" width="10.7109375" style="223" customWidth="1"/>
    <col min="12044" max="12288" width="9.140625" style="223"/>
    <col min="12289" max="12289" width="35.7109375" style="223" customWidth="1"/>
    <col min="12290" max="12299" width="10.7109375" style="223" customWidth="1"/>
    <col min="12300" max="12544" width="9.140625" style="223"/>
    <col min="12545" max="12545" width="35.7109375" style="223" customWidth="1"/>
    <col min="12546" max="12555" width="10.7109375" style="223" customWidth="1"/>
    <col min="12556" max="12800" width="9.140625" style="223"/>
    <col min="12801" max="12801" width="35.7109375" style="223" customWidth="1"/>
    <col min="12802" max="12811" width="10.7109375" style="223" customWidth="1"/>
    <col min="12812" max="13056" width="9.140625" style="223"/>
    <col min="13057" max="13057" width="35.7109375" style="223" customWidth="1"/>
    <col min="13058" max="13067" width="10.7109375" style="223" customWidth="1"/>
    <col min="13068" max="13312" width="9.140625" style="223"/>
    <col min="13313" max="13313" width="35.7109375" style="223" customWidth="1"/>
    <col min="13314" max="13323" width="10.7109375" style="223" customWidth="1"/>
    <col min="13324" max="13568" width="9.140625" style="223"/>
    <col min="13569" max="13569" width="35.7109375" style="223" customWidth="1"/>
    <col min="13570" max="13579" width="10.7109375" style="223" customWidth="1"/>
    <col min="13580" max="13824" width="9.140625" style="223"/>
    <col min="13825" max="13825" width="35.7109375" style="223" customWidth="1"/>
    <col min="13826" max="13835" width="10.7109375" style="223" customWidth="1"/>
    <col min="13836" max="14080" width="9.140625" style="223"/>
    <col min="14081" max="14081" width="35.7109375" style="223" customWidth="1"/>
    <col min="14082" max="14091" width="10.7109375" style="223" customWidth="1"/>
    <col min="14092" max="14336" width="9.140625" style="223"/>
    <col min="14337" max="14337" width="35.7109375" style="223" customWidth="1"/>
    <col min="14338" max="14347" width="10.7109375" style="223" customWidth="1"/>
    <col min="14348" max="14592" width="9.140625" style="223"/>
    <col min="14593" max="14593" width="35.7109375" style="223" customWidth="1"/>
    <col min="14594" max="14603" width="10.7109375" style="223" customWidth="1"/>
    <col min="14604" max="14848" width="9.140625" style="223"/>
    <col min="14849" max="14849" width="35.7109375" style="223" customWidth="1"/>
    <col min="14850" max="14859" width="10.7109375" style="223" customWidth="1"/>
    <col min="14860" max="15104" width="9.140625" style="223"/>
    <col min="15105" max="15105" width="35.7109375" style="223" customWidth="1"/>
    <col min="15106" max="15115" width="10.7109375" style="223" customWidth="1"/>
    <col min="15116" max="15360" width="9.140625" style="223"/>
    <col min="15361" max="15361" width="35.7109375" style="223" customWidth="1"/>
    <col min="15362" max="15371" width="10.7109375" style="223" customWidth="1"/>
    <col min="15372" max="15616" width="9.140625" style="223"/>
    <col min="15617" max="15617" width="35.7109375" style="223" customWidth="1"/>
    <col min="15618" max="15627" width="10.7109375" style="223" customWidth="1"/>
    <col min="15628" max="15872" width="9.140625" style="223"/>
    <col min="15873" max="15873" width="35.7109375" style="223" customWidth="1"/>
    <col min="15874" max="15883" width="10.7109375" style="223" customWidth="1"/>
    <col min="15884" max="16128" width="9.140625" style="223"/>
    <col min="16129" max="16129" width="35.7109375" style="223" customWidth="1"/>
    <col min="16130" max="16139" width="10.7109375" style="223" customWidth="1"/>
    <col min="16140" max="16384" width="9.140625" style="223"/>
  </cols>
  <sheetData>
    <row r="1" spans="1:12" ht="21" customHeight="1">
      <c r="A1" s="812" t="s">
        <v>289</v>
      </c>
      <c r="B1" s="813"/>
      <c r="C1" s="813"/>
      <c r="D1" s="813"/>
      <c r="E1" s="813"/>
      <c r="F1" s="813"/>
      <c r="G1" s="813"/>
      <c r="H1" s="813"/>
      <c r="I1" s="813"/>
      <c r="J1" s="813"/>
      <c r="K1" s="814"/>
    </row>
    <row r="2" spans="1:12" ht="21" customHeight="1">
      <c r="A2" s="99" t="s">
        <v>94</v>
      </c>
      <c r="B2" s="100">
        <f>'Cashflow '!F3</f>
        <v>0.7</v>
      </c>
      <c r="C2" s="100">
        <f>'Cashflow '!G3</f>
        <v>0.9</v>
      </c>
      <c r="D2" s="100">
        <f>'Cashflow '!H3</f>
        <v>0.95</v>
      </c>
      <c r="E2" s="100">
        <f>'Cashflow '!I3</f>
        <v>0.95</v>
      </c>
      <c r="F2" s="100">
        <f>'Cashflow '!J3</f>
        <v>0.95</v>
      </c>
      <c r="G2" s="100">
        <f>'Cashflow '!K3</f>
        <v>0.95</v>
      </c>
      <c r="H2" s="100">
        <f>'Cashflow '!L3</f>
        <v>0.95</v>
      </c>
      <c r="I2" s="100">
        <f>'Cashflow '!M3</f>
        <v>0.95</v>
      </c>
      <c r="J2" s="100">
        <f>'Cashflow '!N3</f>
        <v>0.95</v>
      </c>
      <c r="K2" s="348">
        <f>'Cashflow '!O3</f>
        <v>0.95</v>
      </c>
    </row>
    <row r="3" spans="1:12" ht="18.75" customHeight="1">
      <c r="A3" s="875" t="s">
        <v>95</v>
      </c>
      <c r="B3" s="876"/>
      <c r="C3" s="876"/>
      <c r="D3" s="876"/>
      <c r="E3" s="876"/>
      <c r="F3" s="876"/>
      <c r="G3" s="876"/>
      <c r="H3" s="876"/>
      <c r="I3" s="876"/>
      <c r="J3" s="876"/>
      <c r="K3" s="877"/>
      <c r="L3" s="224"/>
    </row>
    <row r="4" spans="1:12" ht="21" customHeight="1">
      <c r="A4" s="99"/>
      <c r="B4" s="101" t="s">
        <v>96</v>
      </c>
      <c r="C4" s="101" t="s">
        <v>97</v>
      </c>
      <c r="D4" s="101" t="s">
        <v>98</v>
      </c>
      <c r="E4" s="101" t="s">
        <v>99</v>
      </c>
      <c r="F4" s="101" t="s">
        <v>100</v>
      </c>
      <c r="G4" s="101" t="s">
        <v>101</v>
      </c>
      <c r="H4" s="101" t="s">
        <v>102</v>
      </c>
      <c r="I4" s="101" t="s">
        <v>103</v>
      </c>
      <c r="J4" s="101" t="s">
        <v>104</v>
      </c>
      <c r="K4" s="102" t="s">
        <v>105</v>
      </c>
      <c r="L4" s="224"/>
    </row>
    <row r="5" spans="1:12" s="217" customFormat="1" ht="21" customHeight="1">
      <c r="A5" s="99" t="s">
        <v>132</v>
      </c>
      <c r="B5" s="120">
        <f>'Cashflow '!F10</f>
        <v>279.536992</v>
      </c>
      <c r="C5" s="120">
        <f>'Cashflow '!G10</f>
        <v>359.40470400000004</v>
      </c>
      <c r="D5" s="120">
        <f>'Cashflow '!H10</f>
        <v>379.37163200000003</v>
      </c>
      <c r="E5" s="120">
        <f>'Cashflow '!I10</f>
        <v>379.37163200000003</v>
      </c>
      <c r="F5" s="120">
        <f>'Cashflow '!J10</f>
        <v>379.37163200000003</v>
      </c>
      <c r="G5" s="120">
        <f>'Cashflow '!K10</f>
        <v>379.37163200000003</v>
      </c>
      <c r="H5" s="120">
        <f>'Cashflow '!L10</f>
        <v>379.37163200000003</v>
      </c>
      <c r="I5" s="120">
        <f>'Cashflow '!M10</f>
        <v>379.37163200000003</v>
      </c>
      <c r="J5" s="120">
        <f>'Cashflow '!N10</f>
        <v>379.37163200000003</v>
      </c>
      <c r="K5" s="121">
        <f>'Cashflow '!O10</f>
        <v>379.37163200000003</v>
      </c>
      <c r="L5" s="224"/>
    </row>
    <row r="6" spans="1:12" s="217" customFormat="1" ht="21" customHeight="1">
      <c r="A6" s="99" t="s">
        <v>179</v>
      </c>
      <c r="B6" s="120">
        <f t="shared" ref="B6:K6" si="0">SUM(B7:B8)</f>
        <v>173.15760216219968</v>
      </c>
      <c r="C6" s="120">
        <f t="shared" si="0"/>
        <v>225.80529769295458</v>
      </c>
      <c r="D6" s="120">
        <f t="shared" si="0"/>
        <v>242.02866523096355</v>
      </c>
      <c r="E6" s="120">
        <f t="shared" si="0"/>
        <v>245.57560072200224</v>
      </c>
      <c r="F6" s="120">
        <f t="shared" si="0"/>
        <v>248.59951288198923</v>
      </c>
      <c r="G6" s="120">
        <f t="shared" si="0"/>
        <v>251.93074635460789</v>
      </c>
      <c r="H6" s="120">
        <f t="shared" si="0"/>
        <v>255.23954875641664</v>
      </c>
      <c r="I6" s="120">
        <f t="shared" si="0"/>
        <v>258.68240811345078</v>
      </c>
      <c r="J6" s="120">
        <f t="shared" si="0"/>
        <v>262.51603511253973</v>
      </c>
      <c r="K6" s="121">
        <f t="shared" si="0"/>
        <v>265.33476503681482</v>
      </c>
      <c r="L6" s="224"/>
    </row>
    <row r="7" spans="1:12" s="217" customFormat="1" ht="21" customHeight="1">
      <c r="A7" s="49" t="s">
        <v>362</v>
      </c>
      <c r="B7" s="120">
        <f>'Cashflow '!F15</f>
        <v>153.71596116999086</v>
      </c>
      <c r="C7" s="120">
        <f>'Cashflow '!G15</f>
        <v>200.42145800034137</v>
      </c>
      <c r="D7" s="120">
        <f>'Cashflow '!H15</f>
        <v>214.8139455898548</v>
      </c>
      <c r="E7" s="120">
        <f>'Cashflow '!I15</f>
        <v>217.97171059002562</v>
      </c>
      <c r="F7" s="120">
        <f>'Cashflow '!J15</f>
        <v>220.60916828816494</v>
      </c>
      <c r="G7" s="120">
        <f>'Cashflow '!K15</f>
        <v>223.56533114322636</v>
      </c>
      <c r="H7" s="120">
        <f>'Cashflow '!L15</f>
        <v>226.49403698120261</v>
      </c>
      <c r="I7" s="120">
        <f>'Cashflow '!M15</f>
        <v>229.55170648044887</v>
      </c>
      <c r="J7" s="120">
        <f>'Cashflow '!N15</f>
        <v>232.99498207765561</v>
      </c>
      <c r="K7" s="121">
        <f>'Cashflow '!O15</f>
        <v>235.41812989126325</v>
      </c>
      <c r="L7" s="224"/>
    </row>
    <row r="8" spans="1:12" s="217" customFormat="1" ht="21" customHeight="1">
      <c r="A8" s="49" t="s">
        <v>360</v>
      </c>
      <c r="B8" s="120">
        <f>'Cashflow '!F16</f>
        <v>19.441640992208814</v>
      </c>
      <c r="C8" s="120">
        <f>'Cashflow '!G16</f>
        <v>25.383839692613211</v>
      </c>
      <c r="D8" s="120">
        <f>'Cashflow '!H16</f>
        <v>27.214719641108754</v>
      </c>
      <c r="E8" s="120">
        <f>'Cashflow '!I16</f>
        <v>27.603890131976605</v>
      </c>
      <c r="F8" s="120">
        <f>'Cashflow '!J16</f>
        <v>27.990344593824283</v>
      </c>
      <c r="G8" s="120">
        <f>'Cashflow '!K16</f>
        <v>28.365415211381521</v>
      </c>
      <c r="H8" s="120">
        <f>'Cashflow '!L16</f>
        <v>28.745511775214037</v>
      </c>
      <c r="I8" s="120">
        <f>'Cashflow '!M16</f>
        <v>29.130701633001905</v>
      </c>
      <c r="J8" s="120">
        <f>'Cashflow '!N16</f>
        <v>29.52105303488413</v>
      </c>
      <c r="K8" s="121">
        <f>'Cashflow '!O16</f>
        <v>29.916635145551581</v>
      </c>
      <c r="L8" s="224"/>
    </row>
    <row r="9" spans="1:12" ht="21" customHeight="1">
      <c r="A9" s="99" t="s">
        <v>180</v>
      </c>
      <c r="B9" s="120">
        <f t="shared" ref="B9:K9" si="1">B5-B6</f>
        <v>106.37938983780032</v>
      </c>
      <c r="C9" s="120">
        <f t="shared" si="1"/>
        <v>133.59940630704546</v>
      </c>
      <c r="D9" s="120">
        <f t="shared" si="1"/>
        <v>137.34296676903648</v>
      </c>
      <c r="E9" s="120">
        <f t="shared" si="1"/>
        <v>133.7960312779978</v>
      </c>
      <c r="F9" s="120">
        <f t="shared" si="1"/>
        <v>130.77211911801081</v>
      </c>
      <c r="G9" s="120">
        <f t="shared" si="1"/>
        <v>127.44088564539214</v>
      </c>
      <c r="H9" s="120">
        <f t="shared" si="1"/>
        <v>124.13208324358339</v>
      </c>
      <c r="I9" s="120">
        <f t="shared" si="1"/>
        <v>120.68922388654926</v>
      </c>
      <c r="J9" s="120">
        <f t="shared" si="1"/>
        <v>116.85559688746031</v>
      </c>
      <c r="K9" s="121">
        <f t="shared" si="1"/>
        <v>114.03686696318522</v>
      </c>
      <c r="L9" s="225"/>
    </row>
    <row r="10" spans="1:12" s="217" customFormat="1" ht="21" customHeight="1">
      <c r="A10" s="99" t="s">
        <v>183</v>
      </c>
      <c r="B10" s="441">
        <f>Opex!E11</f>
        <v>20.827099284627533</v>
      </c>
      <c r="C10" s="441">
        <f>Opex!F11</f>
        <v>20.827099284627533</v>
      </c>
      <c r="D10" s="441">
        <f>Opex!G11</f>
        <v>20.827099284627533</v>
      </c>
      <c r="E10" s="441">
        <f>Opex!H11</f>
        <v>20.827099284627533</v>
      </c>
      <c r="F10" s="441">
        <f>Opex!I11</f>
        <v>20.827099284627533</v>
      </c>
      <c r="G10" s="441">
        <f>Opex!J11</f>
        <v>20.827099284627533</v>
      </c>
      <c r="H10" s="441">
        <f>Opex!K11</f>
        <v>20.827099284627533</v>
      </c>
      <c r="I10" s="441">
        <f>Opex!L11</f>
        <v>20.827099284627533</v>
      </c>
      <c r="J10" s="441">
        <f>Opex!M11</f>
        <v>20.827099284627533</v>
      </c>
      <c r="K10" s="442">
        <f>Opex!N11</f>
        <v>20.827099284627533</v>
      </c>
      <c r="L10" s="224"/>
    </row>
    <row r="11" spans="1:12" s="217" customFormat="1" ht="21" customHeight="1">
      <c r="A11" s="99" t="s">
        <v>184</v>
      </c>
      <c r="B11" s="120">
        <f>B9-B10</f>
        <v>85.552290553172782</v>
      </c>
      <c r="C11" s="120">
        <f t="shared" ref="C11:K11" si="2">C9-C10</f>
        <v>112.77230702241792</v>
      </c>
      <c r="D11" s="120">
        <f t="shared" si="2"/>
        <v>116.51586748440894</v>
      </c>
      <c r="E11" s="120">
        <f t="shared" si="2"/>
        <v>112.96893199337026</v>
      </c>
      <c r="F11" s="120">
        <f t="shared" si="2"/>
        <v>109.94501983338327</v>
      </c>
      <c r="G11" s="120">
        <f t="shared" si="2"/>
        <v>106.61378636076461</v>
      </c>
      <c r="H11" s="120">
        <f t="shared" si="2"/>
        <v>103.30498395895586</v>
      </c>
      <c r="I11" s="120">
        <f t="shared" si="2"/>
        <v>99.862124601921721</v>
      </c>
      <c r="J11" s="120">
        <f t="shared" si="2"/>
        <v>96.028497602832772</v>
      </c>
      <c r="K11" s="121">
        <f t="shared" si="2"/>
        <v>93.209767678557682</v>
      </c>
      <c r="L11" s="224"/>
    </row>
    <row r="12" spans="1:12" s="217" customFormat="1" ht="21" customHeight="1">
      <c r="A12" s="99" t="s">
        <v>106</v>
      </c>
      <c r="B12" s="120">
        <f>B11*0.25</f>
        <v>21.388072638293195</v>
      </c>
      <c r="C12" s="120">
        <f>C11*0.25</f>
        <v>28.19307675560448</v>
      </c>
      <c r="D12" s="120">
        <f t="shared" ref="D12:K12" si="3">D11*0.25</f>
        <v>29.128966871102236</v>
      </c>
      <c r="E12" s="120">
        <f t="shared" si="3"/>
        <v>28.242232998342566</v>
      </c>
      <c r="F12" s="120">
        <f t="shared" si="3"/>
        <v>27.486254958345818</v>
      </c>
      <c r="G12" s="120">
        <f t="shared" si="3"/>
        <v>26.653446590191152</v>
      </c>
      <c r="H12" s="120">
        <f t="shared" si="3"/>
        <v>25.826245989738965</v>
      </c>
      <c r="I12" s="120">
        <f t="shared" si="3"/>
        <v>24.96553115048043</v>
      </c>
      <c r="J12" s="120">
        <f t="shared" si="3"/>
        <v>24.007124400708193</v>
      </c>
      <c r="K12" s="121">
        <f t="shared" si="3"/>
        <v>23.302441919639421</v>
      </c>
      <c r="L12" s="224"/>
    </row>
    <row r="13" spans="1:12" s="217" customFormat="1" ht="21" customHeight="1">
      <c r="A13" s="99" t="s">
        <v>107</v>
      </c>
      <c r="B13" s="120">
        <f>B11-B12</f>
        <v>64.164217914879586</v>
      </c>
      <c r="C13" s="120">
        <f t="shared" ref="C13:K13" si="4">C11-C12</f>
        <v>84.57923026681344</v>
      </c>
      <c r="D13" s="120">
        <f t="shared" si="4"/>
        <v>87.386900613306707</v>
      </c>
      <c r="E13" s="120">
        <f t="shared" si="4"/>
        <v>84.726698995027704</v>
      </c>
      <c r="F13" s="120">
        <f t="shared" si="4"/>
        <v>82.458764875037446</v>
      </c>
      <c r="G13" s="120">
        <f t="shared" si="4"/>
        <v>79.960339770573455</v>
      </c>
      <c r="H13" s="120">
        <f t="shared" si="4"/>
        <v>77.478737969216894</v>
      </c>
      <c r="I13" s="120">
        <f t="shared" si="4"/>
        <v>74.896593451441291</v>
      </c>
      <c r="J13" s="120">
        <f t="shared" si="4"/>
        <v>72.021373202124579</v>
      </c>
      <c r="K13" s="121">
        <f t="shared" si="4"/>
        <v>69.907325758918262</v>
      </c>
      <c r="L13" s="224"/>
    </row>
    <row r="14" spans="1:12" s="217" customFormat="1" ht="21" customHeight="1">
      <c r="A14" s="99" t="s">
        <v>363</v>
      </c>
      <c r="B14" s="120">
        <f>Opex!E12</f>
        <v>34.479870807575452</v>
      </c>
      <c r="C14" s="120">
        <f>Opex!F12</f>
        <v>37.324460149200419</v>
      </c>
      <c r="D14" s="120">
        <f>Opex!G12</f>
        <v>32.658902630550372</v>
      </c>
      <c r="E14" s="120">
        <f>Opex!H12</f>
        <v>27.993345111900318</v>
      </c>
      <c r="F14" s="120">
        <f>Opex!I12</f>
        <v>23.327787593250267</v>
      </c>
      <c r="G14" s="120">
        <f>Opex!J12</f>
        <v>18.662230074600213</v>
      </c>
      <c r="H14" s="120">
        <f>Opex!K12</f>
        <v>13.996672555950161</v>
      </c>
      <c r="I14" s="120">
        <f>Opex!L12</f>
        <v>9.3311150373001084</v>
      </c>
      <c r="J14" s="120">
        <f>Opex!M12</f>
        <v>4.665557518650056</v>
      </c>
      <c r="K14" s="121">
        <f>Opex!N12</f>
        <v>0</v>
      </c>
      <c r="L14" s="224"/>
    </row>
    <row r="15" spans="1:12" s="217" customFormat="1" ht="21" customHeight="1">
      <c r="A15" s="103" t="s">
        <v>364</v>
      </c>
      <c r="B15" s="122">
        <f>B13-B14</f>
        <v>29.684347107304134</v>
      </c>
      <c r="C15" s="122">
        <f t="shared" ref="C15:K15" si="5">C13-C14</f>
        <v>47.25477011761302</v>
      </c>
      <c r="D15" s="122">
        <f t="shared" si="5"/>
        <v>54.727997982756335</v>
      </c>
      <c r="E15" s="122">
        <f t="shared" si="5"/>
        <v>56.733353883127386</v>
      </c>
      <c r="F15" s="122">
        <f t="shared" si="5"/>
        <v>59.130977281787182</v>
      </c>
      <c r="G15" s="122">
        <f t="shared" si="5"/>
        <v>61.298109695973238</v>
      </c>
      <c r="H15" s="122">
        <f t="shared" si="5"/>
        <v>63.482065413266731</v>
      </c>
      <c r="I15" s="122">
        <f t="shared" si="5"/>
        <v>65.565478414141182</v>
      </c>
      <c r="J15" s="122">
        <f t="shared" si="5"/>
        <v>67.355815683474518</v>
      </c>
      <c r="K15" s="123">
        <f t="shared" si="5"/>
        <v>69.907325758918262</v>
      </c>
      <c r="L15" s="224"/>
    </row>
    <row r="16" spans="1:12" ht="21" customHeight="1">
      <c r="A16" s="815" t="s">
        <v>306</v>
      </c>
      <c r="B16" s="816"/>
      <c r="C16" s="816"/>
      <c r="D16" s="816"/>
      <c r="E16" s="816"/>
      <c r="F16" s="816"/>
      <c r="G16" s="388" t="s">
        <v>345</v>
      </c>
      <c r="H16" s="226"/>
      <c r="I16" s="226"/>
      <c r="J16" s="226"/>
      <c r="K16" s="226"/>
    </row>
    <row r="17" spans="1:11" ht="21" customHeight="1">
      <c r="A17" s="438" t="s">
        <v>94</v>
      </c>
      <c r="B17" s="439">
        <f>'Cashflow '!I3</f>
        <v>0.95</v>
      </c>
      <c r="C17" s="439"/>
      <c r="D17" s="439"/>
      <c r="E17" s="439"/>
      <c r="F17" s="440"/>
      <c r="H17" s="226"/>
      <c r="I17" s="226"/>
      <c r="J17" s="226"/>
      <c r="K17" s="226"/>
    </row>
    <row r="18" spans="1:11" ht="21" customHeight="1">
      <c r="A18" s="875" t="s">
        <v>95</v>
      </c>
      <c r="B18" s="876"/>
      <c r="C18" s="876"/>
      <c r="D18" s="876"/>
      <c r="E18" s="876"/>
      <c r="F18" s="877"/>
      <c r="H18" s="226"/>
      <c r="I18" s="226"/>
      <c r="J18" s="226"/>
      <c r="K18" s="226"/>
    </row>
    <row r="19" spans="1:11" ht="21" customHeight="1">
      <c r="A19" s="99"/>
      <c r="B19" s="101" t="s">
        <v>99</v>
      </c>
      <c r="C19" s="101">
        <v>1</v>
      </c>
      <c r="D19" s="101">
        <v>2</v>
      </c>
      <c r="E19" s="101">
        <v>3</v>
      </c>
      <c r="F19" s="102">
        <v>4</v>
      </c>
      <c r="H19" s="226"/>
      <c r="I19" s="226"/>
      <c r="J19" s="226"/>
      <c r="K19" s="226"/>
    </row>
    <row r="20" spans="1:11" ht="21" customHeight="1">
      <c r="A20" s="99" t="s">
        <v>132</v>
      </c>
      <c r="B20" s="120">
        <f>E5</f>
        <v>379.37163200000003</v>
      </c>
      <c r="C20" s="120">
        <f>B20-(B20*0.05)</f>
        <v>360.40305040000004</v>
      </c>
      <c r="D20" s="120">
        <f>E5</f>
        <v>379.37163200000003</v>
      </c>
      <c r="E20" s="120">
        <f>B20-(B20*0.05)</f>
        <v>360.40305040000004</v>
      </c>
      <c r="F20" s="121">
        <f>E5</f>
        <v>379.37163200000003</v>
      </c>
      <c r="H20" s="226"/>
      <c r="I20" s="226"/>
      <c r="J20" s="226"/>
      <c r="K20" s="226"/>
    </row>
    <row r="21" spans="1:11" ht="21" customHeight="1">
      <c r="A21" s="99" t="s">
        <v>179</v>
      </c>
      <c r="B21" s="120">
        <f>SUM(B22:B23)</f>
        <v>245.57560072200224</v>
      </c>
      <c r="C21" s="120">
        <f>SUM(C22:C23)</f>
        <v>245.57560072200224</v>
      </c>
      <c r="D21" s="120">
        <f>SUM(D22:D23)</f>
        <v>267.37277178100476</v>
      </c>
      <c r="E21" s="120">
        <f>SUM(E22:E23)</f>
        <v>267.37277178100476</v>
      </c>
      <c r="F21" s="121">
        <f>B21+(B21*0.05)</f>
        <v>257.85438075810237</v>
      </c>
      <c r="H21" s="226"/>
      <c r="I21" s="226"/>
      <c r="J21" s="226"/>
      <c r="K21" s="226"/>
    </row>
    <row r="22" spans="1:11" ht="21" customHeight="1">
      <c r="A22" s="49" t="s">
        <v>362</v>
      </c>
      <c r="B22" s="120">
        <f t="shared" ref="B22:B29" si="6">E7</f>
        <v>217.97171059002562</v>
      </c>
      <c r="C22" s="120">
        <f>E7</f>
        <v>217.97171059002562</v>
      </c>
      <c r="D22" s="120">
        <f>B22+(B22*0.1)</f>
        <v>239.76888164902817</v>
      </c>
      <c r="E22" s="120">
        <f>B22+(B22*0.1)</f>
        <v>239.76888164902817</v>
      </c>
      <c r="F22" s="121">
        <f>E7</f>
        <v>217.97171059002562</v>
      </c>
      <c r="H22" s="226"/>
      <c r="I22" s="226"/>
      <c r="J22" s="226"/>
      <c r="K22" s="226"/>
    </row>
    <row r="23" spans="1:11" ht="21" customHeight="1">
      <c r="A23" s="49" t="s">
        <v>360</v>
      </c>
      <c r="B23" s="120">
        <f t="shared" si="6"/>
        <v>27.603890131976605</v>
      </c>
      <c r="C23" s="120">
        <f>E8</f>
        <v>27.603890131976605</v>
      </c>
      <c r="D23" s="120">
        <f>E8</f>
        <v>27.603890131976605</v>
      </c>
      <c r="E23" s="120">
        <f>E8</f>
        <v>27.603890131976605</v>
      </c>
      <c r="F23" s="121">
        <f>E8</f>
        <v>27.603890131976605</v>
      </c>
      <c r="H23" s="226"/>
      <c r="I23" s="226"/>
      <c r="J23" s="226"/>
      <c r="K23" s="226"/>
    </row>
    <row r="24" spans="1:11" ht="21" customHeight="1">
      <c r="A24" s="99" t="s">
        <v>180</v>
      </c>
      <c r="B24" s="120">
        <f>B20-B21</f>
        <v>133.7960312779978</v>
      </c>
      <c r="C24" s="120">
        <f>C20-C21</f>
        <v>114.82744967799781</v>
      </c>
      <c r="D24" s="120">
        <f>D20-D21</f>
        <v>111.99886021899528</v>
      </c>
      <c r="E24" s="120">
        <f>E20-E21</f>
        <v>93.030278618995283</v>
      </c>
      <c r="F24" s="121">
        <f>F20-F21</f>
        <v>121.51725124189767</v>
      </c>
      <c r="H24" s="226"/>
      <c r="I24" s="226"/>
      <c r="J24" s="226"/>
      <c r="K24" s="226"/>
    </row>
    <row r="25" spans="1:11" ht="21" customHeight="1">
      <c r="A25" s="99" t="s">
        <v>183</v>
      </c>
      <c r="B25" s="120">
        <f t="shared" si="6"/>
        <v>20.827099284627533</v>
      </c>
      <c r="C25" s="120">
        <f>E10</f>
        <v>20.827099284627533</v>
      </c>
      <c r="D25" s="120">
        <f>'Cashflow '!$E$8/10</f>
        <v>45.241769877818697</v>
      </c>
      <c r="E25" s="120">
        <f>'Cashflow '!$E$8/10</f>
        <v>45.241769877818697</v>
      </c>
      <c r="F25" s="121">
        <f>'Cashflow '!$E$8/10</f>
        <v>45.241769877818697</v>
      </c>
      <c r="H25" s="226"/>
      <c r="I25" s="226"/>
      <c r="J25" s="226"/>
      <c r="K25" s="226"/>
    </row>
    <row r="26" spans="1:11" ht="21" customHeight="1">
      <c r="A26" s="99" t="s">
        <v>184</v>
      </c>
      <c r="B26" s="120">
        <f>B24-B25</f>
        <v>112.96893199337026</v>
      </c>
      <c r="C26" s="120">
        <f t="shared" ref="C26:F26" si="7">C24-C25</f>
        <v>94.000350393370269</v>
      </c>
      <c r="D26" s="120">
        <f t="shared" si="7"/>
        <v>66.757090341176578</v>
      </c>
      <c r="E26" s="120">
        <f t="shared" si="7"/>
        <v>47.788508741176585</v>
      </c>
      <c r="F26" s="121">
        <f t="shared" si="7"/>
        <v>76.275481364078971</v>
      </c>
      <c r="H26" s="226"/>
      <c r="I26" s="226"/>
      <c r="J26" s="226"/>
      <c r="K26" s="226"/>
    </row>
    <row r="27" spans="1:11" ht="21" customHeight="1">
      <c r="A27" s="99" t="s">
        <v>106</v>
      </c>
      <c r="B27" s="120">
        <f>B26*0.25</f>
        <v>28.242232998342566</v>
      </c>
      <c r="C27" s="120">
        <f t="shared" ref="C27:F27" si="8">C26*0.25</f>
        <v>23.500087598342567</v>
      </c>
      <c r="D27" s="120">
        <f t="shared" si="8"/>
        <v>16.689272585294145</v>
      </c>
      <c r="E27" s="120">
        <f t="shared" si="8"/>
        <v>11.947127185294146</v>
      </c>
      <c r="F27" s="121">
        <f t="shared" si="8"/>
        <v>19.068870341019743</v>
      </c>
      <c r="H27" s="226"/>
      <c r="I27" s="226"/>
      <c r="J27" s="226"/>
      <c r="K27" s="226"/>
    </row>
    <row r="28" spans="1:11" ht="21" customHeight="1">
      <c r="A28" s="99" t="s">
        <v>107</v>
      </c>
      <c r="B28" s="120">
        <f>B26-B27</f>
        <v>84.726698995027704</v>
      </c>
      <c r="C28" s="120">
        <f t="shared" ref="C28:F28" si="9">C26-C27</f>
        <v>70.500262795027709</v>
      </c>
      <c r="D28" s="120">
        <f t="shared" si="9"/>
        <v>50.06781775588243</v>
      </c>
      <c r="E28" s="120">
        <f t="shared" si="9"/>
        <v>35.841381555882435</v>
      </c>
      <c r="F28" s="121">
        <f t="shared" si="9"/>
        <v>57.206611023059224</v>
      </c>
      <c r="H28" s="226"/>
      <c r="I28" s="226"/>
      <c r="J28" s="226"/>
      <c r="K28" s="226"/>
    </row>
    <row r="29" spans="1:11" ht="21" customHeight="1">
      <c r="A29" s="99" t="s">
        <v>363</v>
      </c>
      <c r="B29" s="120">
        <f t="shared" si="6"/>
        <v>27.993345111900318</v>
      </c>
      <c r="C29" s="120">
        <f>B29</f>
        <v>27.993345111900318</v>
      </c>
      <c r="D29" s="120">
        <f>B29</f>
        <v>27.993345111900318</v>
      </c>
      <c r="E29" s="120">
        <f>B29</f>
        <v>27.993345111900318</v>
      </c>
      <c r="F29" s="121">
        <f>B29</f>
        <v>27.993345111900318</v>
      </c>
      <c r="H29" s="226"/>
      <c r="I29" s="226"/>
      <c r="J29" s="226"/>
      <c r="K29" s="226"/>
    </row>
    <row r="30" spans="1:11" ht="21" customHeight="1">
      <c r="A30" s="103" t="s">
        <v>364</v>
      </c>
      <c r="B30" s="122">
        <f>B28-B29</f>
        <v>56.733353883127386</v>
      </c>
      <c r="C30" s="122">
        <f>C28-C29</f>
        <v>42.506917683127391</v>
      </c>
      <c r="D30" s="122">
        <f>D28-D29</f>
        <v>22.074472643982112</v>
      </c>
      <c r="E30" s="122">
        <f>E28-E29</f>
        <v>7.8480364439821173</v>
      </c>
      <c r="F30" s="123">
        <f>F28-F29</f>
        <v>29.213265911158906</v>
      </c>
      <c r="H30" s="226"/>
      <c r="I30" s="226"/>
      <c r="J30" s="226"/>
      <c r="K30" s="226"/>
    </row>
    <row r="31" spans="1:11" ht="17.25" customHeight="1">
      <c r="A31" s="436" t="s">
        <v>63</v>
      </c>
      <c r="B31" s="437" t="s">
        <v>159</v>
      </c>
      <c r="C31" s="437" t="s">
        <v>296</v>
      </c>
      <c r="D31" s="437" t="s">
        <v>295</v>
      </c>
      <c r="E31" s="229"/>
      <c r="F31" s="229"/>
      <c r="G31" s="229"/>
      <c r="H31" s="227"/>
      <c r="I31" s="227"/>
      <c r="J31" s="227"/>
      <c r="K31" s="227"/>
    </row>
    <row r="32" spans="1:11" ht="17.25" customHeight="1">
      <c r="A32" s="118"/>
      <c r="B32" s="93" t="s">
        <v>153</v>
      </c>
      <c r="C32" s="127"/>
      <c r="D32" s="127"/>
      <c r="E32" s="229"/>
      <c r="F32" s="229"/>
      <c r="G32" s="229"/>
    </row>
    <row r="33" spans="1:7" ht="17.25" customHeight="1">
      <c r="A33" s="119"/>
      <c r="B33" s="94" t="s">
        <v>297</v>
      </c>
      <c r="C33" s="267">
        <f>B30</f>
        <v>56.733353883127386</v>
      </c>
      <c r="D33" s="267" t="s">
        <v>186</v>
      </c>
      <c r="E33" s="229"/>
      <c r="F33" s="229"/>
      <c r="G33" s="229"/>
    </row>
    <row r="34" spans="1:7" ht="17.25" customHeight="1">
      <c r="A34" s="119"/>
      <c r="B34" s="94"/>
      <c r="C34" s="266"/>
      <c r="D34" s="266"/>
      <c r="E34" s="229"/>
      <c r="F34" s="229"/>
      <c r="G34" s="229"/>
    </row>
    <row r="35" spans="1:7" ht="17.25" customHeight="1">
      <c r="A35" s="351">
        <v>1</v>
      </c>
      <c r="B35" s="94" t="s">
        <v>365</v>
      </c>
      <c r="C35" s="267">
        <f>C30</f>
        <v>42.506917683127391</v>
      </c>
      <c r="D35" s="269">
        <f>(C35-$C$33)/$C$33</f>
        <v>-0.25075965417639384</v>
      </c>
      <c r="E35" s="229"/>
      <c r="F35" s="229"/>
      <c r="G35" s="229"/>
    </row>
    <row r="36" spans="1:7" ht="17.25" customHeight="1">
      <c r="A36" s="351">
        <v>2</v>
      </c>
      <c r="B36" s="94" t="s">
        <v>366</v>
      </c>
      <c r="C36" s="267">
        <f>D30</f>
        <v>22.074472643982112</v>
      </c>
      <c r="D36" s="269">
        <f t="shared" ref="D36:D38" si="10">(C36-$C$33)/$C$33</f>
        <v>-0.61090837870335912</v>
      </c>
      <c r="E36" s="229"/>
      <c r="F36" s="229"/>
      <c r="G36" s="229"/>
    </row>
    <row r="37" spans="1:7" ht="17.25" customHeight="1">
      <c r="A37" s="351">
        <v>3</v>
      </c>
      <c r="B37" s="94" t="s">
        <v>367</v>
      </c>
      <c r="C37" s="267">
        <f>E30</f>
        <v>7.8480364439821173</v>
      </c>
      <c r="D37" s="269">
        <f t="shared" si="10"/>
        <v>-0.86166803287975291</v>
      </c>
      <c r="E37" s="229"/>
      <c r="F37" s="229"/>
      <c r="G37" s="229"/>
    </row>
    <row r="38" spans="1:7" ht="17.25" customHeight="1">
      <c r="A38" s="352">
        <v>4</v>
      </c>
      <c r="B38" s="95" t="s">
        <v>368</v>
      </c>
      <c r="C38" s="268">
        <f>F30</f>
        <v>29.213265911158906</v>
      </c>
      <c r="D38" s="270">
        <f t="shared" si="10"/>
        <v>-0.48507775564724737</v>
      </c>
      <c r="E38" s="229"/>
      <c r="F38" s="229"/>
      <c r="G38" s="229"/>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8B08-AEC5-4635-AF99-22B3D63F7E1B}">
  <dimension ref="A1:H36"/>
  <sheetViews>
    <sheetView showGridLines="0" zoomScaleNormal="100" zoomScaleSheetLayoutView="98" workbookViewId="0">
      <selection activeCell="B7" sqref="B7"/>
    </sheetView>
  </sheetViews>
  <sheetFormatPr defaultRowHeight="12.75"/>
  <cols>
    <col min="1" max="1" width="33.5703125" style="229" customWidth="1"/>
    <col min="2" max="2" width="63.7109375" style="229" bestFit="1" customWidth="1"/>
    <col min="3" max="3" width="16.7109375" style="229" bestFit="1" customWidth="1"/>
    <col min="4" max="7" width="12.42578125" style="229" customWidth="1"/>
    <col min="8" max="252" width="9.140625" style="229"/>
    <col min="253" max="253" width="49.140625" style="229" customWidth="1"/>
    <col min="254" max="254" width="20.7109375" style="229" customWidth="1"/>
    <col min="255" max="255" width="9.140625" style="229"/>
    <col min="256" max="256" width="11.85546875" style="229" customWidth="1"/>
    <col min="257" max="257" width="11.7109375" style="229" customWidth="1"/>
    <col min="258" max="258" width="12.42578125" style="229" customWidth="1"/>
    <col min="259" max="259" width="13.42578125" style="229" customWidth="1"/>
    <col min="260" max="508" width="9.140625" style="229"/>
    <col min="509" max="509" width="49.140625" style="229" customWidth="1"/>
    <col min="510" max="510" width="20.7109375" style="229" customWidth="1"/>
    <col min="511" max="511" width="9.140625" style="229"/>
    <col min="512" max="512" width="11.85546875" style="229" customWidth="1"/>
    <col min="513" max="513" width="11.7109375" style="229" customWidth="1"/>
    <col min="514" max="514" width="12.42578125" style="229" customWidth="1"/>
    <col min="515" max="515" width="13.42578125" style="229" customWidth="1"/>
    <col min="516" max="764" width="9.140625" style="229"/>
    <col min="765" max="765" width="49.140625" style="229" customWidth="1"/>
    <col min="766" max="766" width="20.7109375" style="229" customWidth="1"/>
    <col min="767" max="767" width="9.140625" style="229"/>
    <col min="768" max="768" width="11.85546875" style="229" customWidth="1"/>
    <col min="769" max="769" width="11.7109375" style="229" customWidth="1"/>
    <col min="770" max="770" width="12.42578125" style="229" customWidth="1"/>
    <col min="771" max="771" width="13.42578125" style="229" customWidth="1"/>
    <col min="772" max="1020" width="9.140625" style="229"/>
    <col min="1021" max="1021" width="49.140625" style="229" customWidth="1"/>
    <col min="1022" max="1022" width="20.7109375" style="229" customWidth="1"/>
    <col min="1023" max="1023" width="9.140625" style="229"/>
    <col min="1024" max="1024" width="11.85546875" style="229" customWidth="1"/>
    <col min="1025" max="1025" width="11.7109375" style="229" customWidth="1"/>
    <col min="1026" max="1026" width="12.42578125" style="229" customWidth="1"/>
    <col min="1027" max="1027" width="13.42578125" style="229" customWidth="1"/>
    <col min="1028" max="1276" width="9.140625" style="229"/>
    <col min="1277" max="1277" width="49.140625" style="229" customWidth="1"/>
    <col min="1278" max="1278" width="20.7109375" style="229" customWidth="1"/>
    <col min="1279" max="1279" width="9.140625" style="229"/>
    <col min="1280" max="1280" width="11.85546875" style="229" customWidth="1"/>
    <col min="1281" max="1281" width="11.7109375" style="229" customWidth="1"/>
    <col min="1282" max="1282" width="12.42578125" style="229" customWidth="1"/>
    <col min="1283" max="1283" width="13.42578125" style="229" customWidth="1"/>
    <col min="1284" max="1532" width="9.140625" style="229"/>
    <col min="1533" max="1533" width="49.140625" style="229" customWidth="1"/>
    <col min="1534" max="1534" width="20.7109375" style="229" customWidth="1"/>
    <col min="1535" max="1535" width="9.140625" style="229"/>
    <col min="1536" max="1536" width="11.85546875" style="229" customWidth="1"/>
    <col min="1537" max="1537" width="11.7109375" style="229" customWidth="1"/>
    <col min="1538" max="1538" width="12.42578125" style="229" customWidth="1"/>
    <col min="1539" max="1539" width="13.42578125" style="229" customWidth="1"/>
    <col min="1540" max="1788" width="9.140625" style="229"/>
    <col min="1789" max="1789" width="49.140625" style="229" customWidth="1"/>
    <col min="1790" max="1790" width="20.7109375" style="229" customWidth="1"/>
    <col min="1791" max="1791" width="9.140625" style="229"/>
    <col min="1792" max="1792" width="11.85546875" style="229" customWidth="1"/>
    <col min="1793" max="1793" width="11.7109375" style="229" customWidth="1"/>
    <col min="1794" max="1794" width="12.42578125" style="229" customWidth="1"/>
    <col min="1795" max="1795" width="13.42578125" style="229" customWidth="1"/>
    <col min="1796" max="2044" width="9.140625" style="229"/>
    <col min="2045" max="2045" width="49.140625" style="229" customWidth="1"/>
    <col min="2046" max="2046" width="20.7109375" style="229" customWidth="1"/>
    <col min="2047" max="2047" width="9.140625" style="229"/>
    <col min="2048" max="2048" width="11.85546875" style="229" customWidth="1"/>
    <col min="2049" max="2049" width="11.7109375" style="229" customWidth="1"/>
    <col min="2050" max="2050" width="12.42578125" style="229" customWidth="1"/>
    <col min="2051" max="2051" width="13.42578125" style="229" customWidth="1"/>
    <col min="2052" max="2300" width="9.140625" style="229"/>
    <col min="2301" max="2301" width="49.140625" style="229" customWidth="1"/>
    <col min="2302" max="2302" width="20.7109375" style="229" customWidth="1"/>
    <col min="2303" max="2303" width="9.140625" style="229"/>
    <col min="2304" max="2304" width="11.85546875" style="229" customWidth="1"/>
    <col min="2305" max="2305" width="11.7109375" style="229" customWidth="1"/>
    <col min="2306" max="2306" width="12.42578125" style="229" customWidth="1"/>
    <col min="2307" max="2307" width="13.42578125" style="229" customWidth="1"/>
    <col min="2308" max="2556" width="9.140625" style="229"/>
    <col min="2557" max="2557" width="49.140625" style="229" customWidth="1"/>
    <col min="2558" max="2558" width="20.7109375" style="229" customWidth="1"/>
    <col min="2559" max="2559" width="9.140625" style="229"/>
    <col min="2560" max="2560" width="11.85546875" style="229" customWidth="1"/>
    <col min="2561" max="2561" width="11.7109375" style="229" customWidth="1"/>
    <col min="2562" max="2562" width="12.42578125" style="229" customWidth="1"/>
    <col min="2563" max="2563" width="13.42578125" style="229" customWidth="1"/>
    <col min="2564" max="2812" width="9.140625" style="229"/>
    <col min="2813" max="2813" width="49.140625" style="229" customWidth="1"/>
    <col min="2814" max="2814" width="20.7109375" style="229" customWidth="1"/>
    <col min="2815" max="2815" width="9.140625" style="229"/>
    <col min="2816" max="2816" width="11.85546875" style="229" customWidth="1"/>
    <col min="2817" max="2817" width="11.7109375" style="229" customWidth="1"/>
    <col min="2818" max="2818" width="12.42578125" style="229" customWidth="1"/>
    <col min="2819" max="2819" width="13.42578125" style="229" customWidth="1"/>
    <col min="2820" max="3068" width="9.140625" style="229"/>
    <col min="3069" max="3069" width="49.140625" style="229" customWidth="1"/>
    <col min="3070" max="3070" width="20.7109375" style="229" customWidth="1"/>
    <col min="3071" max="3071" width="9.140625" style="229"/>
    <col min="3072" max="3072" width="11.85546875" style="229" customWidth="1"/>
    <col min="3073" max="3073" width="11.7109375" style="229" customWidth="1"/>
    <col min="3074" max="3074" width="12.42578125" style="229" customWidth="1"/>
    <col min="3075" max="3075" width="13.42578125" style="229" customWidth="1"/>
    <col min="3076" max="3324" width="9.140625" style="229"/>
    <col min="3325" max="3325" width="49.140625" style="229" customWidth="1"/>
    <col min="3326" max="3326" width="20.7109375" style="229" customWidth="1"/>
    <col min="3327" max="3327" width="9.140625" style="229"/>
    <col min="3328" max="3328" width="11.85546875" style="229" customWidth="1"/>
    <col min="3329" max="3329" width="11.7109375" style="229" customWidth="1"/>
    <col min="3330" max="3330" width="12.42578125" style="229" customWidth="1"/>
    <col min="3331" max="3331" width="13.42578125" style="229" customWidth="1"/>
    <col min="3332" max="3580" width="9.140625" style="229"/>
    <col min="3581" max="3581" width="49.140625" style="229" customWidth="1"/>
    <col min="3582" max="3582" width="20.7109375" style="229" customWidth="1"/>
    <col min="3583" max="3583" width="9.140625" style="229"/>
    <col min="3584" max="3584" width="11.85546875" style="229" customWidth="1"/>
    <col min="3585" max="3585" width="11.7109375" style="229" customWidth="1"/>
    <col min="3586" max="3586" width="12.42578125" style="229" customWidth="1"/>
    <col min="3587" max="3587" width="13.42578125" style="229" customWidth="1"/>
    <col min="3588" max="3836" width="9.140625" style="229"/>
    <col min="3837" max="3837" width="49.140625" style="229" customWidth="1"/>
    <col min="3838" max="3838" width="20.7109375" style="229" customWidth="1"/>
    <col min="3839" max="3839" width="9.140625" style="229"/>
    <col min="3840" max="3840" width="11.85546875" style="229" customWidth="1"/>
    <col min="3841" max="3841" width="11.7109375" style="229" customWidth="1"/>
    <col min="3842" max="3842" width="12.42578125" style="229" customWidth="1"/>
    <col min="3843" max="3843" width="13.42578125" style="229" customWidth="1"/>
    <col min="3844" max="4092" width="9.140625" style="229"/>
    <col min="4093" max="4093" width="49.140625" style="229" customWidth="1"/>
    <col min="4094" max="4094" width="20.7109375" style="229" customWidth="1"/>
    <col min="4095" max="4095" width="9.140625" style="229"/>
    <col min="4096" max="4096" width="11.85546875" style="229" customWidth="1"/>
    <col min="4097" max="4097" width="11.7109375" style="229" customWidth="1"/>
    <col min="4098" max="4098" width="12.42578125" style="229" customWidth="1"/>
    <col min="4099" max="4099" width="13.42578125" style="229" customWidth="1"/>
    <col min="4100" max="4348" width="9.140625" style="229"/>
    <col min="4349" max="4349" width="49.140625" style="229" customWidth="1"/>
    <col min="4350" max="4350" width="20.7109375" style="229" customWidth="1"/>
    <col min="4351" max="4351" width="9.140625" style="229"/>
    <col min="4352" max="4352" width="11.85546875" style="229" customWidth="1"/>
    <col min="4353" max="4353" width="11.7109375" style="229" customWidth="1"/>
    <col min="4354" max="4354" width="12.42578125" style="229" customWidth="1"/>
    <col min="4355" max="4355" width="13.42578125" style="229" customWidth="1"/>
    <col min="4356" max="4604" width="9.140625" style="229"/>
    <col min="4605" max="4605" width="49.140625" style="229" customWidth="1"/>
    <col min="4606" max="4606" width="20.7109375" style="229" customWidth="1"/>
    <col min="4607" max="4607" width="9.140625" style="229"/>
    <col min="4608" max="4608" width="11.85546875" style="229" customWidth="1"/>
    <col min="4609" max="4609" width="11.7109375" style="229" customWidth="1"/>
    <col min="4610" max="4610" width="12.42578125" style="229" customWidth="1"/>
    <col min="4611" max="4611" width="13.42578125" style="229" customWidth="1"/>
    <col min="4612" max="4860" width="9.140625" style="229"/>
    <col min="4861" max="4861" width="49.140625" style="229" customWidth="1"/>
    <col min="4862" max="4862" width="20.7109375" style="229" customWidth="1"/>
    <col min="4863" max="4863" width="9.140625" style="229"/>
    <col min="4864" max="4864" width="11.85546875" style="229" customWidth="1"/>
    <col min="4865" max="4865" width="11.7109375" style="229" customWidth="1"/>
    <col min="4866" max="4866" width="12.42578125" style="229" customWidth="1"/>
    <col min="4867" max="4867" width="13.42578125" style="229" customWidth="1"/>
    <col min="4868" max="5116" width="9.140625" style="229"/>
    <col min="5117" max="5117" width="49.140625" style="229" customWidth="1"/>
    <col min="5118" max="5118" width="20.7109375" style="229" customWidth="1"/>
    <col min="5119" max="5119" width="9.140625" style="229"/>
    <col min="5120" max="5120" width="11.85546875" style="229" customWidth="1"/>
    <col min="5121" max="5121" width="11.7109375" style="229" customWidth="1"/>
    <col min="5122" max="5122" width="12.42578125" style="229" customWidth="1"/>
    <col min="5123" max="5123" width="13.42578125" style="229" customWidth="1"/>
    <col min="5124" max="5372" width="9.140625" style="229"/>
    <col min="5373" max="5373" width="49.140625" style="229" customWidth="1"/>
    <col min="5374" max="5374" width="20.7109375" style="229" customWidth="1"/>
    <col min="5375" max="5375" width="9.140625" style="229"/>
    <col min="5376" max="5376" width="11.85546875" style="229" customWidth="1"/>
    <col min="5377" max="5377" width="11.7109375" style="229" customWidth="1"/>
    <col min="5378" max="5378" width="12.42578125" style="229" customWidth="1"/>
    <col min="5379" max="5379" width="13.42578125" style="229" customWidth="1"/>
    <col min="5380" max="5628" width="9.140625" style="229"/>
    <col min="5629" max="5629" width="49.140625" style="229" customWidth="1"/>
    <col min="5630" max="5630" width="20.7109375" style="229" customWidth="1"/>
    <col min="5631" max="5631" width="9.140625" style="229"/>
    <col min="5632" max="5632" width="11.85546875" style="229" customWidth="1"/>
    <col min="5633" max="5633" width="11.7109375" style="229" customWidth="1"/>
    <col min="5634" max="5634" width="12.42578125" style="229" customWidth="1"/>
    <col min="5635" max="5635" width="13.42578125" style="229" customWidth="1"/>
    <col min="5636" max="5884" width="9.140625" style="229"/>
    <col min="5885" max="5885" width="49.140625" style="229" customWidth="1"/>
    <col min="5886" max="5886" width="20.7109375" style="229" customWidth="1"/>
    <col min="5887" max="5887" width="9.140625" style="229"/>
    <col min="5888" max="5888" width="11.85546875" style="229" customWidth="1"/>
    <col min="5889" max="5889" width="11.7109375" style="229" customWidth="1"/>
    <col min="5890" max="5890" width="12.42578125" style="229" customWidth="1"/>
    <col min="5891" max="5891" width="13.42578125" style="229" customWidth="1"/>
    <col min="5892" max="6140" width="9.140625" style="229"/>
    <col min="6141" max="6141" width="49.140625" style="229" customWidth="1"/>
    <col min="6142" max="6142" width="20.7109375" style="229" customWidth="1"/>
    <col min="6143" max="6143" width="9.140625" style="229"/>
    <col min="6144" max="6144" width="11.85546875" style="229" customWidth="1"/>
    <col min="6145" max="6145" width="11.7109375" style="229" customWidth="1"/>
    <col min="6146" max="6146" width="12.42578125" style="229" customWidth="1"/>
    <col min="6147" max="6147" width="13.42578125" style="229" customWidth="1"/>
    <col min="6148" max="6396" width="9.140625" style="229"/>
    <col min="6397" max="6397" width="49.140625" style="229" customWidth="1"/>
    <col min="6398" max="6398" width="20.7109375" style="229" customWidth="1"/>
    <col min="6399" max="6399" width="9.140625" style="229"/>
    <col min="6400" max="6400" width="11.85546875" style="229" customWidth="1"/>
    <col min="6401" max="6401" width="11.7109375" style="229" customWidth="1"/>
    <col min="6402" max="6402" width="12.42578125" style="229" customWidth="1"/>
    <col min="6403" max="6403" width="13.42578125" style="229" customWidth="1"/>
    <col min="6404" max="6652" width="9.140625" style="229"/>
    <col min="6653" max="6653" width="49.140625" style="229" customWidth="1"/>
    <col min="6654" max="6654" width="20.7109375" style="229" customWidth="1"/>
    <col min="6655" max="6655" width="9.140625" style="229"/>
    <col min="6656" max="6656" width="11.85546875" style="229" customWidth="1"/>
    <col min="6657" max="6657" width="11.7109375" style="229" customWidth="1"/>
    <col min="6658" max="6658" width="12.42578125" style="229" customWidth="1"/>
    <col min="6659" max="6659" width="13.42578125" style="229" customWidth="1"/>
    <col min="6660" max="6908" width="9.140625" style="229"/>
    <col min="6909" max="6909" width="49.140625" style="229" customWidth="1"/>
    <col min="6910" max="6910" width="20.7109375" style="229" customWidth="1"/>
    <col min="6911" max="6911" width="9.140625" style="229"/>
    <col min="6912" max="6912" width="11.85546875" style="229" customWidth="1"/>
    <col min="6913" max="6913" width="11.7109375" style="229" customWidth="1"/>
    <col min="6914" max="6914" width="12.42578125" style="229" customWidth="1"/>
    <col min="6915" max="6915" width="13.42578125" style="229" customWidth="1"/>
    <col min="6916" max="7164" width="9.140625" style="229"/>
    <col min="7165" max="7165" width="49.140625" style="229" customWidth="1"/>
    <col min="7166" max="7166" width="20.7109375" style="229" customWidth="1"/>
    <col min="7167" max="7167" width="9.140625" style="229"/>
    <col min="7168" max="7168" width="11.85546875" style="229" customWidth="1"/>
    <col min="7169" max="7169" width="11.7109375" style="229" customWidth="1"/>
    <col min="7170" max="7170" width="12.42578125" style="229" customWidth="1"/>
    <col min="7171" max="7171" width="13.42578125" style="229" customWidth="1"/>
    <col min="7172" max="7420" width="9.140625" style="229"/>
    <col min="7421" max="7421" width="49.140625" style="229" customWidth="1"/>
    <col min="7422" max="7422" width="20.7109375" style="229" customWidth="1"/>
    <col min="7423" max="7423" width="9.140625" style="229"/>
    <col min="7424" max="7424" width="11.85546875" style="229" customWidth="1"/>
    <col min="7425" max="7425" width="11.7109375" style="229" customWidth="1"/>
    <col min="7426" max="7426" width="12.42578125" style="229" customWidth="1"/>
    <col min="7427" max="7427" width="13.42578125" style="229" customWidth="1"/>
    <col min="7428" max="7676" width="9.140625" style="229"/>
    <col min="7677" max="7677" width="49.140625" style="229" customWidth="1"/>
    <col min="7678" max="7678" width="20.7109375" style="229" customWidth="1"/>
    <col min="7679" max="7679" width="9.140625" style="229"/>
    <col min="7680" max="7680" width="11.85546875" style="229" customWidth="1"/>
    <col min="7681" max="7681" width="11.7109375" style="229" customWidth="1"/>
    <col min="7682" max="7682" width="12.42578125" style="229" customWidth="1"/>
    <col min="7683" max="7683" width="13.42578125" style="229" customWidth="1"/>
    <col min="7684" max="7932" width="9.140625" style="229"/>
    <col min="7933" max="7933" width="49.140625" style="229" customWidth="1"/>
    <col min="7934" max="7934" width="20.7109375" style="229" customWidth="1"/>
    <col min="7935" max="7935" width="9.140625" style="229"/>
    <col min="7936" max="7936" width="11.85546875" style="229" customWidth="1"/>
    <col min="7937" max="7937" width="11.7109375" style="229" customWidth="1"/>
    <col min="7938" max="7938" width="12.42578125" style="229" customWidth="1"/>
    <col min="7939" max="7939" width="13.42578125" style="229" customWidth="1"/>
    <col min="7940" max="8188" width="9.140625" style="229"/>
    <col min="8189" max="8189" width="49.140625" style="229" customWidth="1"/>
    <col min="8190" max="8190" width="20.7109375" style="229" customWidth="1"/>
    <col min="8191" max="8191" width="9.140625" style="229"/>
    <col min="8192" max="8192" width="11.85546875" style="229" customWidth="1"/>
    <col min="8193" max="8193" width="11.7109375" style="229" customWidth="1"/>
    <col min="8194" max="8194" width="12.42578125" style="229" customWidth="1"/>
    <col min="8195" max="8195" width="13.42578125" style="229" customWidth="1"/>
    <col min="8196" max="8444" width="9.140625" style="229"/>
    <col min="8445" max="8445" width="49.140625" style="229" customWidth="1"/>
    <col min="8446" max="8446" width="20.7109375" style="229" customWidth="1"/>
    <col min="8447" max="8447" width="9.140625" style="229"/>
    <col min="8448" max="8448" width="11.85546875" style="229" customWidth="1"/>
    <col min="8449" max="8449" width="11.7109375" style="229" customWidth="1"/>
    <col min="8450" max="8450" width="12.42578125" style="229" customWidth="1"/>
    <col min="8451" max="8451" width="13.42578125" style="229" customWidth="1"/>
    <col min="8452" max="8700" width="9.140625" style="229"/>
    <col min="8701" max="8701" width="49.140625" style="229" customWidth="1"/>
    <col min="8702" max="8702" width="20.7109375" style="229" customWidth="1"/>
    <col min="8703" max="8703" width="9.140625" style="229"/>
    <col min="8704" max="8704" width="11.85546875" style="229" customWidth="1"/>
    <col min="8705" max="8705" width="11.7109375" style="229" customWidth="1"/>
    <col min="8706" max="8706" width="12.42578125" style="229" customWidth="1"/>
    <col min="8707" max="8707" width="13.42578125" style="229" customWidth="1"/>
    <col min="8708" max="8956" width="9.140625" style="229"/>
    <col min="8957" max="8957" width="49.140625" style="229" customWidth="1"/>
    <col min="8958" max="8958" width="20.7109375" style="229" customWidth="1"/>
    <col min="8959" max="8959" width="9.140625" style="229"/>
    <col min="8960" max="8960" width="11.85546875" style="229" customWidth="1"/>
    <col min="8961" max="8961" width="11.7109375" style="229" customWidth="1"/>
    <col min="8962" max="8962" width="12.42578125" style="229" customWidth="1"/>
    <col min="8963" max="8963" width="13.42578125" style="229" customWidth="1"/>
    <col min="8964" max="9212" width="9.140625" style="229"/>
    <col min="9213" max="9213" width="49.140625" style="229" customWidth="1"/>
    <col min="9214" max="9214" width="20.7109375" style="229" customWidth="1"/>
    <col min="9215" max="9215" width="9.140625" style="229"/>
    <col min="9216" max="9216" width="11.85546875" style="229" customWidth="1"/>
    <col min="9217" max="9217" width="11.7109375" style="229" customWidth="1"/>
    <col min="9218" max="9218" width="12.42578125" style="229" customWidth="1"/>
    <col min="9219" max="9219" width="13.42578125" style="229" customWidth="1"/>
    <col min="9220" max="9468" width="9.140625" style="229"/>
    <col min="9469" max="9469" width="49.140625" style="229" customWidth="1"/>
    <col min="9470" max="9470" width="20.7109375" style="229" customWidth="1"/>
    <col min="9471" max="9471" width="9.140625" style="229"/>
    <col min="9472" max="9472" width="11.85546875" style="229" customWidth="1"/>
    <col min="9473" max="9473" width="11.7109375" style="229" customWidth="1"/>
    <col min="9474" max="9474" width="12.42578125" style="229" customWidth="1"/>
    <col min="9475" max="9475" width="13.42578125" style="229" customWidth="1"/>
    <col min="9476" max="9724" width="9.140625" style="229"/>
    <col min="9725" max="9725" width="49.140625" style="229" customWidth="1"/>
    <col min="9726" max="9726" width="20.7109375" style="229" customWidth="1"/>
    <col min="9727" max="9727" width="9.140625" style="229"/>
    <col min="9728" max="9728" width="11.85546875" style="229" customWidth="1"/>
    <col min="9729" max="9729" width="11.7109375" style="229" customWidth="1"/>
    <col min="9730" max="9730" width="12.42578125" style="229" customWidth="1"/>
    <col min="9731" max="9731" width="13.42578125" style="229" customWidth="1"/>
    <col min="9732" max="9980" width="9.140625" style="229"/>
    <col min="9981" max="9981" width="49.140625" style="229" customWidth="1"/>
    <col min="9982" max="9982" width="20.7109375" style="229" customWidth="1"/>
    <col min="9983" max="9983" width="9.140625" style="229"/>
    <col min="9984" max="9984" width="11.85546875" style="229" customWidth="1"/>
    <col min="9985" max="9985" width="11.7109375" style="229" customWidth="1"/>
    <col min="9986" max="9986" width="12.42578125" style="229" customWidth="1"/>
    <col min="9987" max="9987" width="13.42578125" style="229" customWidth="1"/>
    <col min="9988" max="10236" width="9.140625" style="229"/>
    <col min="10237" max="10237" width="49.140625" style="229" customWidth="1"/>
    <col min="10238" max="10238" width="20.7109375" style="229" customWidth="1"/>
    <col min="10239" max="10239" width="9.140625" style="229"/>
    <col min="10240" max="10240" width="11.85546875" style="229" customWidth="1"/>
    <col min="10241" max="10241" width="11.7109375" style="229" customWidth="1"/>
    <col min="10242" max="10242" width="12.42578125" style="229" customWidth="1"/>
    <col min="10243" max="10243" width="13.42578125" style="229" customWidth="1"/>
    <col min="10244" max="10492" width="9.140625" style="229"/>
    <col min="10493" max="10493" width="49.140625" style="229" customWidth="1"/>
    <col min="10494" max="10494" width="20.7109375" style="229" customWidth="1"/>
    <col min="10495" max="10495" width="9.140625" style="229"/>
    <col min="10496" max="10496" width="11.85546875" style="229" customWidth="1"/>
    <col min="10497" max="10497" width="11.7109375" style="229" customWidth="1"/>
    <col min="10498" max="10498" width="12.42578125" style="229" customWidth="1"/>
    <col min="10499" max="10499" width="13.42578125" style="229" customWidth="1"/>
    <col min="10500" max="10748" width="9.140625" style="229"/>
    <col min="10749" max="10749" width="49.140625" style="229" customWidth="1"/>
    <col min="10750" max="10750" width="20.7109375" style="229" customWidth="1"/>
    <col min="10751" max="10751" width="9.140625" style="229"/>
    <col min="10752" max="10752" width="11.85546875" style="229" customWidth="1"/>
    <col min="10753" max="10753" width="11.7109375" style="229" customWidth="1"/>
    <col min="10754" max="10754" width="12.42578125" style="229" customWidth="1"/>
    <col min="10755" max="10755" width="13.42578125" style="229" customWidth="1"/>
    <col min="10756" max="11004" width="9.140625" style="229"/>
    <col min="11005" max="11005" width="49.140625" style="229" customWidth="1"/>
    <col min="11006" max="11006" width="20.7109375" style="229" customWidth="1"/>
    <col min="11007" max="11007" width="9.140625" style="229"/>
    <col min="11008" max="11008" width="11.85546875" style="229" customWidth="1"/>
    <col min="11009" max="11009" width="11.7109375" style="229" customWidth="1"/>
    <col min="11010" max="11010" width="12.42578125" style="229" customWidth="1"/>
    <col min="11011" max="11011" width="13.42578125" style="229" customWidth="1"/>
    <col min="11012" max="11260" width="9.140625" style="229"/>
    <col min="11261" max="11261" width="49.140625" style="229" customWidth="1"/>
    <col min="11262" max="11262" width="20.7109375" style="229" customWidth="1"/>
    <col min="11263" max="11263" width="9.140625" style="229"/>
    <col min="11264" max="11264" width="11.85546875" style="229" customWidth="1"/>
    <col min="11265" max="11265" width="11.7109375" style="229" customWidth="1"/>
    <col min="11266" max="11266" width="12.42578125" style="229" customWidth="1"/>
    <col min="11267" max="11267" width="13.42578125" style="229" customWidth="1"/>
    <col min="11268" max="11516" width="9.140625" style="229"/>
    <col min="11517" max="11517" width="49.140625" style="229" customWidth="1"/>
    <col min="11518" max="11518" width="20.7109375" style="229" customWidth="1"/>
    <col min="11519" max="11519" width="9.140625" style="229"/>
    <col min="11520" max="11520" width="11.85546875" style="229" customWidth="1"/>
    <col min="11521" max="11521" width="11.7109375" style="229" customWidth="1"/>
    <col min="11522" max="11522" width="12.42578125" style="229" customWidth="1"/>
    <col min="11523" max="11523" width="13.42578125" style="229" customWidth="1"/>
    <col min="11524" max="11772" width="9.140625" style="229"/>
    <col min="11773" max="11773" width="49.140625" style="229" customWidth="1"/>
    <col min="11774" max="11774" width="20.7109375" style="229" customWidth="1"/>
    <col min="11775" max="11775" width="9.140625" style="229"/>
    <col min="11776" max="11776" width="11.85546875" style="229" customWidth="1"/>
    <col min="11777" max="11777" width="11.7109375" style="229" customWidth="1"/>
    <col min="11778" max="11778" width="12.42578125" style="229" customWidth="1"/>
    <col min="11779" max="11779" width="13.42578125" style="229" customWidth="1"/>
    <col min="11780" max="12028" width="9.140625" style="229"/>
    <col min="12029" max="12029" width="49.140625" style="229" customWidth="1"/>
    <col min="12030" max="12030" width="20.7109375" style="229" customWidth="1"/>
    <col min="12031" max="12031" width="9.140625" style="229"/>
    <col min="12032" max="12032" width="11.85546875" style="229" customWidth="1"/>
    <col min="12033" max="12033" width="11.7109375" style="229" customWidth="1"/>
    <col min="12034" max="12034" width="12.42578125" style="229" customWidth="1"/>
    <col min="12035" max="12035" width="13.42578125" style="229" customWidth="1"/>
    <col min="12036" max="12284" width="9.140625" style="229"/>
    <col min="12285" max="12285" width="49.140625" style="229" customWidth="1"/>
    <col min="12286" max="12286" width="20.7109375" style="229" customWidth="1"/>
    <col min="12287" max="12287" width="9.140625" style="229"/>
    <col min="12288" max="12288" width="11.85546875" style="229" customWidth="1"/>
    <col min="12289" max="12289" width="11.7109375" style="229" customWidth="1"/>
    <col min="12290" max="12290" width="12.42578125" style="229" customWidth="1"/>
    <col min="12291" max="12291" width="13.42578125" style="229" customWidth="1"/>
    <col min="12292" max="12540" width="9.140625" style="229"/>
    <col min="12541" max="12541" width="49.140625" style="229" customWidth="1"/>
    <col min="12542" max="12542" width="20.7109375" style="229" customWidth="1"/>
    <col min="12543" max="12543" width="9.140625" style="229"/>
    <col min="12544" max="12544" width="11.85546875" style="229" customWidth="1"/>
    <col min="12545" max="12545" width="11.7109375" style="229" customWidth="1"/>
    <col min="12546" max="12546" width="12.42578125" style="229" customWidth="1"/>
    <col min="12547" max="12547" width="13.42578125" style="229" customWidth="1"/>
    <col min="12548" max="12796" width="9.140625" style="229"/>
    <col min="12797" max="12797" width="49.140625" style="229" customWidth="1"/>
    <col min="12798" max="12798" width="20.7109375" style="229" customWidth="1"/>
    <col min="12799" max="12799" width="9.140625" style="229"/>
    <col min="12800" max="12800" width="11.85546875" style="229" customWidth="1"/>
    <col min="12801" max="12801" width="11.7109375" style="229" customWidth="1"/>
    <col min="12802" max="12802" width="12.42578125" style="229" customWidth="1"/>
    <col min="12803" max="12803" width="13.42578125" style="229" customWidth="1"/>
    <col min="12804" max="13052" width="9.140625" style="229"/>
    <col min="13053" max="13053" width="49.140625" style="229" customWidth="1"/>
    <col min="13054" max="13054" width="20.7109375" style="229" customWidth="1"/>
    <col min="13055" max="13055" width="9.140625" style="229"/>
    <col min="13056" max="13056" width="11.85546875" style="229" customWidth="1"/>
    <col min="13057" max="13057" width="11.7109375" style="229" customWidth="1"/>
    <col min="13058" max="13058" width="12.42578125" style="229" customWidth="1"/>
    <col min="13059" max="13059" width="13.42578125" style="229" customWidth="1"/>
    <col min="13060" max="13308" width="9.140625" style="229"/>
    <col min="13309" max="13309" width="49.140625" style="229" customWidth="1"/>
    <col min="13310" max="13310" width="20.7109375" style="229" customWidth="1"/>
    <col min="13311" max="13311" width="9.140625" style="229"/>
    <col min="13312" max="13312" width="11.85546875" style="229" customWidth="1"/>
    <col min="13313" max="13313" width="11.7109375" style="229" customWidth="1"/>
    <col min="13314" max="13314" width="12.42578125" style="229" customWidth="1"/>
    <col min="13315" max="13315" width="13.42578125" style="229" customWidth="1"/>
    <col min="13316" max="13564" width="9.140625" style="229"/>
    <col min="13565" max="13565" width="49.140625" style="229" customWidth="1"/>
    <col min="13566" max="13566" width="20.7109375" style="229" customWidth="1"/>
    <col min="13567" max="13567" width="9.140625" style="229"/>
    <col min="13568" max="13568" width="11.85546875" style="229" customWidth="1"/>
    <col min="13569" max="13569" width="11.7109375" style="229" customWidth="1"/>
    <col min="13570" max="13570" width="12.42578125" style="229" customWidth="1"/>
    <col min="13571" max="13571" width="13.42578125" style="229" customWidth="1"/>
    <col min="13572" max="13820" width="9.140625" style="229"/>
    <col min="13821" max="13821" width="49.140625" style="229" customWidth="1"/>
    <col min="13822" max="13822" width="20.7109375" style="229" customWidth="1"/>
    <col min="13823" max="13823" width="9.140625" style="229"/>
    <col min="13824" max="13824" width="11.85546875" style="229" customWidth="1"/>
    <col min="13825" max="13825" width="11.7109375" style="229" customWidth="1"/>
    <col min="13826" max="13826" width="12.42578125" style="229" customWidth="1"/>
    <col min="13827" max="13827" width="13.42578125" style="229" customWidth="1"/>
    <col min="13828" max="14076" width="9.140625" style="229"/>
    <col min="14077" max="14077" width="49.140625" style="229" customWidth="1"/>
    <col min="14078" max="14078" width="20.7109375" style="229" customWidth="1"/>
    <col min="14079" max="14079" width="9.140625" style="229"/>
    <col min="14080" max="14080" width="11.85546875" style="229" customWidth="1"/>
    <col min="14081" max="14081" width="11.7109375" style="229" customWidth="1"/>
    <col min="14082" max="14082" width="12.42578125" style="229" customWidth="1"/>
    <col min="14083" max="14083" width="13.42578125" style="229" customWidth="1"/>
    <col min="14084" max="14332" width="9.140625" style="229"/>
    <col min="14333" max="14333" width="49.140625" style="229" customWidth="1"/>
    <col min="14334" max="14334" width="20.7109375" style="229" customWidth="1"/>
    <col min="14335" max="14335" width="9.140625" style="229"/>
    <col min="14336" max="14336" width="11.85546875" style="229" customWidth="1"/>
    <col min="14337" max="14337" width="11.7109375" style="229" customWidth="1"/>
    <col min="14338" max="14338" width="12.42578125" style="229" customWidth="1"/>
    <col min="14339" max="14339" width="13.42578125" style="229" customWidth="1"/>
    <col min="14340" max="14588" width="9.140625" style="229"/>
    <col min="14589" max="14589" width="49.140625" style="229" customWidth="1"/>
    <col min="14590" max="14590" width="20.7109375" style="229" customWidth="1"/>
    <col min="14591" max="14591" width="9.140625" style="229"/>
    <col min="14592" max="14592" width="11.85546875" style="229" customWidth="1"/>
    <col min="14593" max="14593" width="11.7109375" style="229" customWidth="1"/>
    <col min="14594" max="14594" width="12.42578125" style="229" customWidth="1"/>
    <col min="14595" max="14595" width="13.42578125" style="229" customWidth="1"/>
    <col min="14596" max="14844" width="9.140625" style="229"/>
    <col min="14845" max="14845" width="49.140625" style="229" customWidth="1"/>
    <col min="14846" max="14846" width="20.7109375" style="229" customWidth="1"/>
    <col min="14847" max="14847" width="9.140625" style="229"/>
    <col min="14848" max="14848" width="11.85546875" style="229" customWidth="1"/>
    <col min="14849" max="14849" width="11.7109375" style="229" customWidth="1"/>
    <col min="14850" max="14850" width="12.42578125" style="229" customWidth="1"/>
    <col min="14851" max="14851" width="13.42578125" style="229" customWidth="1"/>
    <col min="14852" max="15100" width="9.140625" style="229"/>
    <col min="15101" max="15101" width="49.140625" style="229" customWidth="1"/>
    <col min="15102" max="15102" width="20.7109375" style="229" customWidth="1"/>
    <col min="15103" max="15103" width="9.140625" style="229"/>
    <col min="15104" max="15104" width="11.85546875" style="229" customWidth="1"/>
    <col min="15105" max="15105" width="11.7109375" style="229" customWidth="1"/>
    <col min="15106" max="15106" width="12.42578125" style="229" customWidth="1"/>
    <col min="15107" max="15107" width="13.42578125" style="229" customWidth="1"/>
    <col min="15108" max="15356" width="9.140625" style="229"/>
    <col min="15357" max="15357" width="49.140625" style="229" customWidth="1"/>
    <col min="15358" max="15358" width="20.7109375" style="229" customWidth="1"/>
    <col min="15359" max="15359" width="9.140625" style="229"/>
    <col min="15360" max="15360" width="11.85546875" style="229" customWidth="1"/>
    <col min="15361" max="15361" width="11.7109375" style="229" customWidth="1"/>
    <col min="15362" max="15362" width="12.42578125" style="229" customWidth="1"/>
    <col min="15363" max="15363" width="13.42578125" style="229" customWidth="1"/>
    <col min="15364" max="15612" width="9.140625" style="229"/>
    <col min="15613" max="15613" width="49.140625" style="229" customWidth="1"/>
    <col min="15614" max="15614" width="20.7109375" style="229" customWidth="1"/>
    <col min="15615" max="15615" width="9.140625" style="229"/>
    <col min="15616" max="15616" width="11.85546875" style="229" customWidth="1"/>
    <col min="15617" max="15617" width="11.7109375" style="229" customWidth="1"/>
    <col min="15618" max="15618" width="12.42578125" style="229" customWidth="1"/>
    <col min="15619" max="15619" width="13.42578125" style="229" customWidth="1"/>
    <col min="15620" max="15868" width="9.140625" style="229"/>
    <col min="15869" max="15869" width="49.140625" style="229" customWidth="1"/>
    <col min="15870" max="15870" width="20.7109375" style="229" customWidth="1"/>
    <col min="15871" max="15871" width="9.140625" style="229"/>
    <col min="15872" max="15872" width="11.85546875" style="229" customWidth="1"/>
    <col min="15873" max="15873" width="11.7109375" style="229" customWidth="1"/>
    <col min="15874" max="15874" width="12.42578125" style="229" customWidth="1"/>
    <col min="15875" max="15875" width="13.42578125" style="229" customWidth="1"/>
    <col min="15876" max="16124" width="9.140625" style="229"/>
    <col min="16125" max="16125" width="49.140625" style="229" customWidth="1"/>
    <col min="16126" max="16126" width="20.7109375" style="229" customWidth="1"/>
    <col min="16127" max="16127" width="9.140625" style="229"/>
    <col min="16128" max="16128" width="11.85546875" style="229" customWidth="1"/>
    <col min="16129" max="16129" width="11.7109375" style="229" customWidth="1"/>
    <col min="16130" max="16130" width="12.42578125" style="229" customWidth="1"/>
    <col min="16131" max="16131" width="13.42578125" style="229" customWidth="1"/>
    <col min="16132" max="16384" width="9.140625" style="229"/>
  </cols>
  <sheetData>
    <row r="1" spans="1:8" ht="20.100000000000001" customHeight="1">
      <c r="A1" s="878" t="s">
        <v>288</v>
      </c>
      <c r="B1" s="879"/>
      <c r="C1" s="228"/>
      <c r="D1" s="228"/>
      <c r="E1" s="228"/>
      <c r="F1" s="228"/>
      <c r="G1" s="228"/>
      <c r="H1" s="228"/>
    </row>
    <row r="2" spans="1:8" ht="20.100000000000001" customHeight="1">
      <c r="A2" s="880" t="s">
        <v>307</v>
      </c>
      <c r="B2" s="881"/>
    </row>
    <row r="3" spans="1:8" ht="20.100000000000001" customHeight="1">
      <c r="A3" s="104" t="s">
        <v>108</v>
      </c>
      <c r="B3" s="105">
        <f>'Cashflow '!I10</f>
        <v>379.37163200000003</v>
      </c>
      <c r="C3" s="230"/>
    </row>
    <row r="4" spans="1:8" ht="20.100000000000001" customHeight="1">
      <c r="A4" s="104" t="s">
        <v>109</v>
      </c>
      <c r="B4" s="108">
        <f>'Cashflow '!I15</f>
        <v>217.97171059002562</v>
      </c>
      <c r="C4" s="232"/>
    </row>
    <row r="5" spans="1:8" ht="20.100000000000001" customHeight="1">
      <c r="A5" s="104" t="s">
        <v>304</v>
      </c>
      <c r="B5" s="105">
        <f>+B3-B4</f>
        <v>161.39992140997441</v>
      </c>
      <c r="C5" s="233"/>
      <c r="D5" s="231"/>
    </row>
    <row r="6" spans="1:8" ht="20.100000000000001" customHeight="1">
      <c r="A6" s="104" t="s">
        <v>112</v>
      </c>
      <c r="B6" s="106"/>
      <c r="C6" s="232"/>
      <c r="D6" s="231"/>
    </row>
    <row r="7" spans="1:8" ht="20.100000000000001" customHeight="1">
      <c r="A7" s="107" t="s">
        <v>6</v>
      </c>
      <c r="B7" s="108">
        <f>'Cashflow '!I16</f>
        <v>27.603890131976605</v>
      </c>
      <c r="C7" s="231"/>
      <c r="D7" s="231"/>
    </row>
    <row r="8" spans="1:8" ht="20.100000000000001" customHeight="1">
      <c r="A8" s="107" t="s">
        <v>185</v>
      </c>
      <c r="B8" s="108">
        <f>Norms!E91</f>
        <v>29.638874999999992</v>
      </c>
      <c r="C8" s="231"/>
      <c r="D8" s="231"/>
    </row>
    <row r="9" spans="1:8" ht="20.100000000000001" customHeight="1">
      <c r="A9" s="107" t="s">
        <v>13</v>
      </c>
      <c r="B9" s="108">
        <f>Opex!H11</f>
        <v>20.827099284627533</v>
      </c>
      <c r="C9" s="231"/>
      <c r="D9" s="234"/>
    </row>
    <row r="10" spans="1:8" ht="20.100000000000001" customHeight="1">
      <c r="A10" s="107" t="s">
        <v>70</v>
      </c>
      <c r="B10" s="105">
        <f>SUM(B7:B9)</f>
        <v>78.069864416604133</v>
      </c>
      <c r="C10" s="231"/>
      <c r="D10" s="234"/>
    </row>
    <row r="11" spans="1:8" ht="20.100000000000001" customHeight="1">
      <c r="A11" s="110" t="s">
        <v>113</v>
      </c>
      <c r="B11" s="111">
        <f>B10/B5</f>
        <v>0.48370447602819877</v>
      </c>
      <c r="C11" s="235"/>
      <c r="D11" s="234"/>
      <c r="E11" s="228"/>
    </row>
    <row r="12" spans="1:8" ht="20.100000000000001" hidden="1" customHeight="1">
      <c r="A12" s="883" t="s">
        <v>305</v>
      </c>
      <c r="B12" s="884"/>
      <c r="C12" s="884"/>
      <c r="D12" s="884"/>
      <c r="E12" s="884"/>
      <c r="F12" s="884"/>
    </row>
    <row r="13" spans="1:8" ht="20.100000000000001" hidden="1" customHeight="1">
      <c r="A13" s="885" t="s">
        <v>307</v>
      </c>
      <c r="B13" s="886"/>
      <c r="C13" s="886"/>
      <c r="D13" s="886"/>
      <c r="E13" s="886"/>
      <c r="F13" s="887"/>
    </row>
    <row r="14" spans="1:8" ht="20.100000000000001" hidden="1" customHeight="1">
      <c r="A14" s="104"/>
      <c r="B14" s="349"/>
      <c r="C14" s="116">
        <v>1</v>
      </c>
      <c r="D14" s="116">
        <v>2</v>
      </c>
      <c r="E14" s="116">
        <v>3</v>
      </c>
      <c r="F14" s="117">
        <v>4</v>
      </c>
    </row>
    <row r="15" spans="1:8" ht="17.25" hidden="1" customHeight="1">
      <c r="A15" s="104" t="s">
        <v>108</v>
      </c>
      <c r="B15" s="24">
        <f>B3</f>
        <v>379.37163200000003</v>
      </c>
      <c r="C15" s="24">
        <f>B15-B15*0.11</f>
        <v>337.64075248000006</v>
      </c>
      <c r="D15" s="24">
        <f>B15</f>
        <v>379.37163200000003</v>
      </c>
      <c r="E15" s="24">
        <f>B15-B15*0.05</f>
        <v>360.40305040000004</v>
      </c>
      <c r="F15" s="105">
        <f>B15</f>
        <v>379.37163200000003</v>
      </c>
    </row>
    <row r="16" spans="1:8" ht="17.25" hidden="1" customHeight="1">
      <c r="A16" s="104" t="s">
        <v>109</v>
      </c>
      <c r="B16" s="25"/>
      <c r="C16" s="26"/>
      <c r="D16" s="26"/>
      <c r="E16" s="26"/>
      <c r="F16" s="108"/>
    </row>
    <row r="17" spans="1:6" ht="17.25" hidden="1" customHeight="1">
      <c r="A17" s="107" t="s">
        <v>182</v>
      </c>
      <c r="B17" s="26" t="e">
        <f>#REF!</f>
        <v>#REF!</v>
      </c>
      <c r="C17" s="26" t="e">
        <f>B17</f>
        <v>#REF!</v>
      </c>
      <c r="D17" s="26" t="e">
        <f>C17+C17*16.5%</f>
        <v>#REF!</v>
      </c>
      <c r="E17" s="26" t="e">
        <f>B17+B17*0.09</f>
        <v>#REF!</v>
      </c>
      <c r="F17" s="108" t="e">
        <f>B17</f>
        <v>#REF!</v>
      </c>
    </row>
    <row r="18" spans="1:6" ht="17.25" hidden="1" customHeight="1">
      <c r="A18" s="107" t="s">
        <v>5</v>
      </c>
      <c r="B18" s="26" t="e">
        <f>#REF!</f>
        <v>#REF!</v>
      </c>
      <c r="C18" s="26" t="e">
        <f>B18</f>
        <v>#REF!</v>
      </c>
      <c r="D18" s="26" t="e">
        <f t="shared" ref="D18:F20" si="0">C18</f>
        <v>#REF!</v>
      </c>
      <c r="E18" s="26" t="e">
        <f t="shared" si="0"/>
        <v>#REF!</v>
      </c>
      <c r="F18" s="108" t="e">
        <f t="shared" si="0"/>
        <v>#REF!</v>
      </c>
    </row>
    <row r="19" spans="1:6" ht="17.25" hidden="1" customHeight="1">
      <c r="A19" s="107" t="s">
        <v>4</v>
      </c>
      <c r="B19" s="26" t="e">
        <f>#REF!</f>
        <v>#REF!</v>
      </c>
      <c r="C19" s="26" t="e">
        <f>B19</f>
        <v>#REF!</v>
      </c>
      <c r="D19" s="26" t="e">
        <f t="shared" si="0"/>
        <v>#REF!</v>
      </c>
      <c r="E19" s="26" t="e">
        <f t="shared" si="0"/>
        <v>#REF!</v>
      </c>
      <c r="F19" s="108" t="e">
        <f t="shared" si="0"/>
        <v>#REF!</v>
      </c>
    </row>
    <row r="20" spans="1:6" ht="17.25" hidden="1" customHeight="1">
      <c r="A20" s="107" t="s">
        <v>7</v>
      </c>
      <c r="B20" s="26" t="e">
        <f>#REF!</f>
        <v>#REF!</v>
      </c>
      <c r="C20" s="26" t="e">
        <f>B20</f>
        <v>#REF!</v>
      </c>
      <c r="D20" s="26" t="e">
        <f t="shared" si="0"/>
        <v>#REF!</v>
      </c>
      <c r="E20" s="26" t="e">
        <f t="shared" si="0"/>
        <v>#REF!</v>
      </c>
      <c r="F20" s="108" t="e">
        <f t="shared" si="0"/>
        <v>#REF!</v>
      </c>
    </row>
    <row r="21" spans="1:6" ht="17.25" hidden="1" customHeight="1">
      <c r="A21" s="109" t="s">
        <v>110</v>
      </c>
      <c r="B21" s="24" t="e">
        <f>SUM(B17:B20)</f>
        <v>#REF!</v>
      </c>
      <c r="C21" s="24" t="e">
        <f>SUM(C17:C20)</f>
        <v>#REF!</v>
      </c>
      <c r="D21" s="24" t="e">
        <f>SUM(D17:D20)</f>
        <v>#REF!</v>
      </c>
      <c r="E21" s="24" t="e">
        <f>SUM(E17:E20)</f>
        <v>#REF!</v>
      </c>
      <c r="F21" s="105" t="e">
        <f>SUM(F17:F20)+SUM(F17:F20)*14.5%</f>
        <v>#REF!</v>
      </c>
    </row>
    <row r="22" spans="1:6" ht="17.25" hidden="1" customHeight="1">
      <c r="A22" s="104" t="s">
        <v>111</v>
      </c>
      <c r="B22" s="24" t="e">
        <f>+B15-B21</f>
        <v>#REF!</v>
      </c>
      <c r="C22" s="24" t="e">
        <f>+C15-C21</f>
        <v>#REF!</v>
      </c>
      <c r="D22" s="24" t="e">
        <f>+D15-D21</f>
        <v>#REF!</v>
      </c>
      <c r="E22" s="24" t="e">
        <f>+E15-E21</f>
        <v>#REF!</v>
      </c>
      <c r="F22" s="105" t="e">
        <f>+F15-F21</f>
        <v>#REF!</v>
      </c>
    </row>
    <row r="23" spans="1:6" ht="17.25" hidden="1" customHeight="1">
      <c r="A23" s="104" t="s">
        <v>112</v>
      </c>
      <c r="B23" s="25"/>
      <c r="C23" s="112"/>
      <c r="D23" s="112"/>
      <c r="E23" s="113"/>
      <c r="F23" s="114"/>
    </row>
    <row r="24" spans="1:6" ht="17.25" hidden="1" customHeight="1">
      <c r="A24" s="107" t="s">
        <v>6</v>
      </c>
      <c r="B24" s="26">
        <f>B7</f>
        <v>27.603890131976605</v>
      </c>
      <c r="C24" s="26">
        <f>B24</f>
        <v>27.603890131976605</v>
      </c>
      <c r="D24" s="26">
        <f t="shared" ref="D24:F25" si="1">C24</f>
        <v>27.603890131976605</v>
      </c>
      <c r="E24" s="26">
        <f t="shared" si="1"/>
        <v>27.603890131976605</v>
      </c>
      <c r="F24" s="108">
        <f t="shared" si="1"/>
        <v>27.603890131976605</v>
      </c>
    </row>
    <row r="25" spans="1:6" ht="17.25" hidden="1" customHeight="1">
      <c r="A25" s="107" t="s">
        <v>13</v>
      </c>
      <c r="B25" s="26">
        <f>B8</f>
        <v>29.638874999999992</v>
      </c>
      <c r="C25" s="26">
        <f>B25</f>
        <v>29.638874999999992</v>
      </c>
      <c r="D25" s="26">
        <f t="shared" si="1"/>
        <v>29.638874999999992</v>
      </c>
      <c r="E25" s="26">
        <f t="shared" si="1"/>
        <v>29.638874999999992</v>
      </c>
      <c r="F25" s="108">
        <f t="shared" si="1"/>
        <v>29.638874999999992</v>
      </c>
    </row>
    <row r="26" spans="1:6" ht="17.25" hidden="1" customHeight="1">
      <c r="A26" s="107" t="s">
        <v>185</v>
      </c>
      <c r="B26" s="26">
        <f>B9</f>
        <v>20.827099284627533</v>
      </c>
      <c r="C26" s="26">
        <f>B26</f>
        <v>20.827099284627533</v>
      </c>
      <c r="D26" s="26">
        <f>C26</f>
        <v>20.827099284627533</v>
      </c>
      <c r="E26" s="26">
        <f>C26</f>
        <v>20.827099284627533</v>
      </c>
      <c r="F26" s="108">
        <f>D26</f>
        <v>20.827099284627533</v>
      </c>
    </row>
    <row r="27" spans="1:6" ht="17.25" hidden="1" customHeight="1">
      <c r="A27" s="107" t="s">
        <v>70</v>
      </c>
      <c r="B27" s="24">
        <f>SUM(B24:B26)</f>
        <v>78.069864416604133</v>
      </c>
      <c r="C27" s="24">
        <f>SUM(C24:C26)</f>
        <v>78.069864416604133</v>
      </c>
      <c r="D27" s="24">
        <f>SUM(D24:D26)</f>
        <v>78.069864416604133</v>
      </c>
      <c r="E27" s="24">
        <f>SUM(E24:E26)</f>
        <v>78.069864416604133</v>
      </c>
      <c r="F27" s="105">
        <f>SUM(F24:F26)</f>
        <v>78.069864416604133</v>
      </c>
    </row>
    <row r="28" spans="1:6" ht="17.25" hidden="1" customHeight="1">
      <c r="A28" s="110" t="s">
        <v>113</v>
      </c>
      <c r="B28" s="115" t="e">
        <f>B27/B22</f>
        <v>#REF!</v>
      </c>
      <c r="C28" s="115" t="e">
        <f>C27/C22</f>
        <v>#REF!</v>
      </c>
      <c r="D28" s="115" t="e">
        <f>D27/D22</f>
        <v>#REF!</v>
      </c>
      <c r="E28" s="115" t="e">
        <f>E27/E22</f>
        <v>#REF!</v>
      </c>
      <c r="F28" s="111" t="e">
        <f>F27/F22</f>
        <v>#REF!</v>
      </c>
    </row>
    <row r="29" spans="1:6" hidden="1">
      <c r="A29" s="350" t="s">
        <v>63</v>
      </c>
      <c r="B29" s="882" t="s">
        <v>159</v>
      </c>
      <c r="C29" s="882"/>
    </row>
    <row r="30" spans="1:6" hidden="1">
      <c r="A30" s="118"/>
      <c r="B30" s="93" t="s">
        <v>153</v>
      </c>
      <c r="C30" s="127" t="s">
        <v>154</v>
      </c>
    </row>
    <row r="31" spans="1:6" hidden="1">
      <c r="A31" s="119"/>
      <c r="B31" s="94" t="s">
        <v>177</v>
      </c>
      <c r="C31" s="353" t="e">
        <f>B28</f>
        <v>#REF!</v>
      </c>
    </row>
    <row r="32" spans="1:6" hidden="1">
      <c r="A32" s="119"/>
      <c r="B32" s="94"/>
      <c r="C32" s="354"/>
    </row>
    <row r="33" spans="1:3" hidden="1">
      <c r="A33" s="351">
        <v>1</v>
      </c>
      <c r="B33" s="94" t="s">
        <v>155</v>
      </c>
      <c r="C33" s="355" t="e">
        <f>C28</f>
        <v>#REF!</v>
      </c>
    </row>
    <row r="34" spans="1:3" hidden="1">
      <c r="A34" s="351">
        <v>2</v>
      </c>
      <c r="B34" s="94" t="s">
        <v>156</v>
      </c>
      <c r="C34" s="355" t="e">
        <f>D28</f>
        <v>#REF!</v>
      </c>
    </row>
    <row r="35" spans="1:3" hidden="1">
      <c r="A35" s="351">
        <v>3</v>
      </c>
      <c r="B35" s="94" t="s">
        <v>157</v>
      </c>
      <c r="C35" s="355" t="e">
        <f>E28</f>
        <v>#REF!</v>
      </c>
    </row>
    <row r="36" spans="1:3" hidden="1">
      <c r="A36" s="352">
        <v>4</v>
      </c>
      <c r="B36" s="95" t="s">
        <v>158</v>
      </c>
      <c r="C36" s="356"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14BC-54E9-4783-B7F7-D6D5F130E908}">
  <dimension ref="A1:L39"/>
  <sheetViews>
    <sheetView showGridLines="0" zoomScaleNormal="100" zoomScaleSheetLayoutView="100" workbookViewId="0">
      <selection activeCell="I18" sqref="I18"/>
    </sheetView>
  </sheetViews>
  <sheetFormatPr defaultRowHeight="12.75"/>
  <cols>
    <col min="1" max="1" width="38.140625" style="216" customWidth="1"/>
    <col min="2" max="3" width="9.7109375" style="216" bestFit="1" customWidth="1"/>
    <col min="4" max="4" width="9.5703125" style="216" bestFit="1" customWidth="1"/>
    <col min="5" max="10" width="9.7109375" style="216" bestFit="1" customWidth="1"/>
    <col min="11" max="255" width="9.140625" style="216"/>
    <col min="256" max="256" width="38.140625" style="216" customWidth="1"/>
    <col min="257" max="258" width="9.5703125" style="216" bestFit="1" customWidth="1"/>
    <col min="259" max="259" width="9.28515625" style="216" bestFit="1" customWidth="1"/>
    <col min="260" max="265" width="9.5703125" style="216" bestFit="1" customWidth="1"/>
    <col min="266" max="266" width="10.28515625" style="216" bestFit="1" customWidth="1"/>
    <col min="267" max="511" width="9.140625" style="216"/>
    <col min="512" max="512" width="38.140625" style="216" customWidth="1"/>
    <col min="513" max="514" width="9.5703125" style="216" bestFit="1" customWidth="1"/>
    <col min="515" max="515" width="9.28515625" style="216" bestFit="1" customWidth="1"/>
    <col min="516" max="521" width="9.5703125" style="216" bestFit="1" customWidth="1"/>
    <col min="522" max="522" width="10.28515625" style="216" bestFit="1" customWidth="1"/>
    <col min="523" max="767" width="9.140625" style="216"/>
    <col min="768" max="768" width="38.140625" style="216" customWidth="1"/>
    <col min="769" max="770" width="9.5703125" style="216" bestFit="1" customWidth="1"/>
    <col min="771" max="771" width="9.28515625" style="216" bestFit="1" customWidth="1"/>
    <col min="772" max="777" width="9.5703125" style="216" bestFit="1" customWidth="1"/>
    <col min="778" max="778" width="10.28515625" style="216" bestFit="1" customWidth="1"/>
    <col min="779" max="1023" width="9.140625" style="216"/>
    <col min="1024" max="1024" width="38.140625" style="216" customWidth="1"/>
    <col min="1025" max="1026" width="9.5703125" style="216" bestFit="1" customWidth="1"/>
    <col min="1027" max="1027" width="9.28515625" style="216" bestFit="1" customWidth="1"/>
    <col min="1028" max="1033" width="9.5703125" style="216" bestFit="1" customWidth="1"/>
    <col min="1034" max="1034" width="10.28515625" style="216" bestFit="1" customWidth="1"/>
    <col min="1035" max="1279" width="9.140625" style="216"/>
    <col min="1280" max="1280" width="38.140625" style="216" customWidth="1"/>
    <col min="1281" max="1282" width="9.5703125" style="216" bestFit="1" customWidth="1"/>
    <col min="1283" max="1283" width="9.28515625" style="216" bestFit="1" customWidth="1"/>
    <col min="1284" max="1289" width="9.5703125" style="216" bestFit="1" customWidth="1"/>
    <col min="1290" max="1290" width="10.28515625" style="216" bestFit="1" customWidth="1"/>
    <col min="1291" max="1535" width="9.140625" style="216"/>
    <col min="1536" max="1536" width="38.140625" style="216" customWidth="1"/>
    <col min="1537" max="1538" width="9.5703125" style="216" bestFit="1" customWidth="1"/>
    <col min="1539" max="1539" width="9.28515625" style="216" bestFit="1" customWidth="1"/>
    <col min="1540" max="1545" width="9.5703125" style="216" bestFit="1" customWidth="1"/>
    <col min="1546" max="1546" width="10.28515625" style="216" bestFit="1" customWidth="1"/>
    <col min="1547" max="1791" width="9.140625" style="216"/>
    <col min="1792" max="1792" width="38.140625" style="216" customWidth="1"/>
    <col min="1793" max="1794" width="9.5703125" style="216" bestFit="1" customWidth="1"/>
    <col min="1795" max="1795" width="9.28515625" style="216" bestFit="1" customWidth="1"/>
    <col min="1796" max="1801" width="9.5703125" style="216" bestFit="1" customWidth="1"/>
    <col min="1802" max="1802" width="10.28515625" style="216" bestFit="1" customWidth="1"/>
    <col min="1803" max="2047" width="9.140625" style="216"/>
    <col min="2048" max="2048" width="38.140625" style="216" customWidth="1"/>
    <col min="2049" max="2050" width="9.5703125" style="216" bestFit="1" customWidth="1"/>
    <col min="2051" max="2051" width="9.28515625" style="216" bestFit="1" customWidth="1"/>
    <col min="2052" max="2057" width="9.5703125" style="216" bestFit="1" customWidth="1"/>
    <col min="2058" max="2058" width="10.28515625" style="216" bestFit="1" customWidth="1"/>
    <col min="2059" max="2303" width="9.140625" style="216"/>
    <col min="2304" max="2304" width="38.140625" style="216" customWidth="1"/>
    <col min="2305" max="2306" width="9.5703125" style="216" bestFit="1" customWidth="1"/>
    <col min="2307" max="2307" width="9.28515625" style="216" bestFit="1" customWidth="1"/>
    <col min="2308" max="2313" width="9.5703125" style="216" bestFit="1" customWidth="1"/>
    <col min="2314" max="2314" width="10.28515625" style="216" bestFit="1" customWidth="1"/>
    <col min="2315" max="2559" width="9.140625" style="216"/>
    <col min="2560" max="2560" width="38.140625" style="216" customWidth="1"/>
    <col min="2561" max="2562" width="9.5703125" style="216" bestFit="1" customWidth="1"/>
    <col min="2563" max="2563" width="9.28515625" style="216" bestFit="1" customWidth="1"/>
    <col min="2564" max="2569" width="9.5703125" style="216" bestFit="1" customWidth="1"/>
    <col min="2570" max="2570" width="10.28515625" style="216" bestFit="1" customWidth="1"/>
    <col min="2571" max="2815" width="9.140625" style="216"/>
    <col min="2816" max="2816" width="38.140625" style="216" customWidth="1"/>
    <col min="2817" max="2818" width="9.5703125" style="216" bestFit="1" customWidth="1"/>
    <col min="2819" max="2819" width="9.28515625" style="216" bestFit="1" customWidth="1"/>
    <col min="2820" max="2825" width="9.5703125" style="216" bestFit="1" customWidth="1"/>
    <col min="2826" max="2826" width="10.28515625" style="216" bestFit="1" customWidth="1"/>
    <col min="2827" max="3071" width="9.140625" style="216"/>
    <col min="3072" max="3072" width="38.140625" style="216" customWidth="1"/>
    <col min="3073" max="3074" width="9.5703125" style="216" bestFit="1" customWidth="1"/>
    <col min="3075" max="3075" width="9.28515625" style="216" bestFit="1" customWidth="1"/>
    <col min="3076" max="3081" width="9.5703125" style="216" bestFit="1" customWidth="1"/>
    <col min="3082" max="3082" width="10.28515625" style="216" bestFit="1" customWidth="1"/>
    <col min="3083" max="3327" width="9.140625" style="216"/>
    <col min="3328" max="3328" width="38.140625" style="216" customWidth="1"/>
    <col min="3329" max="3330" width="9.5703125" style="216" bestFit="1" customWidth="1"/>
    <col min="3331" max="3331" width="9.28515625" style="216" bestFit="1" customWidth="1"/>
    <col min="3332" max="3337" width="9.5703125" style="216" bestFit="1" customWidth="1"/>
    <col min="3338" max="3338" width="10.28515625" style="216" bestFit="1" customWidth="1"/>
    <col min="3339" max="3583" width="9.140625" style="216"/>
    <col min="3584" max="3584" width="38.140625" style="216" customWidth="1"/>
    <col min="3585" max="3586" width="9.5703125" style="216" bestFit="1" customWidth="1"/>
    <col min="3587" max="3587" width="9.28515625" style="216" bestFit="1" customWidth="1"/>
    <col min="3588" max="3593" width="9.5703125" style="216" bestFit="1" customWidth="1"/>
    <col min="3594" max="3594" width="10.28515625" style="216" bestFit="1" customWidth="1"/>
    <col min="3595" max="3839" width="9.140625" style="216"/>
    <col min="3840" max="3840" width="38.140625" style="216" customWidth="1"/>
    <col min="3841" max="3842" width="9.5703125" style="216" bestFit="1" customWidth="1"/>
    <col min="3843" max="3843" width="9.28515625" style="216" bestFit="1" customWidth="1"/>
    <col min="3844" max="3849" width="9.5703125" style="216" bestFit="1" customWidth="1"/>
    <col min="3850" max="3850" width="10.28515625" style="216" bestFit="1" customWidth="1"/>
    <col min="3851" max="4095" width="9.140625" style="216"/>
    <col min="4096" max="4096" width="38.140625" style="216" customWidth="1"/>
    <col min="4097" max="4098" width="9.5703125" style="216" bestFit="1" customWidth="1"/>
    <col min="4099" max="4099" width="9.28515625" style="216" bestFit="1" customWidth="1"/>
    <col min="4100" max="4105" width="9.5703125" style="216" bestFit="1" customWidth="1"/>
    <col min="4106" max="4106" width="10.28515625" style="216" bestFit="1" customWidth="1"/>
    <col min="4107" max="4351" width="9.140625" style="216"/>
    <col min="4352" max="4352" width="38.140625" style="216" customWidth="1"/>
    <col min="4353" max="4354" width="9.5703125" style="216" bestFit="1" customWidth="1"/>
    <col min="4355" max="4355" width="9.28515625" style="216" bestFit="1" customWidth="1"/>
    <col min="4356" max="4361" width="9.5703125" style="216" bestFit="1" customWidth="1"/>
    <col min="4362" max="4362" width="10.28515625" style="216" bestFit="1" customWidth="1"/>
    <col min="4363" max="4607" width="9.140625" style="216"/>
    <col min="4608" max="4608" width="38.140625" style="216" customWidth="1"/>
    <col min="4609" max="4610" width="9.5703125" style="216" bestFit="1" customWidth="1"/>
    <col min="4611" max="4611" width="9.28515625" style="216" bestFit="1" customWidth="1"/>
    <col min="4612" max="4617" width="9.5703125" style="216" bestFit="1" customWidth="1"/>
    <col min="4618" max="4618" width="10.28515625" style="216" bestFit="1" customWidth="1"/>
    <col min="4619" max="4863" width="9.140625" style="216"/>
    <col min="4864" max="4864" width="38.140625" style="216" customWidth="1"/>
    <col min="4865" max="4866" width="9.5703125" style="216" bestFit="1" customWidth="1"/>
    <col min="4867" max="4867" width="9.28515625" style="216" bestFit="1" customWidth="1"/>
    <col min="4868" max="4873" width="9.5703125" style="216" bestFit="1" customWidth="1"/>
    <col min="4874" max="4874" width="10.28515625" style="216" bestFit="1" customWidth="1"/>
    <col min="4875" max="5119" width="9.140625" style="216"/>
    <col min="5120" max="5120" width="38.140625" style="216" customWidth="1"/>
    <col min="5121" max="5122" width="9.5703125" style="216" bestFit="1" customWidth="1"/>
    <col min="5123" max="5123" width="9.28515625" style="216" bestFit="1" customWidth="1"/>
    <col min="5124" max="5129" width="9.5703125" style="216" bestFit="1" customWidth="1"/>
    <col min="5130" max="5130" width="10.28515625" style="216" bestFit="1" customWidth="1"/>
    <col min="5131" max="5375" width="9.140625" style="216"/>
    <col min="5376" max="5376" width="38.140625" style="216" customWidth="1"/>
    <col min="5377" max="5378" width="9.5703125" style="216" bestFit="1" customWidth="1"/>
    <col min="5379" max="5379" width="9.28515625" style="216" bestFit="1" customWidth="1"/>
    <col min="5380" max="5385" width="9.5703125" style="216" bestFit="1" customWidth="1"/>
    <col min="5386" max="5386" width="10.28515625" style="216" bestFit="1" customWidth="1"/>
    <col min="5387" max="5631" width="9.140625" style="216"/>
    <col min="5632" max="5632" width="38.140625" style="216" customWidth="1"/>
    <col min="5633" max="5634" width="9.5703125" style="216" bestFit="1" customWidth="1"/>
    <col min="5635" max="5635" width="9.28515625" style="216" bestFit="1" customWidth="1"/>
    <col min="5636" max="5641" width="9.5703125" style="216" bestFit="1" customWidth="1"/>
    <col min="5642" max="5642" width="10.28515625" style="216" bestFit="1" customWidth="1"/>
    <col min="5643" max="5887" width="9.140625" style="216"/>
    <col min="5888" max="5888" width="38.140625" style="216" customWidth="1"/>
    <col min="5889" max="5890" width="9.5703125" style="216" bestFit="1" customWidth="1"/>
    <col min="5891" max="5891" width="9.28515625" style="216" bestFit="1" customWidth="1"/>
    <col min="5892" max="5897" width="9.5703125" style="216" bestFit="1" customWidth="1"/>
    <col min="5898" max="5898" width="10.28515625" style="216" bestFit="1" customWidth="1"/>
    <col min="5899" max="6143" width="9.140625" style="216"/>
    <col min="6144" max="6144" width="38.140625" style="216" customWidth="1"/>
    <col min="6145" max="6146" width="9.5703125" style="216" bestFit="1" customWidth="1"/>
    <col min="6147" max="6147" width="9.28515625" style="216" bestFit="1" customWidth="1"/>
    <col min="6148" max="6153" width="9.5703125" style="216" bestFit="1" customWidth="1"/>
    <col min="6154" max="6154" width="10.28515625" style="216" bestFit="1" customWidth="1"/>
    <col min="6155" max="6399" width="9.140625" style="216"/>
    <col min="6400" max="6400" width="38.140625" style="216" customWidth="1"/>
    <col min="6401" max="6402" width="9.5703125" style="216" bestFit="1" customWidth="1"/>
    <col min="6403" max="6403" width="9.28515625" style="216" bestFit="1" customWidth="1"/>
    <col min="6404" max="6409" width="9.5703125" style="216" bestFit="1" customWidth="1"/>
    <col min="6410" max="6410" width="10.28515625" style="216" bestFit="1" customWidth="1"/>
    <col min="6411" max="6655" width="9.140625" style="216"/>
    <col min="6656" max="6656" width="38.140625" style="216" customWidth="1"/>
    <col min="6657" max="6658" width="9.5703125" style="216" bestFit="1" customWidth="1"/>
    <col min="6659" max="6659" width="9.28515625" style="216" bestFit="1" customWidth="1"/>
    <col min="6660" max="6665" width="9.5703125" style="216" bestFit="1" customWidth="1"/>
    <col min="6666" max="6666" width="10.28515625" style="216" bestFit="1" customWidth="1"/>
    <col min="6667" max="6911" width="9.140625" style="216"/>
    <col min="6912" max="6912" width="38.140625" style="216" customWidth="1"/>
    <col min="6913" max="6914" width="9.5703125" style="216" bestFit="1" customWidth="1"/>
    <col min="6915" max="6915" width="9.28515625" style="216" bestFit="1" customWidth="1"/>
    <col min="6916" max="6921" width="9.5703125" style="216" bestFit="1" customWidth="1"/>
    <col min="6922" max="6922" width="10.28515625" style="216" bestFit="1" customWidth="1"/>
    <col min="6923" max="7167" width="9.140625" style="216"/>
    <col min="7168" max="7168" width="38.140625" style="216" customWidth="1"/>
    <col min="7169" max="7170" width="9.5703125" style="216" bestFit="1" customWidth="1"/>
    <col min="7171" max="7171" width="9.28515625" style="216" bestFit="1" customWidth="1"/>
    <col min="7172" max="7177" width="9.5703125" style="216" bestFit="1" customWidth="1"/>
    <col min="7178" max="7178" width="10.28515625" style="216" bestFit="1" customWidth="1"/>
    <col min="7179" max="7423" width="9.140625" style="216"/>
    <col min="7424" max="7424" width="38.140625" style="216" customWidth="1"/>
    <col min="7425" max="7426" width="9.5703125" style="216" bestFit="1" customWidth="1"/>
    <col min="7427" max="7427" width="9.28515625" style="216" bestFit="1" customWidth="1"/>
    <col min="7428" max="7433" width="9.5703125" style="216" bestFit="1" customWidth="1"/>
    <col min="7434" max="7434" width="10.28515625" style="216" bestFit="1" customWidth="1"/>
    <col min="7435" max="7679" width="9.140625" style="216"/>
    <col min="7680" max="7680" width="38.140625" style="216" customWidth="1"/>
    <col min="7681" max="7682" width="9.5703125" style="216" bestFit="1" customWidth="1"/>
    <col min="7683" max="7683" width="9.28515625" style="216" bestFit="1" customWidth="1"/>
    <col min="7684" max="7689" width="9.5703125" style="216" bestFit="1" customWidth="1"/>
    <col min="7690" max="7690" width="10.28515625" style="216" bestFit="1" customWidth="1"/>
    <col min="7691" max="7935" width="9.140625" style="216"/>
    <col min="7936" max="7936" width="38.140625" style="216" customWidth="1"/>
    <col min="7937" max="7938" width="9.5703125" style="216" bestFit="1" customWidth="1"/>
    <col min="7939" max="7939" width="9.28515625" style="216" bestFit="1" customWidth="1"/>
    <col min="7940" max="7945" width="9.5703125" style="216" bestFit="1" customWidth="1"/>
    <col min="7946" max="7946" width="10.28515625" style="216" bestFit="1" customWidth="1"/>
    <col min="7947" max="8191" width="9.140625" style="216"/>
    <col min="8192" max="8192" width="38.140625" style="216" customWidth="1"/>
    <col min="8193" max="8194" width="9.5703125" style="216" bestFit="1" customWidth="1"/>
    <col min="8195" max="8195" width="9.28515625" style="216" bestFit="1" customWidth="1"/>
    <col min="8196" max="8201" width="9.5703125" style="216" bestFit="1" customWidth="1"/>
    <col min="8202" max="8202" width="10.28515625" style="216" bestFit="1" customWidth="1"/>
    <col min="8203" max="8447" width="9.140625" style="216"/>
    <col min="8448" max="8448" width="38.140625" style="216" customWidth="1"/>
    <col min="8449" max="8450" width="9.5703125" style="216" bestFit="1" customWidth="1"/>
    <col min="8451" max="8451" width="9.28515625" style="216" bestFit="1" customWidth="1"/>
    <col min="8452" max="8457" width="9.5703125" style="216" bestFit="1" customWidth="1"/>
    <col min="8458" max="8458" width="10.28515625" style="216" bestFit="1" customWidth="1"/>
    <col min="8459" max="8703" width="9.140625" style="216"/>
    <col min="8704" max="8704" width="38.140625" style="216" customWidth="1"/>
    <col min="8705" max="8706" width="9.5703125" style="216" bestFit="1" customWidth="1"/>
    <col min="8707" max="8707" width="9.28515625" style="216" bestFit="1" customWidth="1"/>
    <col min="8708" max="8713" width="9.5703125" style="216" bestFit="1" customWidth="1"/>
    <col min="8714" max="8714" width="10.28515625" style="216" bestFit="1" customWidth="1"/>
    <col min="8715" max="8959" width="9.140625" style="216"/>
    <col min="8960" max="8960" width="38.140625" style="216" customWidth="1"/>
    <col min="8961" max="8962" width="9.5703125" style="216" bestFit="1" customWidth="1"/>
    <col min="8963" max="8963" width="9.28515625" style="216" bestFit="1" customWidth="1"/>
    <col min="8964" max="8969" width="9.5703125" style="216" bestFit="1" customWidth="1"/>
    <col min="8970" max="8970" width="10.28515625" style="216" bestFit="1" customWidth="1"/>
    <col min="8971" max="9215" width="9.140625" style="216"/>
    <col min="9216" max="9216" width="38.140625" style="216" customWidth="1"/>
    <col min="9217" max="9218" width="9.5703125" style="216" bestFit="1" customWidth="1"/>
    <col min="9219" max="9219" width="9.28515625" style="216" bestFit="1" customWidth="1"/>
    <col min="9220" max="9225" width="9.5703125" style="216" bestFit="1" customWidth="1"/>
    <col min="9226" max="9226" width="10.28515625" style="216" bestFit="1" customWidth="1"/>
    <col min="9227" max="9471" width="9.140625" style="216"/>
    <col min="9472" max="9472" width="38.140625" style="216" customWidth="1"/>
    <col min="9473" max="9474" width="9.5703125" style="216" bestFit="1" customWidth="1"/>
    <col min="9475" max="9475" width="9.28515625" style="216" bestFit="1" customWidth="1"/>
    <col min="9476" max="9481" width="9.5703125" style="216" bestFit="1" customWidth="1"/>
    <col min="9482" max="9482" width="10.28515625" style="216" bestFit="1" customWidth="1"/>
    <col min="9483" max="9727" width="9.140625" style="216"/>
    <col min="9728" max="9728" width="38.140625" style="216" customWidth="1"/>
    <col min="9729" max="9730" width="9.5703125" style="216" bestFit="1" customWidth="1"/>
    <col min="9731" max="9731" width="9.28515625" style="216" bestFit="1" customWidth="1"/>
    <col min="9732" max="9737" width="9.5703125" style="216" bestFit="1" customWidth="1"/>
    <col min="9738" max="9738" width="10.28515625" style="216" bestFit="1" customWidth="1"/>
    <col min="9739" max="9983" width="9.140625" style="216"/>
    <col min="9984" max="9984" width="38.140625" style="216" customWidth="1"/>
    <col min="9985" max="9986" width="9.5703125" style="216" bestFit="1" customWidth="1"/>
    <col min="9987" max="9987" width="9.28515625" style="216" bestFit="1" customWidth="1"/>
    <col min="9988" max="9993" width="9.5703125" style="216" bestFit="1" customWidth="1"/>
    <col min="9994" max="9994" width="10.28515625" style="216" bestFit="1" customWidth="1"/>
    <col min="9995" max="10239" width="9.140625" style="216"/>
    <col min="10240" max="10240" width="38.140625" style="216" customWidth="1"/>
    <col min="10241" max="10242" width="9.5703125" style="216" bestFit="1" customWidth="1"/>
    <col min="10243" max="10243" width="9.28515625" style="216" bestFit="1" customWidth="1"/>
    <col min="10244" max="10249" width="9.5703125" style="216" bestFit="1" customWidth="1"/>
    <col min="10250" max="10250" width="10.28515625" style="216" bestFit="1" customWidth="1"/>
    <col min="10251" max="10495" width="9.140625" style="216"/>
    <col min="10496" max="10496" width="38.140625" style="216" customWidth="1"/>
    <col min="10497" max="10498" width="9.5703125" style="216" bestFit="1" customWidth="1"/>
    <col min="10499" max="10499" width="9.28515625" style="216" bestFit="1" customWidth="1"/>
    <col min="10500" max="10505" width="9.5703125" style="216" bestFit="1" customWidth="1"/>
    <col min="10506" max="10506" width="10.28515625" style="216" bestFit="1" customWidth="1"/>
    <col min="10507" max="10751" width="9.140625" style="216"/>
    <col min="10752" max="10752" width="38.140625" style="216" customWidth="1"/>
    <col min="10753" max="10754" width="9.5703125" style="216" bestFit="1" customWidth="1"/>
    <col min="10755" max="10755" width="9.28515625" style="216" bestFit="1" customWidth="1"/>
    <col min="10756" max="10761" width="9.5703125" style="216" bestFit="1" customWidth="1"/>
    <col min="10762" max="10762" width="10.28515625" style="216" bestFit="1" customWidth="1"/>
    <col min="10763" max="11007" width="9.140625" style="216"/>
    <col min="11008" max="11008" width="38.140625" style="216" customWidth="1"/>
    <col min="11009" max="11010" width="9.5703125" style="216" bestFit="1" customWidth="1"/>
    <col min="11011" max="11011" width="9.28515625" style="216" bestFit="1" customWidth="1"/>
    <col min="11012" max="11017" width="9.5703125" style="216" bestFit="1" customWidth="1"/>
    <col min="11018" max="11018" width="10.28515625" style="216" bestFit="1" customWidth="1"/>
    <col min="11019" max="11263" width="9.140625" style="216"/>
    <col min="11264" max="11264" width="38.140625" style="216" customWidth="1"/>
    <col min="11265" max="11266" width="9.5703125" style="216" bestFit="1" customWidth="1"/>
    <col min="11267" max="11267" width="9.28515625" style="216" bestFit="1" customWidth="1"/>
    <col min="11268" max="11273" width="9.5703125" style="216" bestFit="1" customWidth="1"/>
    <col min="11274" max="11274" width="10.28515625" style="216" bestFit="1" customWidth="1"/>
    <col min="11275" max="11519" width="9.140625" style="216"/>
    <col min="11520" max="11520" width="38.140625" style="216" customWidth="1"/>
    <col min="11521" max="11522" width="9.5703125" style="216" bestFit="1" customWidth="1"/>
    <col min="11523" max="11523" width="9.28515625" style="216" bestFit="1" customWidth="1"/>
    <col min="11524" max="11529" width="9.5703125" style="216" bestFit="1" customWidth="1"/>
    <col min="11530" max="11530" width="10.28515625" style="216" bestFit="1" customWidth="1"/>
    <col min="11531" max="11775" width="9.140625" style="216"/>
    <col min="11776" max="11776" width="38.140625" style="216" customWidth="1"/>
    <col min="11777" max="11778" width="9.5703125" style="216" bestFit="1" customWidth="1"/>
    <col min="11779" max="11779" width="9.28515625" style="216" bestFit="1" customWidth="1"/>
    <col min="11780" max="11785" width="9.5703125" style="216" bestFit="1" customWidth="1"/>
    <col min="11786" max="11786" width="10.28515625" style="216" bestFit="1" customWidth="1"/>
    <col min="11787" max="12031" width="9.140625" style="216"/>
    <col min="12032" max="12032" width="38.140625" style="216" customWidth="1"/>
    <col min="12033" max="12034" width="9.5703125" style="216" bestFit="1" customWidth="1"/>
    <col min="12035" max="12035" width="9.28515625" style="216" bestFit="1" customWidth="1"/>
    <col min="12036" max="12041" width="9.5703125" style="216" bestFit="1" customWidth="1"/>
    <col min="12042" max="12042" width="10.28515625" style="216" bestFit="1" customWidth="1"/>
    <col min="12043" max="12287" width="9.140625" style="216"/>
    <col min="12288" max="12288" width="38.140625" style="216" customWidth="1"/>
    <col min="12289" max="12290" width="9.5703125" style="216" bestFit="1" customWidth="1"/>
    <col min="12291" max="12291" width="9.28515625" style="216" bestFit="1" customWidth="1"/>
    <col min="12292" max="12297" width="9.5703125" style="216" bestFit="1" customWidth="1"/>
    <col min="12298" max="12298" width="10.28515625" style="216" bestFit="1" customWidth="1"/>
    <col min="12299" max="12543" width="9.140625" style="216"/>
    <col min="12544" max="12544" width="38.140625" style="216" customWidth="1"/>
    <col min="12545" max="12546" width="9.5703125" style="216" bestFit="1" customWidth="1"/>
    <col min="12547" max="12547" width="9.28515625" style="216" bestFit="1" customWidth="1"/>
    <col min="12548" max="12553" width="9.5703125" style="216" bestFit="1" customWidth="1"/>
    <col min="12554" max="12554" width="10.28515625" style="216" bestFit="1" customWidth="1"/>
    <col min="12555" max="12799" width="9.140625" style="216"/>
    <col min="12800" max="12800" width="38.140625" style="216" customWidth="1"/>
    <col min="12801" max="12802" width="9.5703125" style="216" bestFit="1" customWidth="1"/>
    <col min="12803" max="12803" width="9.28515625" style="216" bestFit="1" customWidth="1"/>
    <col min="12804" max="12809" width="9.5703125" style="216" bestFit="1" customWidth="1"/>
    <col min="12810" max="12810" width="10.28515625" style="216" bestFit="1" customWidth="1"/>
    <col min="12811" max="13055" width="9.140625" style="216"/>
    <col min="13056" max="13056" width="38.140625" style="216" customWidth="1"/>
    <col min="13057" max="13058" width="9.5703125" style="216" bestFit="1" customWidth="1"/>
    <col min="13059" max="13059" width="9.28515625" style="216" bestFit="1" customWidth="1"/>
    <col min="13060" max="13065" width="9.5703125" style="216" bestFit="1" customWidth="1"/>
    <col min="13066" max="13066" width="10.28515625" style="216" bestFit="1" customWidth="1"/>
    <col min="13067" max="13311" width="9.140625" style="216"/>
    <col min="13312" max="13312" width="38.140625" style="216" customWidth="1"/>
    <col min="13313" max="13314" width="9.5703125" style="216" bestFit="1" customWidth="1"/>
    <col min="13315" max="13315" width="9.28515625" style="216" bestFit="1" customWidth="1"/>
    <col min="13316" max="13321" width="9.5703125" style="216" bestFit="1" customWidth="1"/>
    <col min="13322" max="13322" width="10.28515625" style="216" bestFit="1" customWidth="1"/>
    <col min="13323" max="13567" width="9.140625" style="216"/>
    <col min="13568" max="13568" width="38.140625" style="216" customWidth="1"/>
    <col min="13569" max="13570" width="9.5703125" style="216" bestFit="1" customWidth="1"/>
    <col min="13571" max="13571" width="9.28515625" style="216" bestFit="1" customWidth="1"/>
    <col min="13572" max="13577" width="9.5703125" style="216" bestFit="1" customWidth="1"/>
    <col min="13578" max="13578" width="10.28515625" style="216" bestFit="1" customWidth="1"/>
    <col min="13579" max="13823" width="9.140625" style="216"/>
    <col min="13824" max="13824" width="38.140625" style="216" customWidth="1"/>
    <col min="13825" max="13826" width="9.5703125" style="216" bestFit="1" customWidth="1"/>
    <col min="13827" max="13827" width="9.28515625" style="216" bestFit="1" customWidth="1"/>
    <col min="13828" max="13833" width="9.5703125" style="216" bestFit="1" customWidth="1"/>
    <col min="13834" max="13834" width="10.28515625" style="216" bestFit="1" customWidth="1"/>
    <col min="13835" max="14079" width="9.140625" style="216"/>
    <col min="14080" max="14080" width="38.140625" style="216" customWidth="1"/>
    <col min="14081" max="14082" width="9.5703125" style="216" bestFit="1" customWidth="1"/>
    <col min="14083" max="14083" width="9.28515625" style="216" bestFit="1" customWidth="1"/>
    <col min="14084" max="14089" width="9.5703125" style="216" bestFit="1" customWidth="1"/>
    <col min="14090" max="14090" width="10.28515625" style="216" bestFit="1" customWidth="1"/>
    <col min="14091" max="14335" width="9.140625" style="216"/>
    <col min="14336" max="14336" width="38.140625" style="216" customWidth="1"/>
    <col min="14337" max="14338" width="9.5703125" style="216" bestFit="1" customWidth="1"/>
    <col min="14339" max="14339" width="9.28515625" style="216" bestFit="1" customWidth="1"/>
    <col min="14340" max="14345" width="9.5703125" style="216" bestFit="1" customWidth="1"/>
    <col min="14346" max="14346" width="10.28515625" style="216" bestFit="1" customWidth="1"/>
    <col min="14347" max="14591" width="9.140625" style="216"/>
    <col min="14592" max="14592" width="38.140625" style="216" customWidth="1"/>
    <col min="14593" max="14594" width="9.5703125" style="216" bestFit="1" customWidth="1"/>
    <col min="14595" max="14595" width="9.28515625" style="216" bestFit="1" customWidth="1"/>
    <col min="14596" max="14601" width="9.5703125" style="216" bestFit="1" customWidth="1"/>
    <col min="14602" max="14602" width="10.28515625" style="216" bestFit="1" customWidth="1"/>
    <col min="14603" max="14847" width="9.140625" style="216"/>
    <col min="14848" max="14848" width="38.140625" style="216" customWidth="1"/>
    <col min="14849" max="14850" width="9.5703125" style="216" bestFit="1" customWidth="1"/>
    <col min="14851" max="14851" width="9.28515625" style="216" bestFit="1" customWidth="1"/>
    <col min="14852" max="14857" width="9.5703125" style="216" bestFit="1" customWidth="1"/>
    <col min="14858" max="14858" width="10.28515625" style="216" bestFit="1" customWidth="1"/>
    <col min="14859" max="15103" width="9.140625" style="216"/>
    <col min="15104" max="15104" width="38.140625" style="216" customWidth="1"/>
    <col min="15105" max="15106" width="9.5703125" style="216" bestFit="1" customWidth="1"/>
    <col min="15107" max="15107" width="9.28515625" style="216" bestFit="1" customWidth="1"/>
    <col min="15108" max="15113" width="9.5703125" style="216" bestFit="1" customWidth="1"/>
    <col min="15114" max="15114" width="10.28515625" style="216" bestFit="1" customWidth="1"/>
    <col min="15115" max="15359" width="9.140625" style="216"/>
    <col min="15360" max="15360" width="38.140625" style="216" customWidth="1"/>
    <col min="15361" max="15362" width="9.5703125" style="216" bestFit="1" customWidth="1"/>
    <col min="15363" max="15363" width="9.28515625" style="216" bestFit="1" customWidth="1"/>
    <col min="15364" max="15369" width="9.5703125" style="216" bestFit="1" customWidth="1"/>
    <col min="15370" max="15370" width="10.28515625" style="216" bestFit="1" customWidth="1"/>
    <col min="15371" max="15615" width="9.140625" style="216"/>
    <col min="15616" max="15616" width="38.140625" style="216" customWidth="1"/>
    <col min="15617" max="15618" width="9.5703125" style="216" bestFit="1" customWidth="1"/>
    <col min="15619" max="15619" width="9.28515625" style="216" bestFit="1" customWidth="1"/>
    <col min="15620" max="15625" width="9.5703125" style="216" bestFit="1" customWidth="1"/>
    <col min="15626" max="15626" width="10.28515625" style="216" bestFit="1" customWidth="1"/>
    <col min="15627" max="15871" width="9.140625" style="216"/>
    <col min="15872" max="15872" width="38.140625" style="216" customWidth="1"/>
    <col min="15873" max="15874" width="9.5703125" style="216" bestFit="1" customWidth="1"/>
    <col min="15875" max="15875" width="9.28515625" style="216" bestFit="1" customWidth="1"/>
    <col min="15876" max="15881" width="9.5703125" style="216" bestFit="1" customWidth="1"/>
    <col min="15882" max="15882" width="10.28515625" style="216" bestFit="1" customWidth="1"/>
    <col min="15883" max="16127" width="9.140625" style="216"/>
    <col min="16128" max="16128" width="38.140625" style="216" customWidth="1"/>
    <col min="16129" max="16130" width="9.5703125" style="216" bestFit="1" customWidth="1"/>
    <col min="16131" max="16131" width="9.28515625" style="216" bestFit="1" customWidth="1"/>
    <col min="16132" max="16137" width="9.5703125" style="216" bestFit="1" customWidth="1"/>
    <col min="16138" max="16138" width="10.28515625" style="216" bestFit="1" customWidth="1"/>
    <col min="16139" max="16384" width="9.140625" style="216"/>
  </cols>
  <sheetData>
    <row r="1" spans="1:12" ht="17.100000000000001" customHeight="1">
      <c r="A1" s="812" t="s">
        <v>114</v>
      </c>
      <c r="B1" s="813"/>
      <c r="C1" s="813"/>
      <c r="D1" s="813"/>
      <c r="E1" s="813"/>
      <c r="F1" s="813"/>
      <c r="G1" s="813"/>
      <c r="H1" s="813"/>
      <c r="I1" s="813"/>
      <c r="J1" s="814"/>
    </row>
    <row r="2" spans="1:12" ht="17.100000000000001" customHeight="1">
      <c r="A2" s="875" t="s">
        <v>95</v>
      </c>
      <c r="B2" s="876"/>
      <c r="C2" s="876"/>
      <c r="D2" s="876"/>
      <c r="E2" s="876"/>
      <c r="F2" s="876"/>
      <c r="G2" s="876"/>
      <c r="H2" s="876"/>
      <c r="I2" s="876"/>
      <c r="J2" s="877"/>
    </row>
    <row r="3" spans="1:12" ht="17.100000000000001" customHeight="1">
      <c r="A3" s="132" t="s">
        <v>115</v>
      </c>
      <c r="B3" s="101" t="s">
        <v>96</v>
      </c>
      <c r="C3" s="101" t="s">
        <v>97</v>
      </c>
      <c r="D3" s="101" t="s">
        <v>98</v>
      </c>
      <c r="E3" s="101" t="s">
        <v>99</v>
      </c>
      <c r="F3" s="101" t="s">
        <v>100</v>
      </c>
      <c r="G3" s="101" t="s">
        <v>101</v>
      </c>
      <c r="H3" s="101" t="s">
        <v>102</v>
      </c>
      <c r="I3" s="101" t="s">
        <v>103</v>
      </c>
      <c r="J3" s="102" t="s">
        <v>104</v>
      </c>
      <c r="K3" s="217"/>
    </row>
    <row r="4" spans="1:12" ht="17.100000000000001" customHeight="1">
      <c r="A4" s="888"/>
      <c r="B4" s="889"/>
      <c r="C4" s="889"/>
      <c r="D4" s="889"/>
      <c r="E4" s="889"/>
      <c r="F4" s="889"/>
      <c r="G4" s="889"/>
      <c r="H4" s="889"/>
      <c r="I4" s="889"/>
      <c r="J4" s="890"/>
    </row>
    <row r="5" spans="1:12" ht="17.100000000000001" customHeight="1">
      <c r="A5" s="133" t="s">
        <v>116</v>
      </c>
      <c r="B5" s="130">
        <f>Profitability!B13</f>
        <v>64.164217914879586</v>
      </c>
      <c r="C5" s="130">
        <f>Profitability!C13</f>
        <v>84.57923026681344</v>
      </c>
      <c r="D5" s="130">
        <f>Profitability!D13</f>
        <v>87.386900613306707</v>
      </c>
      <c r="E5" s="130">
        <f>Profitability!E13</f>
        <v>84.726698995027704</v>
      </c>
      <c r="F5" s="130">
        <f>Profitability!F13</f>
        <v>82.458764875037446</v>
      </c>
      <c r="G5" s="130">
        <f>Profitability!G13</f>
        <v>79.960339770573455</v>
      </c>
      <c r="H5" s="130">
        <f>Profitability!H13</f>
        <v>77.478737969216894</v>
      </c>
      <c r="I5" s="130">
        <f>Profitability!I13</f>
        <v>74.896593451441291</v>
      </c>
      <c r="J5" s="134">
        <f>Profitability!J13</f>
        <v>72.021373202124579</v>
      </c>
    </row>
    <row r="6" spans="1:12" ht="17.100000000000001" customHeight="1">
      <c r="A6" s="133" t="s">
        <v>117</v>
      </c>
      <c r="B6" s="130">
        <f>Norms!B91</f>
        <v>42.341250000000002</v>
      </c>
      <c r="C6" s="130">
        <f>Norms!C91</f>
        <v>40.929874999999996</v>
      </c>
      <c r="D6" s="130">
        <f>Norms!D91</f>
        <v>35.284374999999997</v>
      </c>
      <c r="E6" s="130">
        <f>Norms!E91</f>
        <v>29.638874999999992</v>
      </c>
      <c r="F6" s="130">
        <f>Norms!F91</f>
        <v>23.99337499999999</v>
      </c>
      <c r="G6" s="130">
        <f>Norms!G91</f>
        <v>21.879624999999997</v>
      </c>
      <c r="H6" s="130">
        <f>Norms!H91</f>
        <v>19.056874999999994</v>
      </c>
      <c r="I6" s="130">
        <f>Norms!I91</f>
        <v>16.234124999999995</v>
      </c>
      <c r="J6" s="134">
        <f>Norms!J91</f>
        <v>13.411374999999996</v>
      </c>
    </row>
    <row r="7" spans="1:12" ht="17.100000000000001" customHeight="1">
      <c r="A7" s="888"/>
      <c r="B7" s="889"/>
      <c r="C7" s="889"/>
      <c r="D7" s="889"/>
      <c r="E7" s="889"/>
      <c r="F7" s="889"/>
      <c r="G7" s="889"/>
      <c r="H7" s="889"/>
      <c r="I7" s="889"/>
      <c r="J7" s="890"/>
    </row>
    <row r="8" spans="1:12" s="218" customFormat="1" ht="17.100000000000001" customHeight="1">
      <c r="A8" s="99" t="s">
        <v>160</v>
      </c>
      <c r="B8" s="131">
        <f t="shared" ref="B8:J8" si="0">SUM(B5:B6)</f>
        <v>106.50546791487959</v>
      </c>
      <c r="C8" s="131">
        <f t="shared" si="0"/>
        <v>125.50910526681344</v>
      </c>
      <c r="D8" s="131">
        <f t="shared" si="0"/>
        <v>122.6712756133067</v>
      </c>
      <c r="E8" s="131">
        <f t="shared" si="0"/>
        <v>114.36557399502769</v>
      </c>
      <c r="F8" s="131">
        <f t="shared" si="0"/>
        <v>106.45213987503743</v>
      </c>
      <c r="G8" s="131">
        <f t="shared" si="0"/>
        <v>101.83996477057346</v>
      </c>
      <c r="H8" s="131">
        <f t="shared" si="0"/>
        <v>96.535612969216885</v>
      </c>
      <c r="I8" s="131">
        <f t="shared" si="0"/>
        <v>91.130718451441282</v>
      </c>
      <c r="J8" s="135">
        <f t="shared" si="0"/>
        <v>85.432748202124571</v>
      </c>
      <c r="L8" s="219"/>
    </row>
    <row r="9" spans="1:12" ht="17.100000000000001" customHeight="1">
      <c r="A9" s="888"/>
      <c r="B9" s="889"/>
      <c r="C9" s="889"/>
      <c r="D9" s="889"/>
      <c r="E9" s="889"/>
      <c r="F9" s="889"/>
      <c r="G9" s="889"/>
      <c r="H9" s="889"/>
      <c r="I9" s="889"/>
      <c r="J9" s="890"/>
    </row>
    <row r="10" spans="1:12" ht="17.100000000000001" customHeight="1">
      <c r="A10" s="133" t="s">
        <v>161</v>
      </c>
      <c r="B10" s="130">
        <f t="shared" ref="B10:J10" si="1">+B6</f>
        <v>42.341250000000002</v>
      </c>
      <c r="C10" s="130">
        <f t="shared" si="1"/>
        <v>40.929874999999996</v>
      </c>
      <c r="D10" s="130">
        <f t="shared" si="1"/>
        <v>35.284374999999997</v>
      </c>
      <c r="E10" s="130">
        <f t="shared" si="1"/>
        <v>29.638874999999992</v>
      </c>
      <c r="F10" s="130">
        <f t="shared" si="1"/>
        <v>23.99337499999999</v>
      </c>
      <c r="G10" s="130">
        <f t="shared" si="1"/>
        <v>21.879624999999997</v>
      </c>
      <c r="H10" s="130">
        <f t="shared" si="1"/>
        <v>19.056874999999994</v>
      </c>
      <c r="I10" s="130">
        <f t="shared" si="1"/>
        <v>16.234124999999995</v>
      </c>
      <c r="J10" s="134">
        <f t="shared" si="1"/>
        <v>13.411374999999996</v>
      </c>
    </row>
    <row r="11" spans="1:12" ht="17.100000000000001" customHeight="1">
      <c r="A11" s="133" t="s">
        <v>162</v>
      </c>
      <c r="B11" s="130">
        <f>Norms!B88</f>
        <v>0</v>
      </c>
      <c r="C11" s="130">
        <f>Norms!C88</f>
        <v>56.454999999999998</v>
      </c>
      <c r="D11" s="130">
        <f>Norms!D88</f>
        <v>56.454999999999998</v>
      </c>
      <c r="E11" s="130">
        <f>Norms!E88</f>
        <v>56.454999999999998</v>
      </c>
      <c r="F11" s="130">
        <f>Norms!F88</f>
        <v>56.454999999999998</v>
      </c>
      <c r="G11" s="130">
        <f>Norms!G88</f>
        <v>56.454999999999998</v>
      </c>
      <c r="H11" s="130">
        <f>Norms!H88</f>
        <v>56.454999999999998</v>
      </c>
      <c r="I11" s="130">
        <f>Norms!I88</f>
        <v>56.454999999999998</v>
      </c>
      <c r="J11" s="134">
        <f>Norms!J88</f>
        <v>56.454999999999998</v>
      </c>
    </row>
    <row r="12" spans="1:12" ht="17.100000000000001" customHeight="1">
      <c r="A12" s="888"/>
      <c r="B12" s="889"/>
      <c r="C12" s="889"/>
      <c r="D12" s="889"/>
      <c r="E12" s="889"/>
      <c r="F12" s="889"/>
      <c r="G12" s="889"/>
      <c r="H12" s="889"/>
      <c r="I12" s="889"/>
      <c r="J12" s="890"/>
    </row>
    <row r="13" spans="1:12" s="218" customFormat="1" ht="17.100000000000001" customHeight="1">
      <c r="A13" s="99" t="s">
        <v>163</v>
      </c>
      <c r="B13" s="131">
        <f t="shared" ref="B13:J13" si="2">SUM(B10:B11)</f>
        <v>42.341250000000002</v>
      </c>
      <c r="C13" s="131">
        <f t="shared" si="2"/>
        <v>97.384874999999994</v>
      </c>
      <c r="D13" s="131">
        <f t="shared" si="2"/>
        <v>91.739374999999995</v>
      </c>
      <c r="E13" s="131">
        <f t="shared" si="2"/>
        <v>86.093874999999997</v>
      </c>
      <c r="F13" s="131">
        <f t="shared" si="2"/>
        <v>80.448374999999984</v>
      </c>
      <c r="G13" s="131">
        <f t="shared" si="2"/>
        <v>78.334624999999988</v>
      </c>
      <c r="H13" s="131">
        <f t="shared" si="2"/>
        <v>75.511874999999989</v>
      </c>
      <c r="I13" s="131">
        <f t="shared" si="2"/>
        <v>72.68912499999999</v>
      </c>
      <c r="J13" s="135">
        <f t="shared" si="2"/>
        <v>69.866374999999991</v>
      </c>
      <c r="L13" s="219"/>
    </row>
    <row r="14" spans="1:12" ht="17.100000000000001" customHeight="1">
      <c r="A14" s="888"/>
      <c r="B14" s="889"/>
      <c r="C14" s="889"/>
      <c r="D14" s="889"/>
      <c r="E14" s="889"/>
      <c r="F14" s="889"/>
      <c r="G14" s="889"/>
      <c r="H14" s="889"/>
      <c r="I14" s="889"/>
      <c r="J14" s="890"/>
    </row>
    <row r="15" spans="1:12" s="218" customFormat="1" ht="17.100000000000001" customHeight="1">
      <c r="A15" s="132" t="s">
        <v>164</v>
      </c>
      <c r="B15" s="131">
        <f t="shared" ref="B15:J15" si="3">+B8/B13</f>
        <v>2.5154067939628515</v>
      </c>
      <c r="C15" s="131">
        <f t="shared" si="3"/>
        <v>1.2887946435913529</v>
      </c>
      <c r="D15" s="131">
        <f t="shared" si="3"/>
        <v>1.3371714774959684</v>
      </c>
      <c r="E15" s="131">
        <f t="shared" si="3"/>
        <v>1.3283822338700366</v>
      </c>
      <c r="F15" s="131">
        <f t="shared" si="3"/>
        <v>1.3232354273785822</v>
      </c>
      <c r="G15" s="131">
        <f t="shared" si="3"/>
        <v>1.300063219432958</v>
      </c>
      <c r="H15" s="131">
        <f t="shared" si="3"/>
        <v>1.2784163149069852</v>
      </c>
      <c r="I15" s="131">
        <f t="shared" si="3"/>
        <v>1.2537049861508347</v>
      </c>
      <c r="J15" s="135">
        <f t="shared" si="3"/>
        <v>1.222802073273797</v>
      </c>
    </row>
    <row r="16" spans="1:12" ht="17.100000000000001" customHeight="1">
      <c r="A16" s="888"/>
      <c r="B16" s="889"/>
      <c r="C16" s="889"/>
      <c r="D16" s="889"/>
      <c r="E16" s="889"/>
      <c r="F16" s="889"/>
      <c r="G16" s="889"/>
      <c r="H16" s="889"/>
      <c r="I16" s="889"/>
      <c r="J16" s="890"/>
      <c r="K16" s="254"/>
    </row>
    <row r="17" spans="1:10" ht="17.100000000000001" customHeight="1">
      <c r="A17" s="136" t="s">
        <v>118</v>
      </c>
      <c r="B17" s="137">
        <f>SUM(B8:I8)/SUM(B13:I13)</f>
        <v>1.3850276753897144</v>
      </c>
      <c r="C17" s="138"/>
      <c r="D17" s="138"/>
      <c r="E17" s="138"/>
      <c r="F17" s="138"/>
      <c r="G17" s="138"/>
      <c r="H17" s="138"/>
      <c r="I17" s="138"/>
      <c r="J17" s="139"/>
    </row>
    <row r="18" spans="1:10" ht="17.100000000000001" customHeight="1">
      <c r="A18" s="220"/>
      <c r="B18" s="220"/>
      <c r="C18" s="220"/>
      <c r="D18" s="220"/>
      <c r="E18" s="220"/>
      <c r="F18" s="220"/>
      <c r="G18" s="220"/>
      <c r="H18" s="220"/>
      <c r="I18" s="220"/>
      <c r="J18" s="220"/>
    </row>
    <row r="21" spans="1:10">
      <c r="B21" s="221"/>
      <c r="D21" s="222"/>
      <c r="E21" s="222"/>
      <c r="F21" s="222"/>
      <c r="G21" s="222"/>
      <c r="H21" s="222"/>
      <c r="I21" s="222"/>
      <c r="J21" s="222"/>
    </row>
    <row r="22" spans="1:10">
      <c r="D22" s="222"/>
      <c r="E22" s="222"/>
      <c r="F22" s="222"/>
      <c r="G22" s="222"/>
      <c r="H22" s="222"/>
      <c r="I22" s="222"/>
      <c r="J22" s="222"/>
    </row>
    <row r="23" spans="1:10">
      <c r="D23" s="222"/>
      <c r="E23" s="222"/>
      <c r="F23" s="222"/>
      <c r="G23" s="222"/>
      <c r="H23" s="222"/>
      <c r="I23" s="222"/>
      <c r="J23" s="222"/>
    </row>
    <row r="24" spans="1:10">
      <c r="D24" s="222"/>
      <c r="E24" s="222"/>
      <c r="F24" s="222"/>
      <c r="G24" s="222"/>
      <c r="H24" s="222"/>
      <c r="I24" s="222"/>
      <c r="J24" s="222"/>
    </row>
    <row r="25" spans="1:10">
      <c r="D25" s="222"/>
      <c r="E25" s="222"/>
      <c r="F25" s="222"/>
      <c r="G25" s="222"/>
      <c r="H25" s="222"/>
      <c r="I25" s="222"/>
      <c r="J25" s="222"/>
    </row>
    <row r="26" spans="1:10">
      <c r="D26" s="222"/>
      <c r="E26" s="222"/>
      <c r="F26" s="222"/>
      <c r="G26" s="222"/>
      <c r="H26" s="222"/>
      <c r="I26" s="222"/>
      <c r="J26" s="222"/>
    </row>
    <row r="27" spans="1:10">
      <c r="D27" s="222"/>
      <c r="E27" s="222"/>
      <c r="F27" s="222"/>
      <c r="G27" s="222"/>
      <c r="H27" s="222"/>
      <c r="I27" s="222"/>
      <c r="J27" s="222"/>
    </row>
    <row r="28" spans="1:10">
      <c r="D28" s="222"/>
      <c r="E28" s="222"/>
      <c r="F28" s="222"/>
      <c r="G28" s="222"/>
      <c r="H28" s="222"/>
      <c r="I28" s="222"/>
      <c r="J28" s="222"/>
    </row>
    <row r="29" spans="1:10">
      <c r="D29" s="222"/>
      <c r="E29" s="222"/>
      <c r="F29" s="222"/>
      <c r="G29" s="222"/>
      <c r="H29" s="222"/>
      <c r="I29" s="222"/>
      <c r="J29" s="222"/>
    </row>
    <row r="30" spans="1:10">
      <c r="D30" s="222"/>
      <c r="E30" s="222"/>
      <c r="F30" s="222"/>
      <c r="G30" s="222"/>
      <c r="H30" s="222"/>
      <c r="I30" s="222"/>
      <c r="J30" s="222"/>
    </row>
    <row r="31" spans="1:10">
      <c r="D31" s="222"/>
      <c r="E31" s="222"/>
      <c r="F31" s="222"/>
      <c r="G31" s="222"/>
      <c r="H31" s="222"/>
      <c r="I31" s="222"/>
      <c r="J31" s="222"/>
    </row>
    <row r="32" spans="1:10">
      <c r="D32" s="222"/>
      <c r="E32" s="222"/>
      <c r="F32" s="222"/>
      <c r="G32" s="222"/>
      <c r="H32" s="222"/>
      <c r="I32" s="222"/>
      <c r="J32" s="222"/>
    </row>
    <row r="33" spans="4:10">
      <c r="D33" s="222"/>
      <c r="E33" s="222"/>
      <c r="F33" s="222"/>
      <c r="G33" s="222"/>
      <c r="H33" s="222"/>
      <c r="I33" s="222"/>
      <c r="J33" s="222"/>
    </row>
    <row r="34" spans="4:10">
      <c r="D34" s="222"/>
      <c r="E34" s="222"/>
      <c r="F34" s="222"/>
      <c r="G34" s="222"/>
      <c r="H34" s="222"/>
      <c r="I34" s="222"/>
      <c r="J34" s="222"/>
    </row>
    <row r="35" spans="4:10">
      <c r="D35" s="222"/>
      <c r="E35" s="222"/>
      <c r="F35" s="222"/>
      <c r="G35" s="222"/>
      <c r="H35" s="222"/>
      <c r="I35" s="222"/>
      <c r="J35" s="222"/>
    </row>
    <row r="36" spans="4:10">
      <c r="D36" s="222"/>
      <c r="E36" s="222"/>
      <c r="F36" s="222"/>
      <c r="G36" s="222"/>
      <c r="H36" s="222"/>
      <c r="I36" s="222"/>
      <c r="J36" s="222"/>
    </row>
    <row r="37" spans="4:10">
      <c r="D37" s="222"/>
      <c r="E37" s="222"/>
      <c r="F37" s="222"/>
      <c r="G37" s="222"/>
      <c r="H37" s="222"/>
      <c r="I37" s="222"/>
      <c r="J37" s="222"/>
    </row>
    <row r="38" spans="4:10">
      <c r="D38" s="222"/>
      <c r="E38" s="222"/>
      <c r="F38" s="222"/>
      <c r="G38" s="222"/>
      <c r="H38" s="222"/>
      <c r="I38" s="222"/>
      <c r="J38" s="222"/>
    </row>
    <row r="39" spans="4:10">
      <c r="D39" s="222"/>
      <c r="E39" s="222"/>
      <c r="F39" s="222"/>
      <c r="G39" s="222"/>
      <c r="H39" s="222"/>
      <c r="I39" s="222"/>
      <c r="J39" s="222"/>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4CCC-9BDC-40C7-B775-F84C2D30AE6B}">
  <dimension ref="G1:U56"/>
  <sheetViews>
    <sheetView showGridLines="0" zoomScale="90" zoomScaleNormal="90" workbookViewId="0">
      <selection activeCell="V13" sqref="V13"/>
    </sheetView>
  </sheetViews>
  <sheetFormatPr defaultRowHeight="15"/>
  <cols>
    <col min="21" max="21" width="0" hidden="1" customWidth="1"/>
  </cols>
  <sheetData>
    <row r="1" spans="7:21">
      <c r="G1" t="s">
        <v>312</v>
      </c>
    </row>
    <row r="5" spans="7:21">
      <c r="U5" s="361" t="s">
        <v>313</v>
      </c>
    </row>
    <row r="16" spans="7:21">
      <c r="U16" s="361" t="s">
        <v>314</v>
      </c>
    </row>
    <row r="31" spans="21:21">
      <c r="U31" s="361" t="s">
        <v>315</v>
      </c>
    </row>
    <row r="32" spans="21:21">
      <c r="U32" t="s">
        <v>316</v>
      </c>
    </row>
    <row r="33" spans="21:21">
      <c r="U33" t="s">
        <v>317</v>
      </c>
    </row>
    <row r="34" spans="21:21">
      <c r="U34" t="s">
        <v>318</v>
      </c>
    </row>
    <row r="36" spans="21:21">
      <c r="U36" t="s">
        <v>319</v>
      </c>
    </row>
    <row r="39" spans="21:21">
      <c r="U39" t="s">
        <v>320</v>
      </c>
    </row>
    <row r="43" spans="21:21">
      <c r="U43" t="s">
        <v>321</v>
      </c>
    </row>
    <row r="47" spans="21:21">
      <c r="U47" t="s">
        <v>322</v>
      </c>
    </row>
    <row r="48" spans="21:21">
      <c r="U48" t="s">
        <v>323</v>
      </c>
    </row>
    <row r="49" spans="21:21">
      <c r="U49" t="s">
        <v>324</v>
      </c>
    </row>
    <row r="52" spans="21:21">
      <c r="U52" t="s">
        <v>325</v>
      </c>
    </row>
    <row r="53" spans="21:21">
      <c r="U53" t="s">
        <v>326</v>
      </c>
    </row>
    <row r="56" spans="21:21">
      <c r="U56" t="s">
        <v>327</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A094-DC8D-417B-931D-931C856E2699}">
  <dimension ref="A1:AY91"/>
  <sheetViews>
    <sheetView showGridLines="0" tabSelected="1" topLeftCell="A6" zoomScale="85" zoomScaleNormal="85" workbookViewId="0">
      <selection activeCell="D15" sqref="D15"/>
    </sheetView>
  </sheetViews>
  <sheetFormatPr defaultColWidth="9.140625" defaultRowHeight="12.75"/>
  <cols>
    <col min="1" max="1" width="34.85546875" style="320" bestFit="1" customWidth="1"/>
    <col min="2" max="2" width="50.85546875" style="320" customWidth="1"/>
    <col min="3" max="3" width="43.42578125" style="320" bestFit="1" customWidth="1"/>
    <col min="4" max="4" width="26.85546875" style="320" bestFit="1" customWidth="1"/>
    <col min="5" max="5" width="20" style="320" bestFit="1" customWidth="1"/>
    <col min="6" max="6" width="25.7109375" style="320" customWidth="1"/>
    <col min="7" max="7" width="30.7109375" style="321" bestFit="1" customWidth="1"/>
    <col min="8" max="8" width="17.42578125" style="321" bestFit="1" customWidth="1"/>
    <col min="9" max="9" width="25.85546875" style="321" bestFit="1" customWidth="1"/>
    <col min="10" max="13" width="0" style="321" hidden="1" customWidth="1"/>
    <col min="14" max="14" width="16.42578125" style="321" bestFit="1" customWidth="1"/>
    <col min="15" max="16384" width="9.140625" style="321"/>
  </cols>
  <sheetData>
    <row r="1" spans="1:50">
      <c r="A1" s="811" t="s">
        <v>252</v>
      </c>
      <c r="B1" s="811"/>
      <c r="C1" s="811"/>
      <c r="D1" s="811"/>
      <c r="E1" s="811"/>
      <c r="F1" s="811"/>
    </row>
    <row r="2" spans="1:50" ht="38.25" customHeight="1">
      <c r="A2" s="241" t="s">
        <v>261</v>
      </c>
      <c r="B2" s="155" t="s">
        <v>259</v>
      </c>
      <c r="C2" s="155" t="s">
        <v>253</v>
      </c>
      <c r="D2" s="155" t="s">
        <v>258</v>
      </c>
      <c r="E2" s="155" t="s">
        <v>71</v>
      </c>
      <c r="F2" s="155" t="s">
        <v>262</v>
      </c>
    </row>
    <row r="3" spans="1:50" ht="38.25" customHeight="1">
      <c r="A3" s="823" t="s">
        <v>188</v>
      </c>
      <c r="B3" s="822">
        <v>82500</v>
      </c>
      <c r="C3" s="258" t="s">
        <v>190</v>
      </c>
      <c r="D3" s="258">
        <v>0.28749999999999998</v>
      </c>
      <c r="E3" s="258" t="s">
        <v>72</v>
      </c>
      <c r="F3" s="14">
        <f>D3*B3</f>
        <v>23718.749999999996</v>
      </c>
      <c r="G3" s="328"/>
    </row>
    <row r="4" spans="1:50" ht="38.25" customHeight="1">
      <c r="A4" s="823"/>
      <c r="B4" s="822"/>
      <c r="C4" s="258" t="s">
        <v>260</v>
      </c>
      <c r="D4" s="258">
        <v>2.7999999999999998E-4</v>
      </c>
      <c r="E4" s="258" t="s">
        <v>254</v>
      </c>
      <c r="F4" s="14">
        <f>D4*B3</f>
        <v>23.099999999999998</v>
      </c>
    </row>
    <row r="5" spans="1:50" ht="38.25" customHeight="1">
      <c r="A5" s="823" t="s">
        <v>232</v>
      </c>
      <c r="B5" s="822">
        <v>100000</v>
      </c>
      <c r="C5" s="258" t="s">
        <v>242</v>
      </c>
      <c r="D5" s="258">
        <v>0.747</v>
      </c>
      <c r="E5" s="258" t="s">
        <v>72</v>
      </c>
      <c r="F5" s="389">
        <f>D5*B5</f>
        <v>74700</v>
      </c>
    </row>
    <row r="6" spans="1:50" ht="38.25" customHeight="1">
      <c r="A6" s="824"/>
      <c r="B6" s="825"/>
      <c r="C6" s="260" t="s">
        <v>190</v>
      </c>
      <c r="D6" s="260">
        <v>0.21299999999999999</v>
      </c>
      <c r="E6" s="260" t="s">
        <v>72</v>
      </c>
      <c r="F6" s="390">
        <f>D6*B5</f>
        <v>21300</v>
      </c>
    </row>
    <row r="7" spans="1:50">
      <c r="A7" s="829" t="s">
        <v>449</v>
      </c>
      <c r="B7" s="829"/>
      <c r="C7" s="829"/>
      <c r="D7" s="829"/>
      <c r="E7" s="829"/>
      <c r="F7" s="829"/>
      <c r="G7" s="290">
        <v>29242.25</v>
      </c>
    </row>
    <row r="8" spans="1:50" s="323" customFormat="1">
      <c r="A8" s="271" t="s">
        <v>133</v>
      </c>
      <c r="B8" s="271" t="s">
        <v>134</v>
      </c>
      <c r="C8" s="142" t="s">
        <v>71</v>
      </c>
      <c r="D8" s="142" t="s">
        <v>311</v>
      </c>
      <c r="E8" s="271" t="s">
        <v>135</v>
      </c>
      <c r="F8" s="272" t="s">
        <v>1</v>
      </c>
      <c r="G8" s="273" t="s">
        <v>275</v>
      </c>
      <c r="H8" s="322"/>
      <c r="I8" s="275"/>
      <c r="J8" s="273" t="s">
        <v>272</v>
      </c>
      <c r="K8" s="273" t="s">
        <v>273</v>
      </c>
      <c r="L8" s="273" t="s">
        <v>274</v>
      </c>
      <c r="M8" s="273" t="s">
        <v>275</v>
      </c>
      <c r="N8" s="274" t="s">
        <v>276</v>
      </c>
      <c r="O8" s="322"/>
      <c r="P8" s="322"/>
      <c r="Q8" s="322"/>
      <c r="R8" s="322"/>
      <c r="S8" s="322"/>
      <c r="T8" s="322"/>
      <c r="U8" s="322"/>
      <c r="V8" s="322"/>
      <c r="W8" s="322"/>
      <c r="X8" s="322"/>
      <c r="Y8" s="322"/>
      <c r="Z8" s="322"/>
      <c r="AA8" s="322"/>
      <c r="AB8" s="322"/>
      <c r="AC8" s="322"/>
      <c r="AD8" s="322"/>
      <c r="AE8" s="322"/>
      <c r="AF8" s="322"/>
      <c r="AG8" s="322"/>
      <c r="AH8" s="322"/>
      <c r="AI8" s="322"/>
      <c r="AJ8" s="322"/>
      <c r="AK8" s="322"/>
      <c r="AL8" s="322"/>
      <c r="AM8" s="322"/>
      <c r="AN8" s="322"/>
      <c r="AO8" s="322"/>
      <c r="AP8" s="322"/>
      <c r="AQ8" s="322"/>
      <c r="AR8" s="322"/>
      <c r="AS8" s="322"/>
      <c r="AT8" s="322"/>
      <c r="AU8" s="322"/>
      <c r="AV8" s="322"/>
      <c r="AW8" s="322"/>
      <c r="AX8" s="322"/>
    </row>
    <row r="9" spans="1:50" s="323" customFormat="1" hidden="1">
      <c r="A9" s="830" t="s">
        <v>136</v>
      </c>
      <c r="B9" s="276" t="s">
        <v>137</v>
      </c>
      <c r="C9" s="276" t="s">
        <v>69</v>
      </c>
      <c r="D9" s="276"/>
      <c r="E9" s="276" t="s">
        <v>268</v>
      </c>
      <c r="F9" s="28" t="s">
        <v>0</v>
      </c>
      <c r="G9" s="28">
        <v>49198.016422217115</v>
      </c>
      <c r="H9" s="322"/>
      <c r="I9" s="278"/>
      <c r="J9" s="1"/>
      <c r="K9" s="278"/>
      <c r="L9" s="278"/>
      <c r="M9" s="90"/>
      <c r="N9" s="90"/>
      <c r="O9" s="322"/>
      <c r="P9" s="322"/>
      <c r="Q9" s="322"/>
      <c r="R9" s="322"/>
      <c r="S9" s="322"/>
      <c r="T9" s="322"/>
      <c r="U9" s="322"/>
      <c r="V9" s="322"/>
      <c r="W9" s="322"/>
      <c r="X9" s="322"/>
      <c r="Y9" s="322"/>
      <c r="Z9" s="322"/>
      <c r="AA9" s="322"/>
      <c r="AB9" s="322"/>
      <c r="AC9" s="322"/>
      <c r="AD9" s="322"/>
      <c r="AE9" s="322"/>
      <c r="AF9" s="322"/>
      <c r="AG9" s="322"/>
      <c r="AH9" s="322"/>
      <c r="AI9" s="322"/>
      <c r="AJ9" s="322"/>
      <c r="AK9" s="322"/>
      <c r="AL9" s="322"/>
      <c r="AM9" s="322"/>
      <c r="AN9" s="322"/>
      <c r="AO9" s="322"/>
      <c r="AP9" s="322"/>
      <c r="AQ9" s="322"/>
      <c r="AR9" s="322"/>
      <c r="AS9" s="322"/>
      <c r="AT9" s="322"/>
      <c r="AU9" s="322"/>
      <c r="AV9" s="322"/>
      <c r="AW9" s="322"/>
      <c r="AX9" s="322"/>
    </row>
    <row r="10" spans="1:50" s="323" customFormat="1" hidden="1">
      <c r="A10" s="824"/>
      <c r="B10" s="72" t="s">
        <v>138</v>
      </c>
      <c r="C10" s="72" t="s">
        <v>139</v>
      </c>
      <c r="D10" s="72"/>
      <c r="E10" s="72" t="s">
        <v>268</v>
      </c>
      <c r="F10" s="279" t="s">
        <v>189</v>
      </c>
      <c r="G10" s="280">
        <v>938.53</v>
      </c>
      <c r="H10" s="322"/>
      <c r="I10" s="90"/>
      <c r="J10" s="90"/>
      <c r="K10" s="90"/>
      <c r="L10" s="90"/>
      <c r="M10" s="90"/>
      <c r="N10" s="90"/>
      <c r="O10" s="322"/>
      <c r="P10" s="322"/>
      <c r="Q10" s="322"/>
      <c r="R10" s="322"/>
      <c r="S10" s="322"/>
      <c r="T10" s="322"/>
      <c r="U10" s="322"/>
      <c r="V10" s="322"/>
      <c r="W10" s="322"/>
      <c r="X10" s="322"/>
      <c r="Y10" s="322"/>
      <c r="Z10" s="322"/>
      <c r="AA10" s="322"/>
      <c r="AB10" s="322"/>
      <c r="AC10" s="322"/>
      <c r="AD10" s="322"/>
      <c r="AE10" s="322"/>
      <c r="AF10" s="322"/>
      <c r="AG10" s="322"/>
      <c r="AH10" s="322"/>
      <c r="AI10" s="322"/>
      <c r="AJ10" s="322"/>
      <c r="AK10" s="322"/>
      <c r="AL10" s="322"/>
      <c r="AM10" s="322"/>
      <c r="AN10" s="322"/>
      <c r="AO10" s="322"/>
      <c r="AP10" s="322"/>
      <c r="AQ10" s="322"/>
      <c r="AR10" s="322"/>
      <c r="AS10" s="322"/>
      <c r="AT10" s="322"/>
      <c r="AU10" s="322"/>
      <c r="AV10" s="322"/>
      <c r="AW10" s="322"/>
      <c r="AX10" s="322"/>
    </row>
    <row r="11" spans="1:50" s="323" customFormat="1">
      <c r="A11" s="830" t="s">
        <v>140</v>
      </c>
      <c r="B11" s="281" t="s">
        <v>138</v>
      </c>
      <c r="C11" s="282" t="s">
        <v>278</v>
      </c>
      <c r="D11" s="276"/>
      <c r="E11" s="281" t="s">
        <v>277</v>
      </c>
      <c r="F11" s="283" t="s">
        <v>190</v>
      </c>
      <c r="G11" s="284">
        <v>26536.75</v>
      </c>
      <c r="H11" s="322"/>
      <c r="I11" s="322"/>
      <c r="J11" s="322"/>
      <c r="K11" s="322"/>
      <c r="L11" s="322"/>
      <c r="M11" s="322"/>
      <c r="N11" s="322"/>
      <c r="O11" s="322"/>
      <c r="P11" s="322"/>
      <c r="Q11" s="322"/>
      <c r="R11" s="322"/>
      <c r="S11" s="322"/>
      <c r="T11" s="322"/>
      <c r="U11" s="322"/>
      <c r="V11" s="322"/>
      <c r="W11" s="322"/>
      <c r="X11" s="322"/>
      <c r="Y11" s="322"/>
      <c r="Z11" s="322"/>
      <c r="AA11" s="322"/>
      <c r="AB11" s="322"/>
      <c r="AC11" s="322"/>
      <c r="AD11" s="322"/>
      <c r="AE11" s="322"/>
      <c r="AF11" s="322"/>
      <c r="AG11" s="322"/>
      <c r="AH11" s="322"/>
      <c r="AI11" s="322"/>
      <c r="AJ11" s="322"/>
      <c r="AK11" s="322"/>
      <c r="AL11" s="322"/>
      <c r="AM11" s="322"/>
      <c r="AN11" s="322"/>
      <c r="AO11" s="322"/>
      <c r="AP11" s="322"/>
      <c r="AQ11" s="322"/>
      <c r="AR11" s="322"/>
      <c r="AS11" s="322"/>
      <c r="AT11" s="322"/>
      <c r="AU11" s="322"/>
      <c r="AV11" s="322"/>
      <c r="AW11" s="322"/>
      <c r="AX11" s="322"/>
    </row>
    <row r="12" spans="1:50" s="323" customFormat="1" hidden="1">
      <c r="A12" s="823"/>
      <c r="B12" s="258" t="s">
        <v>141</v>
      </c>
      <c r="C12" s="285" t="s">
        <v>278</v>
      </c>
      <c r="D12" s="91"/>
      <c r="E12" s="258" t="s">
        <v>291</v>
      </c>
      <c r="F12" s="286" t="s">
        <v>188</v>
      </c>
      <c r="G12" s="367">
        <f>Opex!$C$19</f>
        <v>11773.664795728797</v>
      </c>
      <c r="H12" s="368" t="s">
        <v>328</v>
      </c>
      <c r="I12" s="322"/>
      <c r="J12" s="322"/>
      <c r="K12" s="322"/>
      <c r="L12" s="322"/>
      <c r="M12" s="322"/>
      <c r="N12" s="322"/>
      <c r="O12" s="322"/>
      <c r="P12" s="322"/>
      <c r="Q12" s="322"/>
      <c r="R12" s="322"/>
      <c r="S12" s="322"/>
      <c r="T12" s="322"/>
      <c r="U12" s="322"/>
      <c r="V12" s="322"/>
      <c r="W12" s="322"/>
      <c r="X12" s="322"/>
      <c r="Y12" s="322"/>
      <c r="Z12" s="322"/>
      <c r="AA12" s="322"/>
      <c r="AB12" s="322"/>
      <c r="AC12" s="322"/>
      <c r="AD12" s="322"/>
      <c r="AE12" s="322"/>
      <c r="AF12" s="322"/>
      <c r="AG12" s="322"/>
      <c r="AH12" s="322"/>
      <c r="AI12" s="322"/>
      <c r="AJ12" s="322"/>
      <c r="AK12" s="322"/>
      <c r="AL12" s="322"/>
      <c r="AM12" s="322"/>
      <c r="AN12" s="322"/>
      <c r="AO12" s="322"/>
      <c r="AP12" s="322"/>
      <c r="AQ12" s="322"/>
      <c r="AR12" s="322"/>
      <c r="AS12" s="322"/>
      <c r="AT12" s="322"/>
      <c r="AU12" s="322"/>
      <c r="AV12" s="322"/>
      <c r="AW12" s="322"/>
      <c r="AX12" s="322"/>
    </row>
    <row r="13" spans="1:50" s="323" customFormat="1">
      <c r="A13" s="824"/>
      <c r="B13" s="260" t="s">
        <v>138</v>
      </c>
      <c r="C13" s="288" t="s">
        <v>278</v>
      </c>
      <c r="D13" s="72"/>
      <c r="E13" s="260" t="s">
        <v>279</v>
      </c>
      <c r="F13" s="289" t="s">
        <v>190</v>
      </c>
      <c r="G13" s="290">
        <v>29242.25</v>
      </c>
      <c r="H13" s="322"/>
      <c r="I13" s="322"/>
      <c r="J13" s="322"/>
      <c r="K13" s="322"/>
      <c r="L13" s="322"/>
      <c r="M13" s="322"/>
      <c r="N13" s="322"/>
      <c r="O13" s="322"/>
      <c r="P13" s="322"/>
      <c r="Q13" s="322"/>
      <c r="R13" s="322"/>
      <c r="S13" s="322"/>
      <c r="T13" s="322"/>
      <c r="U13" s="322"/>
      <c r="V13" s="322"/>
      <c r="W13" s="322"/>
      <c r="X13" s="322"/>
      <c r="Y13" s="322"/>
      <c r="Z13" s="322"/>
      <c r="AA13" s="322"/>
      <c r="AB13" s="322"/>
      <c r="AC13" s="322"/>
      <c r="AD13" s="322"/>
      <c r="AE13" s="322"/>
      <c r="AF13" s="322"/>
      <c r="AG13" s="322"/>
      <c r="AH13" s="322"/>
      <c r="AI13" s="322"/>
      <c r="AJ13" s="322"/>
      <c r="AK13" s="322"/>
      <c r="AL13" s="322"/>
      <c r="AM13" s="322"/>
      <c r="AN13" s="322"/>
      <c r="AO13" s="322"/>
      <c r="AP13" s="322"/>
      <c r="AQ13" s="322"/>
      <c r="AR13" s="322"/>
      <c r="AS13" s="322"/>
      <c r="AT13" s="322"/>
      <c r="AU13" s="322"/>
      <c r="AV13" s="322"/>
      <c r="AW13" s="322"/>
      <c r="AX13" s="322"/>
    </row>
    <row r="14" spans="1:50" s="323" customFormat="1">
      <c r="A14" s="292" t="s">
        <v>191</v>
      </c>
      <c r="B14" s="276" t="s">
        <v>141</v>
      </c>
      <c r="C14" s="276" t="s">
        <v>142</v>
      </c>
      <c r="D14" s="276"/>
      <c r="E14" s="281" t="s">
        <v>192</v>
      </c>
      <c r="F14" s="283" t="s">
        <v>188</v>
      </c>
      <c r="G14" s="293">
        <f t="shared" ref="G14" si="0">100000</f>
        <v>100000</v>
      </c>
      <c r="H14" s="322"/>
      <c r="I14" s="322"/>
      <c r="J14" s="322"/>
      <c r="K14" s="322"/>
      <c r="L14" s="322"/>
      <c r="M14" s="322"/>
      <c r="N14" s="322"/>
      <c r="O14" s="322"/>
      <c r="P14" s="322"/>
      <c r="Q14" s="322"/>
      <c r="R14" s="322"/>
      <c r="S14" s="322"/>
      <c r="T14" s="322"/>
      <c r="U14" s="322"/>
      <c r="V14" s="322"/>
      <c r="W14" s="322"/>
      <c r="X14" s="322"/>
      <c r="Y14" s="322"/>
      <c r="Z14" s="322"/>
      <c r="AA14" s="322"/>
      <c r="AB14" s="322"/>
      <c r="AC14" s="322"/>
      <c r="AD14" s="322"/>
      <c r="AE14" s="322"/>
      <c r="AF14" s="322"/>
      <c r="AG14" s="322"/>
      <c r="AH14" s="322"/>
      <c r="AI14" s="322"/>
      <c r="AJ14" s="322"/>
      <c r="AK14" s="322"/>
      <c r="AL14" s="322"/>
      <c r="AM14" s="322"/>
      <c r="AN14" s="322"/>
      <c r="AO14" s="322"/>
      <c r="AP14" s="322"/>
      <c r="AQ14" s="322"/>
      <c r="AR14" s="322"/>
      <c r="AS14" s="322"/>
      <c r="AT14" s="322"/>
      <c r="AU14" s="322"/>
      <c r="AV14" s="322"/>
      <c r="AW14" s="322"/>
      <c r="AX14" s="322"/>
    </row>
    <row r="15" spans="1:50" s="323" customFormat="1" ht="15" customHeight="1">
      <c r="A15" s="831" t="s">
        <v>195</v>
      </c>
      <c r="B15" s="294" t="s">
        <v>138</v>
      </c>
      <c r="C15" s="294" t="s">
        <v>142</v>
      </c>
      <c r="D15" s="714">
        <v>4.7500000000000001E-2</v>
      </c>
      <c r="E15" s="833" t="s">
        <v>308</v>
      </c>
      <c r="F15" s="295" t="s">
        <v>68</v>
      </c>
      <c r="G15" s="715">
        <f>$D$15*B3</f>
        <v>3918.75</v>
      </c>
      <c r="H15" s="322"/>
      <c r="I15" s="296" t="s">
        <v>143</v>
      </c>
      <c r="J15" s="297">
        <v>7.1103664336427554</v>
      </c>
      <c r="K15" s="297">
        <v>6.225133333333333</v>
      </c>
      <c r="L15" s="297">
        <v>4.7416666666666663</v>
      </c>
      <c r="M15" s="297">
        <v>6.2450000000000001</v>
      </c>
      <c r="N15" s="298">
        <f>AVERAGE(J15:M15)</f>
        <v>6.0805416084106891</v>
      </c>
    </row>
    <row r="16" spans="1:50" s="323" customFormat="1">
      <c r="A16" s="832"/>
      <c r="B16" s="27" t="s">
        <v>138</v>
      </c>
      <c r="C16" s="27" t="s">
        <v>142</v>
      </c>
      <c r="D16" s="359">
        <v>132.69999999999999</v>
      </c>
      <c r="E16" s="834"/>
      <c r="F16" s="299" t="s">
        <v>66</v>
      </c>
      <c r="G16" s="300">
        <f>$D$16*B3</f>
        <v>10947749.999999998</v>
      </c>
      <c r="H16" s="322"/>
      <c r="I16" s="301" t="s">
        <v>144</v>
      </c>
      <c r="J16" s="302">
        <v>2414.5963234323031</v>
      </c>
      <c r="K16" s="302">
        <v>2454.8231266731923</v>
      </c>
      <c r="L16" s="302">
        <v>1923.7383333333335</v>
      </c>
      <c r="M16" s="302">
        <v>2675.5816666666669</v>
      </c>
      <c r="N16" s="303">
        <f t="shared" ref="N16:N22" si="1">AVERAGE(J16:M16)</f>
        <v>2367.1848625263738</v>
      </c>
    </row>
    <row r="17" spans="1:51" s="323" customFormat="1">
      <c r="A17" s="832"/>
      <c r="B17" s="27"/>
      <c r="C17" s="27" t="s">
        <v>142</v>
      </c>
      <c r="D17" s="359">
        <v>0.64500000000000002</v>
      </c>
      <c r="E17" s="834"/>
      <c r="F17" s="299" t="s">
        <v>646</v>
      </c>
      <c r="G17" s="300">
        <f>$D$17*B3</f>
        <v>53212.5</v>
      </c>
      <c r="H17" s="322"/>
      <c r="I17" s="301" t="s">
        <v>145</v>
      </c>
      <c r="J17" s="302">
        <v>65.232804273504271</v>
      </c>
      <c r="K17" s="302">
        <v>71.333333333333343</v>
      </c>
      <c r="L17" s="302">
        <v>73.896666666666661</v>
      </c>
      <c r="M17" s="302">
        <v>91.792500000000004</v>
      </c>
      <c r="N17" s="303">
        <f t="shared" si="1"/>
        <v>75.563826068376073</v>
      </c>
    </row>
    <row r="18" spans="1:51" s="323" customFormat="1" ht="24.75" customHeight="1">
      <c r="A18" s="832"/>
      <c r="B18" s="55" t="s">
        <v>138</v>
      </c>
      <c r="C18" s="55" t="s">
        <v>146</v>
      </c>
      <c r="D18" s="360">
        <v>8.3400000000000002E-3</v>
      </c>
      <c r="E18" s="834"/>
      <c r="F18" s="299" t="s">
        <v>65</v>
      </c>
      <c r="G18" s="300">
        <f>$D$18*B3</f>
        <v>688.05000000000007</v>
      </c>
      <c r="H18" s="322"/>
      <c r="I18" s="301" t="s">
        <v>74</v>
      </c>
      <c r="J18" s="304">
        <v>3.0199051282051284</v>
      </c>
      <c r="K18" s="304">
        <v>2.69</v>
      </c>
      <c r="L18" s="304">
        <v>2.1983333333333328</v>
      </c>
      <c r="M18" s="304">
        <v>2.9858333333333338</v>
      </c>
      <c r="N18" s="305">
        <f t="shared" si="1"/>
        <v>2.7235179487179488</v>
      </c>
    </row>
    <row r="19" spans="1:51" s="323" customFormat="1">
      <c r="A19" s="832"/>
      <c r="B19" s="27"/>
      <c r="C19" s="27"/>
      <c r="D19" s="359"/>
      <c r="E19" s="834"/>
      <c r="F19" s="299"/>
      <c r="G19" s="300"/>
      <c r="H19" s="322"/>
      <c r="I19" s="306" t="s">
        <v>81</v>
      </c>
      <c r="J19" s="302">
        <v>3</v>
      </c>
      <c r="K19" s="302">
        <v>3</v>
      </c>
      <c r="L19" s="302">
        <v>3</v>
      </c>
      <c r="M19" s="302">
        <v>3</v>
      </c>
      <c r="N19" s="303">
        <f t="shared" si="1"/>
        <v>3</v>
      </c>
    </row>
    <row r="20" spans="1:51" s="323" customFormat="1" ht="12" customHeight="1">
      <c r="A20" s="832"/>
      <c r="B20" s="27" t="s">
        <v>138</v>
      </c>
      <c r="C20" s="27"/>
      <c r="D20" s="27"/>
      <c r="E20" s="834"/>
      <c r="F20" s="299"/>
      <c r="G20" s="300"/>
      <c r="H20" s="322"/>
      <c r="I20" s="306" t="s">
        <v>82</v>
      </c>
      <c r="J20" s="302">
        <v>2.4499999999999997</v>
      </c>
      <c r="K20" s="302">
        <v>2.4499999999999997</v>
      </c>
      <c r="L20" s="302">
        <v>2.4499999999999997</v>
      </c>
      <c r="M20" s="302">
        <v>2.4499999999999997</v>
      </c>
      <c r="N20" s="303">
        <f t="shared" si="1"/>
        <v>2.4499999999999997</v>
      </c>
    </row>
    <row r="21" spans="1:51" s="323" customFormat="1">
      <c r="A21" s="832"/>
      <c r="B21" s="27" t="s">
        <v>138</v>
      </c>
      <c r="C21" s="27" t="s">
        <v>72</v>
      </c>
      <c r="D21" s="359">
        <v>1.07</v>
      </c>
      <c r="E21" s="834"/>
      <c r="F21" s="307" t="s">
        <v>148</v>
      </c>
      <c r="G21" s="300">
        <f>$D$21*B3</f>
        <v>88275</v>
      </c>
      <c r="H21" s="322"/>
      <c r="I21" s="306" t="s">
        <v>83</v>
      </c>
      <c r="J21" s="302">
        <v>752</v>
      </c>
      <c r="K21" s="302">
        <v>752</v>
      </c>
      <c r="L21" s="302">
        <v>752</v>
      </c>
      <c r="M21" s="302">
        <v>752</v>
      </c>
      <c r="N21" s="303">
        <f t="shared" si="1"/>
        <v>752</v>
      </c>
    </row>
    <row r="22" spans="1:51" s="323" customFormat="1">
      <c r="A22" s="832"/>
      <c r="B22" s="27" t="s">
        <v>138</v>
      </c>
      <c r="C22" s="27" t="s">
        <v>149</v>
      </c>
      <c r="D22" s="359"/>
      <c r="E22" s="834"/>
      <c r="F22" s="308" t="s">
        <v>150</v>
      </c>
      <c r="G22" s="299">
        <f>G15*$N$16+G18*$N$15+G16*$N$19+$N$20*G20+G21*$N$21+$G$17*N16</f>
        <v>234470463.89386356</v>
      </c>
      <c r="H22" s="322"/>
      <c r="I22" s="309" t="s">
        <v>75</v>
      </c>
      <c r="J22" s="310">
        <v>48.9246032051282</v>
      </c>
      <c r="K22" s="310">
        <v>53.499999999999993</v>
      </c>
      <c r="L22" s="310">
        <v>55.422500000000007</v>
      </c>
      <c r="M22" s="310">
        <v>68.844374999999999</v>
      </c>
      <c r="N22" s="311">
        <f t="shared" si="1"/>
        <v>56.672869551282048</v>
      </c>
    </row>
    <row r="23" spans="1:51" s="323" customFormat="1" ht="29.45" customHeight="1">
      <c r="A23" s="831" t="s">
        <v>290</v>
      </c>
      <c r="B23" s="294" t="s">
        <v>138</v>
      </c>
      <c r="C23" s="294" t="s">
        <v>142</v>
      </c>
      <c r="D23" s="714">
        <v>0.02</v>
      </c>
      <c r="E23" s="836" t="s">
        <v>308</v>
      </c>
      <c r="F23" s="295" t="s">
        <v>68</v>
      </c>
      <c r="G23" s="715">
        <f>D23*$B$5</f>
        <v>2000</v>
      </c>
      <c r="H23" s="322"/>
      <c r="I23" s="818" t="s">
        <v>335</v>
      </c>
      <c r="J23" s="818"/>
      <c r="K23" s="818"/>
      <c r="L23" s="818"/>
      <c r="M23" s="818"/>
      <c r="N23" s="818"/>
    </row>
    <row r="24" spans="1:51" s="323" customFormat="1">
      <c r="A24" s="832"/>
      <c r="B24" s="27" t="s">
        <v>138</v>
      </c>
      <c r="C24" s="27" t="s">
        <v>142</v>
      </c>
      <c r="D24" s="359">
        <v>15</v>
      </c>
      <c r="E24" s="837"/>
      <c r="F24" s="299" t="s">
        <v>66</v>
      </c>
      <c r="G24" s="300">
        <f>D24*$B$5</f>
        <v>1500000</v>
      </c>
      <c r="H24" s="322"/>
      <c r="I24" s="329"/>
      <c r="J24" s="330"/>
      <c r="K24" s="330"/>
      <c r="L24" s="330"/>
      <c r="M24" s="330"/>
      <c r="N24" s="330"/>
    </row>
    <row r="25" spans="1:51" s="323" customFormat="1">
      <c r="A25" s="832"/>
      <c r="B25" s="27"/>
      <c r="C25" s="27"/>
      <c r="D25" s="359"/>
      <c r="E25" s="837"/>
      <c r="F25" s="299"/>
      <c r="G25" s="300"/>
      <c r="H25" s="322"/>
      <c r="I25" s="329"/>
      <c r="J25" s="330"/>
      <c r="K25" s="330"/>
      <c r="L25" s="330"/>
      <c r="M25" s="330"/>
      <c r="N25" s="330"/>
    </row>
    <row r="26" spans="1:51" s="323" customFormat="1">
      <c r="A26" s="832"/>
      <c r="B26" s="55" t="s">
        <v>138</v>
      </c>
      <c r="C26" s="55" t="s">
        <v>146</v>
      </c>
      <c r="D26" s="360">
        <v>6.0000000000000001E-3</v>
      </c>
      <c r="E26" s="837"/>
      <c r="F26" s="299" t="s">
        <v>65</v>
      </c>
      <c r="G26" s="300">
        <f>D26*$B$5</f>
        <v>600</v>
      </c>
      <c r="H26" s="330"/>
      <c r="I26" s="329"/>
      <c r="J26" s="330"/>
      <c r="K26" s="330"/>
      <c r="L26" s="330"/>
      <c r="M26" s="330"/>
      <c r="N26" s="330"/>
    </row>
    <row r="27" spans="1:51" s="323" customFormat="1">
      <c r="A27" s="832"/>
      <c r="B27" s="27" t="s">
        <v>138</v>
      </c>
      <c r="C27" s="27" t="s">
        <v>147</v>
      </c>
      <c r="D27" s="359">
        <v>0.28399999999999997</v>
      </c>
      <c r="E27" s="837"/>
      <c r="F27" s="299" t="s">
        <v>309</v>
      </c>
      <c r="G27" s="300">
        <f>D27*$B$5</f>
        <v>28399.999999999996</v>
      </c>
      <c r="H27" s="322"/>
      <c r="I27" s="329"/>
      <c r="J27" s="330"/>
      <c r="K27" s="330"/>
      <c r="L27" s="330"/>
      <c r="M27" s="330"/>
      <c r="N27" s="330"/>
    </row>
    <row r="28" spans="1:51" s="323" customFormat="1">
      <c r="A28" s="832"/>
      <c r="B28" s="27" t="s">
        <v>138</v>
      </c>
      <c r="C28" s="27"/>
      <c r="D28" s="27"/>
      <c r="E28" s="837"/>
      <c r="F28" s="299"/>
      <c r="G28" s="300"/>
      <c r="H28" s="322"/>
      <c r="I28" s="329"/>
      <c r="J28" s="330"/>
      <c r="K28" s="330"/>
      <c r="L28" s="330"/>
      <c r="M28" s="330"/>
      <c r="N28" s="330"/>
    </row>
    <row r="29" spans="1:51">
      <c r="A29" s="832"/>
      <c r="B29" s="27"/>
      <c r="C29" s="27"/>
      <c r="D29" s="357"/>
      <c r="E29" s="837"/>
      <c r="F29" s="307"/>
      <c r="G29" s="300"/>
      <c r="H29" s="322"/>
    </row>
    <row r="30" spans="1:51" s="323" customFormat="1">
      <c r="A30" s="835"/>
      <c r="B30" s="312" t="s">
        <v>138</v>
      </c>
      <c r="C30" s="312" t="s">
        <v>149</v>
      </c>
      <c r="D30" s="312"/>
      <c r="E30" s="838"/>
      <c r="F30" s="313" t="s">
        <v>150</v>
      </c>
      <c r="G30" s="716">
        <f>G23*$N$16+G26*$N$15+G24*$N$19+G27*$N$22</f>
        <v>10847527.545274206</v>
      </c>
      <c r="H30" s="322"/>
      <c r="I30" s="329"/>
      <c r="J30" s="330"/>
      <c r="K30" s="330"/>
      <c r="L30" s="330"/>
      <c r="M30" s="330"/>
      <c r="N30" s="330"/>
    </row>
    <row r="31" spans="1:51" s="323" customFormat="1" ht="32.25" customHeight="1">
      <c r="A31" s="259" t="s">
        <v>151</v>
      </c>
      <c r="B31" s="265" t="s">
        <v>138</v>
      </c>
      <c r="C31" s="260" t="s">
        <v>149</v>
      </c>
      <c r="D31" s="19">
        <v>1885.9697919999996</v>
      </c>
      <c r="E31" s="87"/>
      <c r="F31" s="279" t="s">
        <v>299</v>
      </c>
      <c r="G31" s="338">
        <f>$D$31*B3</f>
        <v>155592507.83999997</v>
      </c>
      <c r="H31" s="322"/>
      <c r="I31" s="331"/>
      <c r="J31" s="322"/>
      <c r="K31" s="322"/>
      <c r="L31" s="322"/>
      <c r="M31" s="322"/>
      <c r="N31" s="322"/>
      <c r="O31" s="322"/>
      <c r="P31" s="322"/>
      <c r="Q31" s="322"/>
      <c r="R31" s="322"/>
      <c r="S31" s="322"/>
      <c r="T31" s="322"/>
      <c r="U31" s="322"/>
      <c r="V31" s="322"/>
      <c r="W31" s="322"/>
      <c r="X31" s="322"/>
      <c r="Y31" s="322"/>
      <c r="Z31" s="322"/>
      <c r="AA31" s="322"/>
      <c r="AB31" s="322"/>
      <c r="AC31" s="322"/>
      <c r="AD31" s="322"/>
      <c r="AE31" s="322"/>
      <c r="AF31" s="322"/>
      <c r="AG31" s="322"/>
      <c r="AH31" s="322"/>
      <c r="AI31" s="322"/>
      <c r="AJ31" s="322"/>
      <c r="AK31" s="322"/>
      <c r="AL31" s="322"/>
      <c r="AM31" s="322"/>
      <c r="AN31" s="322"/>
      <c r="AO31" s="322"/>
      <c r="AP31" s="322"/>
      <c r="AQ31" s="322"/>
      <c r="AR31" s="322"/>
      <c r="AS31" s="322"/>
      <c r="AT31" s="322"/>
      <c r="AU31" s="322"/>
      <c r="AV31" s="322"/>
      <c r="AW31" s="322"/>
      <c r="AX31" s="322"/>
      <c r="AY31" s="324"/>
    </row>
    <row r="32" spans="1:51" s="323" customFormat="1" ht="24" customHeight="1">
      <c r="A32" s="264" t="s">
        <v>13</v>
      </c>
      <c r="B32" s="314" t="s">
        <v>138</v>
      </c>
      <c r="C32" s="314" t="s">
        <v>149</v>
      </c>
      <c r="D32" s="717">
        <v>2821</v>
      </c>
      <c r="E32" s="96"/>
      <c r="F32" s="315" t="s">
        <v>298</v>
      </c>
      <c r="G32" s="718">
        <f t="shared" ref="G32" si="2">$D$32*200000</f>
        <v>564200000</v>
      </c>
      <c r="H32" s="322"/>
      <c r="I32" s="322"/>
      <c r="J32" s="322"/>
      <c r="K32" s="322"/>
      <c r="L32" s="322"/>
      <c r="M32" s="322"/>
      <c r="N32" s="322"/>
      <c r="O32" s="322"/>
      <c r="P32" s="322"/>
      <c r="Q32" s="322"/>
      <c r="R32" s="322"/>
      <c r="S32" s="322"/>
      <c r="T32" s="322"/>
      <c r="U32" s="322"/>
      <c r="V32" s="322"/>
      <c r="W32" s="322"/>
      <c r="X32" s="322"/>
      <c r="Y32" s="322"/>
      <c r="Z32" s="322"/>
      <c r="AA32" s="322"/>
      <c r="AB32" s="322"/>
      <c r="AC32" s="322"/>
      <c r="AD32" s="322"/>
      <c r="AE32" s="322"/>
      <c r="AF32" s="322"/>
      <c r="AG32" s="322"/>
      <c r="AH32" s="322"/>
      <c r="AI32" s="322"/>
      <c r="AJ32" s="322"/>
      <c r="AK32" s="322"/>
      <c r="AL32" s="322"/>
      <c r="AM32" s="322"/>
      <c r="AN32" s="322"/>
      <c r="AO32" s="322"/>
      <c r="AP32" s="322"/>
      <c r="AQ32" s="322"/>
      <c r="AR32" s="322"/>
      <c r="AS32" s="322"/>
      <c r="AT32" s="322"/>
      <c r="AU32" s="322"/>
      <c r="AV32" s="322"/>
      <c r="AW32" s="322"/>
      <c r="AX32" s="322"/>
    </row>
    <row r="33" spans="1:50" s="326" customFormat="1" ht="27" customHeight="1">
      <c r="A33" s="264" t="s">
        <v>87</v>
      </c>
      <c r="B33" s="314" t="s">
        <v>138</v>
      </c>
      <c r="C33" s="314" t="s">
        <v>149</v>
      </c>
      <c r="D33" s="717">
        <v>1109.8380433538794</v>
      </c>
      <c r="E33" s="151"/>
      <c r="F33" s="315" t="s">
        <v>298</v>
      </c>
      <c r="G33" s="718">
        <f t="shared" ref="G33" si="3">$D$33*200000</f>
        <v>221967608.67077586</v>
      </c>
      <c r="H33" s="322"/>
      <c r="I33" s="325"/>
      <c r="J33" s="325"/>
      <c r="K33" s="325"/>
      <c r="L33" s="325"/>
      <c r="M33" s="325"/>
      <c r="N33" s="325"/>
      <c r="O33" s="325"/>
      <c r="P33" s="325"/>
      <c r="Q33" s="325"/>
      <c r="R33" s="325"/>
      <c r="S33" s="325"/>
      <c r="T33" s="325"/>
      <c r="U33" s="325"/>
      <c r="V33" s="325"/>
      <c r="W33" s="325"/>
      <c r="X33" s="325"/>
      <c r="Y33" s="325"/>
      <c r="Z33" s="325"/>
      <c r="AA33" s="325"/>
      <c r="AB33" s="325"/>
      <c r="AC33" s="325"/>
      <c r="AD33" s="325"/>
      <c r="AE33" s="325"/>
      <c r="AF33" s="325"/>
      <c r="AG33" s="325"/>
      <c r="AH33" s="325"/>
      <c r="AI33" s="325"/>
      <c r="AJ33" s="325"/>
      <c r="AK33" s="325"/>
      <c r="AL33" s="325"/>
      <c r="AM33" s="325"/>
      <c r="AN33" s="325"/>
      <c r="AO33" s="325"/>
      <c r="AP33" s="325"/>
      <c r="AQ33" s="325"/>
      <c r="AR33" s="325"/>
      <c r="AS33" s="325"/>
      <c r="AT33" s="325"/>
      <c r="AU33" s="325"/>
      <c r="AV33" s="325"/>
      <c r="AW33" s="325"/>
      <c r="AX33" s="325"/>
    </row>
    <row r="34" spans="1:50" s="323" customFormat="1">
      <c r="A34" s="1"/>
      <c r="B34" s="1"/>
      <c r="C34" s="1"/>
      <c r="D34" s="1"/>
      <c r="E34" s="1"/>
      <c r="F34" s="88"/>
      <c r="H34" s="322"/>
    </row>
    <row r="35" spans="1:50" s="323" customFormat="1">
      <c r="A35" s="170"/>
      <c r="B35" s="170"/>
      <c r="C35" s="170"/>
      <c r="D35" s="170"/>
      <c r="E35" s="170"/>
      <c r="F35" s="170"/>
      <c r="H35" s="322"/>
    </row>
    <row r="36" spans="1:50" ht="22.5" customHeight="1">
      <c r="A36" s="819" t="s">
        <v>283</v>
      </c>
      <c r="B36" s="819"/>
      <c r="C36" s="819"/>
      <c r="D36" s="819"/>
      <c r="E36" s="819"/>
    </row>
    <row r="37" spans="1:50">
      <c r="A37" s="820" t="s">
        <v>269</v>
      </c>
      <c r="B37" s="821"/>
      <c r="C37" s="821"/>
      <c r="D37" s="821"/>
      <c r="E37" s="821"/>
    </row>
    <row r="38" spans="1:50">
      <c r="A38" s="257" t="s">
        <v>63</v>
      </c>
      <c r="B38" s="257" t="s">
        <v>80</v>
      </c>
      <c r="C38" s="257" t="s">
        <v>77</v>
      </c>
      <c r="D38" s="188" t="s">
        <v>78</v>
      </c>
      <c r="E38" s="257" t="s">
        <v>79</v>
      </c>
    </row>
    <row r="39" spans="1:50">
      <c r="A39" s="22">
        <v>1</v>
      </c>
      <c r="B39" s="97" t="s">
        <v>194</v>
      </c>
      <c r="C39" s="719">
        <v>20652</v>
      </c>
      <c r="D39" s="720">
        <f>B3-(D5*B5)</f>
        <v>7800</v>
      </c>
      <c r="E39" s="720">
        <f>(D39*C39)/10^7</f>
        <v>16.108560000000001</v>
      </c>
    </row>
    <row r="40" spans="1:50" ht="15" customHeight="1">
      <c r="A40" s="819" t="s">
        <v>346</v>
      </c>
      <c r="B40" s="819"/>
      <c r="C40" s="819"/>
      <c r="D40" s="819"/>
      <c r="E40" s="819"/>
    </row>
    <row r="41" spans="1:50">
      <c r="A41" s="820" t="s">
        <v>269</v>
      </c>
      <c r="B41" s="821"/>
      <c r="C41" s="821"/>
      <c r="D41" s="821"/>
      <c r="E41" s="821"/>
    </row>
    <row r="42" spans="1:50">
      <c r="A42" s="257" t="s">
        <v>63</v>
      </c>
      <c r="B42" s="257" t="s">
        <v>80</v>
      </c>
      <c r="C42" s="257" t="s">
        <v>77</v>
      </c>
      <c r="D42" s="188" t="s">
        <v>78</v>
      </c>
      <c r="E42" s="257" t="s">
        <v>79</v>
      </c>
    </row>
    <row r="43" spans="1:50">
      <c r="A43" s="22">
        <v>1</v>
      </c>
      <c r="B43" s="97" t="s">
        <v>285</v>
      </c>
      <c r="C43" s="712">
        <v>38323</v>
      </c>
      <c r="D43" s="720">
        <f>B5</f>
        <v>100000</v>
      </c>
      <c r="E43" s="720">
        <f>(C43*D43)/10^7</f>
        <v>383.23</v>
      </c>
      <c r="F43" s="362"/>
    </row>
    <row r="44" spans="1:50" ht="18" customHeight="1">
      <c r="A44" s="246"/>
      <c r="B44" s="246"/>
      <c r="C44" s="246"/>
      <c r="D44" s="246"/>
      <c r="E44" s="246"/>
    </row>
    <row r="45" spans="1:50">
      <c r="A45" s="811" t="s">
        <v>284</v>
      </c>
      <c r="B45" s="811"/>
      <c r="C45" s="811"/>
      <c r="D45" s="811"/>
    </row>
    <row r="46" spans="1:50">
      <c r="A46" s="179" t="s">
        <v>51</v>
      </c>
      <c r="B46" s="180" t="s">
        <v>52</v>
      </c>
      <c r="C46" s="180" t="s">
        <v>61</v>
      </c>
      <c r="D46" s="181" t="s">
        <v>644</v>
      </c>
    </row>
    <row r="47" spans="1:50">
      <c r="A47" s="20" t="s">
        <v>54</v>
      </c>
      <c r="B47" s="91">
        <v>1</v>
      </c>
      <c r="C47" s="91">
        <v>35</v>
      </c>
      <c r="D47" s="91">
        <f t="shared" ref="D47:D52" si="4">C47*B47</f>
        <v>35</v>
      </c>
    </row>
    <row r="48" spans="1:50">
      <c r="A48" s="20" t="s">
        <v>55</v>
      </c>
      <c r="B48" s="91">
        <v>2</v>
      </c>
      <c r="C48" s="91">
        <v>25</v>
      </c>
      <c r="D48" s="91">
        <f t="shared" si="4"/>
        <v>50</v>
      </c>
    </row>
    <row r="49" spans="1:19">
      <c r="A49" s="20" t="s">
        <v>56</v>
      </c>
      <c r="B49" s="91">
        <v>3</v>
      </c>
      <c r="C49" s="91">
        <v>20</v>
      </c>
      <c r="D49" s="91">
        <f t="shared" si="4"/>
        <v>60</v>
      </c>
    </row>
    <row r="50" spans="1:19">
      <c r="A50" s="20" t="s">
        <v>57</v>
      </c>
      <c r="B50" s="91">
        <v>5</v>
      </c>
      <c r="C50" s="91">
        <v>8</v>
      </c>
      <c r="D50" s="91">
        <f t="shared" si="4"/>
        <v>40</v>
      </c>
    </row>
    <row r="51" spans="1:19">
      <c r="A51" s="84" t="s">
        <v>58</v>
      </c>
      <c r="B51" s="91">
        <v>10</v>
      </c>
      <c r="C51" s="91">
        <v>6</v>
      </c>
      <c r="D51" s="91">
        <f t="shared" si="4"/>
        <v>60</v>
      </c>
    </row>
    <row r="52" spans="1:19">
      <c r="A52" s="20" t="s">
        <v>59</v>
      </c>
      <c r="B52" s="91">
        <v>30</v>
      </c>
      <c r="C52" s="91">
        <v>3.5</v>
      </c>
      <c r="D52" s="91">
        <f t="shared" si="4"/>
        <v>105</v>
      </c>
    </row>
    <row r="53" spans="1:19">
      <c r="A53" s="182" t="s">
        <v>73</v>
      </c>
      <c r="B53" s="183"/>
      <c r="C53" s="183"/>
      <c r="D53" s="183">
        <f>SUM(D47:D52)/100</f>
        <v>3.5</v>
      </c>
    </row>
    <row r="54" spans="1:19" hidden="1">
      <c r="A54" s="318"/>
      <c r="B54" s="318"/>
      <c r="C54" s="385" t="s">
        <v>334</v>
      </c>
    </row>
    <row r="55" spans="1:19" hidden="1">
      <c r="A55" s="826" t="s">
        <v>280</v>
      </c>
      <c r="B55" s="826"/>
      <c r="C55" s="826"/>
    </row>
    <row r="56" spans="1:19" hidden="1">
      <c r="A56" s="827" t="s">
        <v>286</v>
      </c>
      <c r="B56" s="828"/>
      <c r="C56" s="828"/>
    </row>
    <row r="57" spans="1:19" hidden="1">
      <c r="A57" s="236" t="s">
        <v>119</v>
      </c>
      <c r="B57" s="237" t="s">
        <v>120</v>
      </c>
      <c r="C57" s="398"/>
    </row>
    <row r="58" spans="1:19" hidden="1">
      <c r="A58" s="239" t="s">
        <v>122</v>
      </c>
      <c r="B58" s="399">
        <v>0.25</v>
      </c>
      <c r="C58" s="394">
        <f>B58*$C$60</f>
        <v>141.13749999999999</v>
      </c>
    </row>
    <row r="59" spans="1:19" hidden="1">
      <c r="A59" s="239" t="s">
        <v>123</v>
      </c>
      <c r="B59" s="400">
        <v>0.75</v>
      </c>
      <c r="C59" s="394">
        <f>B59*$C$60</f>
        <v>423.41249999999997</v>
      </c>
    </row>
    <row r="60" spans="1:19" hidden="1">
      <c r="A60" s="395" t="s">
        <v>73</v>
      </c>
      <c r="B60" s="396">
        <f>SUM(B58:B59)</f>
        <v>1</v>
      </c>
      <c r="C60" s="397">
        <f>Capex!E15</f>
        <v>564.54999999999995</v>
      </c>
    </row>
    <row r="61" spans="1:19" hidden="1"/>
    <row r="62" spans="1:19" hidden="1">
      <c r="A62" s="811" t="s">
        <v>282</v>
      </c>
      <c r="B62" s="811"/>
      <c r="C62" s="811"/>
      <c r="D62" s="811"/>
      <c r="E62" s="811"/>
      <c r="F62" s="811"/>
      <c r="G62" s="811"/>
      <c r="H62" s="811"/>
      <c r="I62" s="811"/>
      <c r="J62" s="811"/>
      <c r="K62" s="811"/>
      <c r="L62" s="811"/>
      <c r="M62" s="811"/>
      <c r="N62" s="811"/>
      <c r="O62" s="811"/>
      <c r="P62" s="811"/>
      <c r="Q62" s="811"/>
      <c r="R62" s="811"/>
      <c r="S62" s="811"/>
    </row>
    <row r="63" spans="1:19" hidden="1">
      <c r="A63" s="809"/>
      <c r="B63" s="810"/>
      <c r="C63" s="810"/>
      <c r="D63" s="810"/>
      <c r="E63" s="392">
        <v>1</v>
      </c>
      <c r="F63" s="392">
        <v>2</v>
      </c>
      <c r="G63" s="392">
        <v>3</v>
      </c>
      <c r="H63" s="392">
        <v>4</v>
      </c>
      <c r="I63" s="392">
        <v>5</v>
      </c>
      <c r="J63" s="392">
        <v>6</v>
      </c>
      <c r="K63" s="186">
        <v>7</v>
      </c>
      <c r="L63" s="392">
        <v>8</v>
      </c>
      <c r="M63" s="186">
        <v>9</v>
      </c>
      <c r="N63" s="392">
        <v>10</v>
      </c>
      <c r="O63" s="392">
        <v>11</v>
      </c>
      <c r="P63" s="392">
        <v>12</v>
      </c>
      <c r="Q63" s="392">
        <v>13</v>
      </c>
      <c r="R63" s="186">
        <v>14</v>
      </c>
      <c r="S63" s="392">
        <v>15</v>
      </c>
    </row>
    <row r="64" spans="1:19" hidden="1">
      <c r="A64" s="17" t="s">
        <v>20</v>
      </c>
      <c r="B64" s="389"/>
      <c r="C64" s="13"/>
      <c r="D64" s="316"/>
      <c r="E64" s="389"/>
      <c r="F64" s="389"/>
      <c r="G64" s="389"/>
      <c r="H64" s="389"/>
      <c r="I64" s="389"/>
      <c r="J64" s="389"/>
      <c r="K64" s="389"/>
      <c r="L64" s="389"/>
      <c r="M64" s="389"/>
      <c r="N64" s="389"/>
      <c r="O64" s="316"/>
      <c r="P64" s="316"/>
      <c r="Q64" s="316"/>
      <c r="R64" s="389"/>
      <c r="S64" s="389"/>
    </row>
    <row r="65" spans="1:19" hidden="1">
      <c r="A65" s="129"/>
      <c r="B65" s="13" t="s">
        <v>21</v>
      </c>
      <c r="C65" s="389" t="s">
        <v>22</v>
      </c>
      <c r="D65" s="316"/>
      <c r="E65" s="187">
        <v>30</v>
      </c>
      <c r="F65" s="187">
        <v>30</v>
      </c>
      <c r="G65" s="187">
        <v>30</v>
      </c>
      <c r="H65" s="187">
        <v>30</v>
      </c>
      <c r="I65" s="187">
        <v>30</v>
      </c>
      <c r="J65" s="187">
        <v>30</v>
      </c>
      <c r="K65" s="187">
        <v>30</v>
      </c>
      <c r="L65" s="187">
        <v>30</v>
      </c>
      <c r="M65" s="187">
        <v>30</v>
      </c>
      <c r="N65" s="187">
        <v>30</v>
      </c>
      <c r="O65" s="187">
        <v>30</v>
      </c>
      <c r="P65" s="187">
        <v>30</v>
      </c>
      <c r="Q65" s="187">
        <v>30</v>
      </c>
      <c r="R65" s="187">
        <v>30</v>
      </c>
      <c r="S65" s="187">
        <v>30</v>
      </c>
    </row>
    <row r="66" spans="1:19" hidden="1">
      <c r="A66" s="129"/>
      <c r="B66" s="13" t="s">
        <v>23</v>
      </c>
      <c r="C66" s="389"/>
      <c r="D66" s="316"/>
      <c r="E66" s="14">
        <f>'Cashflow '!F10</f>
        <v>279.536992</v>
      </c>
      <c r="F66" s="14">
        <f>'Cashflow '!G10</f>
        <v>359.40470400000004</v>
      </c>
      <c r="G66" s="14">
        <f>'Cashflow '!H10</f>
        <v>379.37163200000003</v>
      </c>
      <c r="H66" s="14">
        <f>'Cashflow '!I10</f>
        <v>379.37163200000003</v>
      </c>
      <c r="I66" s="14">
        <f>'Cashflow '!J10</f>
        <v>379.37163200000003</v>
      </c>
      <c r="J66" s="14">
        <f>'Cashflow '!K10</f>
        <v>379.37163200000003</v>
      </c>
      <c r="K66" s="14">
        <f>'Cashflow '!L10</f>
        <v>379.37163200000003</v>
      </c>
      <c r="L66" s="14">
        <f>'Cashflow '!M10</f>
        <v>379.37163200000003</v>
      </c>
      <c r="M66" s="14">
        <f>'Cashflow '!N10</f>
        <v>379.37163200000003</v>
      </c>
      <c r="N66" s="14">
        <f>'Cashflow '!O10</f>
        <v>379.37163200000003</v>
      </c>
      <c r="O66" s="14">
        <f>'Cashflow '!P10</f>
        <v>379.37163200000003</v>
      </c>
      <c r="P66" s="14">
        <f>'Cashflow '!Q10</f>
        <v>379.37163200000003</v>
      </c>
      <c r="Q66" s="14">
        <f>'Cashflow '!R10</f>
        <v>379.37163200000003</v>
      </c>
      <c r="R66" s="14">
        <f>'Cashflow '!S10</f>
        <v>379.37163200000003</v>
      </c>
      <c r="S66" s="14">
        <f>'Cashflow '!T10</f>
        <v>379.37163200000003</v>
      </c>
    </row>
    <row r="67" spans="1:19" hidden="1">
      <c r="A67" s="129"/>
      <c r="B67" s="13" t="s">
        <v>24</v>
      </c>
      <c r="C67" s="389"/>
      <c r="D67" s="316"/>
      <c r="E67" s="14">
        <f>+E66/365*E65</f>
        <v>22.975643178082191</v>
      </c>
      <c r="F67" s="14">
        <f t="shared" ref="F67:S67" si="5">+F66/365*F65</f>
        <v>29.540112657534248</v>
      </c>
      <c r="G67" s="14">
        <f t="shared" si="5"/>
        <v>31.181230027397259</v>
      </c>
      <c r="H67" s="14">
        <f t="shared" si="5"/>
        <v>31.181230027397259</v>
      </c>
      <c r="I67" s="14">
        <f t="shared" si="5"/>
        <v>31.181230027397259</v>
      </c>
      <c r="J67" s="14">
        <f t="shared" si="5"/>
        <v>31.181230027397259</v>
      </c>
      <c r="K67" s="14">
        <f t="shared" si="5"/>
        <v>31.181230027397259</v>
      </c>
      <c r="L67" s="14">
        <f t="shared" si="5"/>
        <v>31.181230027397259</v>
      </c>
      <c r="M67" s="14">
        <f t="shared" si="5"/>
        <v>31.181230027397259</v>
      </c>
      <c r="N67" s="14">
        <f t="shared" si="5"/>
        <v>31.181230027397259</v>
      </c>
      <c r="O67" s="14">
        <f t="shared" si="5"/>
        <v>31.181230027397259</v>
      </c>
      <c r="P67" s="14">
        <f t="shared" si="5"/>
        <v>31.181230027397259</v>
      </c>
      <c r="Q67" s="14">
        <f t="shared" si="5"/>
        <v>31.181230027397259</v>
      </c>
      <c r="R67" s="14">
        <f t="shared" si="5"/>
        <v>31.181230027397259</v>
      </c>
      <c r="S67" s="14">
        <f t="shared" si="5"/>
        <v>31.181230027397259</v>
      </c>
    </row>
    <row r="68" spans="1:19" hidden="1">
      <c r="A68" s="129"/>
      <c r="B68" s="389"/>
      <c r="C68" s="389"/>
      <c r="D68" s="316"/>
      <c r="E68" s="389"/>
      <c r="F68" s="389"/>
      <c r="G68" s="389"/>
      <c r="H68" s="389"/>
      <c r="I68" s="389"/>
      <c r="J68" s="389"/>
      <c r="K68" s="389"/>
      <c r="L68" s="389"/>
      <c r="M68" s="389"/>
      <c r="N68" s="389"/>
      <c r="O68" s="389"/>
      <c r="P68" s="389"/>
      <c r="Q68" s="389"/>
      <c r="R68" s="389"/>
      <c r="S68" s="389"/>
    </row>
    <row r="69" spans="1:19" hidden="1">
      <c r="A69" s="17" t="s">
        <v>25</v>
      </c>
      <c r="B69" s="389"/>
      <c r="C69" s="13"/>
      <c r="D69" s="316"/>
      <c r="E69" s="389"/>
      <c r="F69" s="389"/>
      <c r="G69" s="389"/>
      <c r="H69" s="389"/>
      <c r="I69" s="389"/>
      <c r="J69" s="389"/>
      <c r="K69" s="389"/>
      <c r="L69" s="389"/>
      <c r="M69" s="389"/>
      <c r="N69" s="389"/>
      <c r="O69" s="389"/>
      <c r="P69" s="389"/>
      <c r="Q69" s="389"/>
      <c r="R69" s="389"/>
      <c r="S69" s="389"/>
    </row>
    <row r="70" spans="1:19" hidden="1">
      <c r="A70" s="129"/>
      <c r="B70" s="13" t="s">
        <v>26</v>
      </c>
      <c r="C70" s="389" t="s">
        <v>22</v>
      </c>
      <c r="D70" s="316"/>
      <c r="E70" s="187">
        <v>20</v>
      </c>
      <c r="F70" s="187">
        <v>20</v>
      </c>
      <c r="G70" s="187">
        <v>20</v>
      </c>
      <c r="H70" s="187">
        <v>20</v>
      </c>
      <c r="I70" s="187">
        <v>20</v>
      </c>
      <c r="J70" s="187">
        <v>20</v>
      </c>
      <c r="K70" s="187">
        <v>20</v>
      </c>
      <c r="L70" s="187">
        <v>20</v>
      </c>
      <c r="M70" s="187">
        <v>20</v>
      </c>
      <c r="N70" s="187">
        <v>20</v>
      </c>
      <c r="O70" s="187">
        <v>20</v>
      </c>
      <c r="P70" s="187">
        <v>20</v>
      </c>
      <c r="Q70" s="187">
        <v>20</v>
      </c>
      <c r="R70" s="187">
        <v>20</v>
      </c>
      <c r="S70" s="187">
        <v>20</v>
      </c>
    </row>
    <row r="71" spans="1:19" hidden="1">
      <c r="A71" s="129"/>
      <c r="B71" s="13" t="s">
        <v>27</v>
      </c>
      <c r="C71" s="389"/>
      <c r="D71" s="316"/>
      <c r="E71" s="14">
        <f>'Cashflow '!F21</f>
        <v>173.15760216219968</v>
      </c>
      <c r="F71" s="14">
        <f>'Cashflow '!G21</f>
        <v>225.80529769295458</v>
      </c>
      <c r="G71" s="14">
        <f>'Cashflow '!H21</f>
        <v>242.02866523096355</v>
      </c>
      <c r="H71" s="14">
        <f>'Cashflow '!I21</f>
        <v>245.57560072200224</v>
      </c>
      <c r="I71" s="14">
        <f>'Cashflow '!J21</f>
        <v>248.59951288198923</v>
      </c>
      <c r="J71" s="14">
        <f>'Cashflow '!K21</f>
        <v>251.93074635460789</v>
      </c>
      <c r="K71" s="14">
        <f>'Cashflow '!L21</f>
        <v>255.23954875641664</v>
      </c>
      <c r="L71" s="14">
        <f>'Cashflow '!M21</f>
        <v>258.68240811345078</v>
      </c>
      <c r="M71" s="14">
        <f>'Cashflow '!N21</f>
        <v>262.51603511253973</v>
      </c>
      <c r="N71" s="14">
        <f>'Cashflow '!O21</f>
        <v>265.33476503681482</v>
      </c>
      <c r="O71" s="14">
        <f>'Cashflow '!P21</f>
        <v>268.37233100254736</v>
      </c>
      <c r="P71" s="14">
        <f>'Cashflow '!Q21</f>
        <v>271.516216093384</v>
      </c>
      <c r="Q71" s="14">
        <f>'Cashflow '!R21</f>
        <v>274.45623530348007</v>
      </c>
      <c r="R71" s="14">
        <f>'Cashflow '!S21</f>
        <v>277.37965448830317</v>
      </c>
      <c r="S71" s="14">
        <f>'Cashflow '!T21</f>
        <v>280.30989556142822</v>
      </c>
    </row>
    <row r="72" spans="1:19" hidden="1">
      <c r="A72" s="129"/>
      <c r="B72" s="13" t="s">
        <v>28</v>
      </c>
      <c r="C72" s="389"/>
      <c r="D72" s="316"/>
      <c r="E72" s="14">
        <f>+E71/365*E70</f>
        <v>9.4880877897095708</v>
      </c>
      <c r="F72" s="14">
        <f t="shared" ref="F72:S72" si="6">+F71/365*F70</f>
        <v>12.372893024271484</v>
      </c>
      <c r="G72" s="14">
        <f t="shared" si="6"/>
        <v>13.261844670189785</v>
      </c>
      <c r="H72" s="14">
        <f t="shared" si="6"/>
        <v>13.45619729983574</v>
      </c>
      <c r="I72" s="14">
        <f t="shared" si="6"/>
        <v>13.621891116821327</v>
      </c>
      <c r="J72" s="14">
        <f t="shared" si="6"/>
        <v>13.804424457786734</v>
      </c>
      <c r="K72" s="14">
        <f t="shared" si="6"/>
        <v>13.985728698981735</v>
      </c>
      <c r="L72" s="14">
        <f t="shared" si="6"/>
        <v>14.174378526764427</v>
      </c>
      <c r="M72" s="14">
        <f t="shared" si="6"/>
        <v>14.384440280139163</v>
      </c>
      <c r="N72" s="14">
        <f t="shared" si="6"/>
        <v>14.538891234893963</v>
      </c>
      <c r="O72" s="14">
        <f t="shared" si="6"/>
        <v>14.705333205619034</v>
      </c>
      <c r="P72" s="14">
        <f t="shared" si="6"/>
        <v>14.87760088182926</v>
      </c>
      <c r="Q72" s="14">
        <f t="shared" si="6"/>
        <v>15.038697824848224</v>
      </c>
      <c r="R72" s="14">
        <f t="shared" si="6"/>
        <v>15.198885177441269</v>
      </c>
      <c r="S72" s="14">
        <f t="shared" si="6"/>
        <v>15.359446332133054</v>
      </c>
    </row>
    <row r="73" spans="1:19" hidden="1">
      <c r="A73" s="129"/>
      <c r="B73" s="389"/>
      <c r="C73" s="389"/>
      <c r="D73" s="316"/>
      <c r="E73" s="389"/>
      <c r="F73" s="389"/>
      <c r="G73" s="389"/>
      <c r="H73" s="389"/>
      <c r="I73" s="389"/>
      <c r="J73" s="389"/>
      <c r="K73" s="389"/>
      <c r="L73" s="389"/>
      <c r="M73" s="389"/>
      <c r="N73" s="389"/>
      <c r="O73" s="316"/>
      <c r="P73" s="316"/>
      <c r="Q73" s="316"/>
      <c r="R73" s="389"/>
      <c r="S73" s="389"/>
    </row>
    <row r="74" spans="1:19" hidden="1">
      <c r="A74" s="17" t="s">
        <v>29</v>
      </c>
      <c r="B74" s="389"/>
      <c r="C74" s="13"/>
      <c r="D74" s="316"/>
      <c r="E74" s="389"/>
      <c r="F74" s="389"/>
      <c r="G74" s="389"/>
      <c r="H74" s="389"/>
      <c r="I74" s="389"/>
      <c r="J74" s="389"/>
      <c r="K74" s="389"/>
      <c r="L74" s="389"/>
      <c r="M74" s="389"/>
      <c r="N74" s="389"/>
      <c r="O74" s="316"/>
      <c r="P74" s="316"/>
      <c r="Q74" s="316"/>
      <c r="R74" s="389"/>
      <c r="S74" s="389"/>
    </row>
    <row r="75" spans="1:19" hidden="1">
      <c r="A75" s="129"/>
      <c r="B75" s="13" t="s">
        <v>30</v>
      </c>
      <c r="C75" s="389" t="s">
        <v>22</v>
      </c>
      <c r="D75" s="316"/>
      <c r="E75" s="187">
        <v>10</v>
      </c>
      <c r="F75" s="187">
        <v>10</v>
      </c>
      <c r="G75" s="187">
        <v>10</v>
      </c>
      <c r="H75" s="187">
        <v>10</v>
      </c>
      <c r="I75" s="187">
        <v>10</v>
      </c>
      <c r="J75" s="187">
        <v>10</v>
      </c>
      <c r="K75" s="187">
        <v>10</v>
      </c>
      <c r="L75" s="187">
        <v>10</v>
      </c>
      <c r="M75" s="187">
        <v>10</v>
      </c>
      <c r="N75" s="187">
        <v>10</v>
      </c>
      <c r="O75" s="187">
        <v>10</v>
      </c>
      <c r="P75" s="187">
        <v>10</v>
      </c>
      <c r="Q75" s="187">
        <v>10</v>
      </c>
      <c r="R75" s="187">
        <v>10</v>
      </c>
      <c r="S75" s="187">
        <v>10</v>
      </c>
    </row>
    <row r="76" spans="1:19" hidden="1">
      <c r="A76" s="129"/>
      <c r="B76" s="13" t="s">
        <v>31</v>
      </c>
      <c r="C76" s="389"/>
      <c r="D76" s="316"/>
      <c r="E76" s="14">
        <f>-E71</f>
        <v>-173.15760216219968</v>
      </c>
      <c r="F76" s="14">
        <f t="shared" ref="F76:S76" si="7">-F71</f>
        <v>-225.80529769295458</v>
      </c>
      <c r="G76" s="14">
        <f t="shared" si="7"/>
        <v>-242.02866523096355</v>
      </c>
      <c r="H76" s="14">
        <f t="shared" si="7"/>
        <v>-245.57560072200224</v>
      </c>
      <c r="I76" s="14">
        <f t="shared" si="7"/>
        <v>-248.59951288198923</v>
      </c>
      <c r="J76" s="14">
        <f t="shared" si="7"/>
        <v>-251.93074635460789</v>
      </c>
      <c r="K76" s="14">
        <f t="shared" si="7"/>
        <v>-255.23954875641664</v>
      </c>
      <c r="L76" s="14">
        <f t="shared" si="7"/>
        <v>-258.68240811345078</v>
      </c>
      <c r="M76" s="14">
        <f>-M71</f>
        <v>-262.51603511253973</v>
      </c>
      <c r="N76" s="14">
        <f t="shared" si="7"/>
        <v>-265.33476503681482</v>
      </c>
      <c r="O76" s="14">
        <f t="shared" si="7"/>
        <v>-268.37233100254736</v>
      </c>
      <c r="P76" s="14">
        <f t="shared" si="7"/>
        <v>-271.516216093384</v>
      </c>
      <c r="Q76" s="14">
        <f t="shared" si="7"/>
        <v>-274.45623530348007</v>
      </c>
      <c r="R76" s="14">
        <f t="shared" si="7"/>
        <v>-277.37965448830317</v>
      </c>
      <c r="S76" s="14">
        <f t="shared" si="7"/>
        <v>-280.30989556142822</v>
      </c>
    </row>
    <row r="77" spans="1:19" hidden="1">
      <c r="A77" s="124"/>
      <c r="B77" s="18" t="s">
        <v>31</v>
      </c>
      <c r="C77" s="390"/>
      <c r="D77" s="317"/>
      <c r="E77" s="19">
        <f>+E76/365*E75</f>
        <v>-4.7440438948547854</v>
      </c>
      <c r="F77" s="19">
        <f t="shared" ref="F77:S77" si="8">+F76/365*F75</f>
        <v>-6.1864465121357419</v>
      </c>
      <c r="G77" s="19">
        <f t="shared" si="8"/>
        <v>-6.6309223350948923</v>
      </c>
      <c r="H77" s="19">
        <f t="shared" si="8"/>
        <v>-6.7280986499178699</v>
      </c>
      <c r="I77" s="19">
        <f t="shared" si="8"/>
        <v>-6.8109455584106637</v>
      </c>
      <c r="J77" s="19">
        <f t="shared" si="8"/>
        <v>-6.9022122288933669</v>
      </c>
      <c r="K77" s="19">
        <f t="shared" si="8"/>
        <v>-6.9928643494908673</v>
      </c>
      <c r="L77" s="19">
        <f t="shared" si="8"/>
        <v>-7.0871892633822133</v>
      </c>
      <c r="M77" s="19">
        <f t="shared" si="8"/>
        <v>-7.1922201400695815</v>
      </c>
      <c r="N77" s="19">
        <f t="shared" si="8"/>
        <v>-7.2694456174469817</v>
      </c>
      <c r="O77" s="19">
        <f t="shared" si="8"/>
        <v>-7.3526666028095171</v>
      </c>
      <c r="P77" s="19">
        <f t="shared" si="8"/>
        <v>-7.4388004409146298</v>
      </c>
      <c r="Q77" s="19">
        <f t="shared" si="8"/>
        <v>-7.5193489124241122</v>
      </c>
      <c r="R77" s="19">
        <f t="shared" si="8"/>
        <v>-7.5994425887206347</v>
      </c>
      <c r="S77" s="19">
        <f t="shared" si="8"/>
        <v>-7.6797231660665268</v>
      </c>
    </row>
    <row r="78" spans="1:19" hidden="1"/>
    <row r="79" spans="1:19" hidden="1">
      <c r="A79" s="812" t="s">
        <v>280</v>
      </c>
      <c r="B79" s="813"/>
      <c r="C79" s="813"/>
      <c r="D79" s="813"/>
      <c r="E79" s="813"/>
      <c r="F79" s="813"/>
      <c r="G79" s="813"/>
      <c r="H79" s="813"/>
      <c r="I79" s="813"/>
      <c r="J79" s="814"/>
    </row>
    <row r="80" spans="1:19" hidden="1">
      <c r="A80" s="815" t="s">
        <v>287</v>
      </c>
      <c r="B80" s="816"/>
      <c r="C80" s="816"/>
      <c r="D80" s="816"/>
      <c r="E80" s="816"/>
      <c r="F80" s="816"/>
      <c r="G80" s="816"/>
      <c r="H80" s="816"/>
      <c r="I80" s="816"/>
      <c r="J80" s="817"/>
    </row>
    <row r="81" spans="1:10" hidden="1">
      <c r="A81" s="248" t="s">
        <v>124</v>
      </c>
      <c r="B81" s="347">
        <v>0.1</v>
      </c>
      <c r="C81" s="249"/>
      <c r="D81" s="249"/>
      <c r="E81" s="249"/>
      <c r="F81" s="249"/>
      <c r="G81" s="249"/>
      <c r="H81" s="249"/>
      <c r="I81" s="249"/>
      <c r="J81" s="250"/>
    </row>
    <row r="82" spans="1:10" hidden="1">
      <c r="A82" s="239" t="s">
        <v>125</v>
      </c>
      <c r="B82" s="249"/>
      <c r="C82" s="249"/>
      <c r="D82" s="249"/>
      <c r="E82" s="249"/>
      <c r="F82" s="249"/>
      <c r="G82" s="249"/>
      <c r="H82" s="249"/>
      <c r="I82" s="249"/>
      <c r="J82" s="250"/>
    </row>
    <row r="83" spans="1:10" hidden="1">
      <c r="A83" s="99" t="s">
        <v>126</v>
      </c>
      <c r="B83" s="101" t="s">
        <v>96</v>
      </c>
      <c r="C83" s="101" t="s">
        <v>97</v>
      </c>
      <c r="D83" s="101" t="s">
        <v>98</v>
      </c>
      <c r="E83" s="101" t="s">
        <v>99</v>
      </c>
      <c r="F83" s="101" t="s">
        <v>100</v>
      </c>
      <c r="G83" s="101" t="s">
        <v>101</v>
      </c>
      <c r="H83" s="101" t="s">
        <v>102</v>
      </c>
      <c r="I83" s="101" t="s">
        <v>103</v>
      </c>
      <c r="J83" s="102" t="s">
        <v>104</v>
      </c>
    </row>
    <row r="84" spans="1:10" hidden="1">
      <c r="A84" s="391" t="s">
        <v>127</v>
      </c>
      <c r="B84" s="120">
        <f>C59</f>
        <v>423.41249999999997</v>
      </c>
      <c r="C84" s="120">
        <f>B84-B86</f>
        <v>423.41249999999997</v>
      </c>
      <c r="D84" s="120">
        <f t="shared" ref="D84:J84" si="9">+C85-C87</f>
        <v>366.95749999999992</v>
      </c>
      <c r="E84" s="120">
        <f t="shared" si="9"/>
        <v>310.50249999999988</v>
      </c>
      <c r="F84" s="120">
        <f t="shared" si="9"/>
        <v>254.04749999999987</v>
      </c>
      <c r="G84" s="120">
        <f t="shared" si="9"/>
        <v>197.59249999999989</v>
      </c>
      <c r="H84" s="120">
        <f t="shared" si="9"/>
        <v>141.1374999999999</v>
      </c>
      <c r="I84" s="120">
        <f t="shared" si="9"/>
        <v>84.682499999999919</v>
      </c>
      <c r="J84" s="121">
        <f t="shared" si="9"/>
        <v>28.227499999999921</v>
      </c>
    </row>
    <row r="85" spans="1:10" hidden="1">
      <c r="A85" s="251"/>
      <c r="B85" s="120"/>
      <c r="C85" s="120">
        <f t="shared" ref="C85:J85" si="10">+C84-C86</f>
        <v>395.18499999999995</v>
      </c>
      <c r="D85" s="120">
        <f t="shared" si="10"/>
        <v>338.7299999999999</v>
      </c>
      <c r="E85" s="120">
        <f t="shared" si="10"/>
        <v>282.27499999999986</v>
      </c>
      <c r="F85" s="120">
        <f t="shared" si="10"/>
        <v>225.81999999999988</v>
      </c>
      <c r="G85" s="120">
        <f t="shared" si="10"/>
        <v>169.3649999999999</v>
      </c>
      <c r="H85" s="120">
        <f t="shared" si="10"/>
        <v>112.90999999999991</v>
      </c>
      <c r="I85" s="120">
        <f t="shared" si="10"/>
        <v>56.45499999999992</v>
      </c>
      <c r="J85" s="121">
        <f t="shared" si="10"/>
        <v>-7.815970093361102E-14</v>
      </c>
    </row>
    <row r="86" spans="1:10" hidden="1">
      <c r="A86" s="808" t="s">
        <v>128</v>
      </c>
      <c r="B86" s="120">
        <v>0</v>
      </c>
      <c r="C86" s="120">
        <f>+$B$84/15</f>
        <v>28.227499999999999</v>
      </c>
      <c r="D86" s="120">
        <f t="shared" ref="D86:J87" si="11">+$B$84/15</f>
        <v>28.227499999999999</v>
      </c>
      <c r="E86" s="120">
        <f t="shared" si="11"/>
        <v>28.227499999999999</v>
      </c>
      <c r="F86" s="120">
        <f t="shared" si="11"/>
        <v>28.227499999999999</v>
      </c>
      <c r="G86" s="120">
        <f t="shared" si="11"/>
        <v>28.227499999999999</v>
      </c>
      <c r="H86" s="120">
        <f t="shared" si="11"/>
        <v>28.227499999999999</v>
      </c>
      <c r="I86" s="120">
        <f t="shared" si="11"/>
        <v>28.227499999999999</v>
      </c>
      <c r="J86" s="121">
        <f t="shared" si="11"/>
        <v>28.227499999999999</v>
      </c>
    </row>
    <row r="87" spans="1:10" hidden="1">
      <c r="A87" s="808"/>
      <c r="B87" s="120">
        <v>0</v>
      </c>
      <c r="C87" s="120">
        <f>+$B$84/15</f>
        <v>28.227499999999999</v>
      </c>
      <c r="D87" s="120">
        <f t="shared" si="11"/>
        <v>28.227499999999999</v>
      </c>
      <c r="E87" s="120">
        <f t="shared" si="11"/>
        <v>28.227499999999999</v>
      </c>
      <c r="F87" s="120">
        <f t="shared" si="11"/>
        <v>28.227499999999999</v>
      </c>
      <c r="G87" s="120">
        <f t="shared" si="11"/>
        <v>28.227499999999999</v>
      </c>
      <c r="H87" s="120">
        <f t="shared" si="11"/>
        <v>28.227499999999999</v>
      </c>
      <c r="I87" s="120">
        <f t="shared" si="11"/>
        <v>28.227499999999999</v>
      </c>
      <c r="J87" s="121">
        <f t="shared" si="11"/>
        <v>28.227499999999999</v>
      </c>
    </row>
    <row r="88" spans="1:10" hidden="1">
      <c r="A88" s="391" t="s">
        <v>129</v>
      </c>
      <c r="B88" s="120">
        <f t="shared" ref="B88:J88" si="12">SUM(B86:B87)</f>
        <v>0</v>
      </c>
      <c r="C88" s="120">
        <f t="shared" si="12"/>
        <v>56.454999999999998</v>
      </c>
      <c r="D88" s="120">
        <f t="shared" si="12"/>
        <v>56.454999999999998</v>
      </c>
      <c r="E88" s="120">
        <f t="shared" si="12"/>
        <v>56.454999999999998</v>
      </c>
      <c r="F88" s="120">
        <f t="shared" si="12"/>
        <v>56.454999999999998</v>
      </c>
      <c r="G88" s="120">
        <f t="shared" si="12"/>
        <v>56.454999999999998</v>
      </c>
      <c r="H88" s="120">
        <f t="shared" si="12"/>
        <v>56.454999999999998</v>
      </c>
      <c r="I88" s="120">
        <f t="shared" si="12"/>
        <v>56.454999999999998</v>
      </c>
      <c r="J88" s="121">
        <f t="shared" si="12"/>
        <v>56.454999999999998</v>
      </c>
    </row>
    <row r="89" spans="1:10" hidden="1">
      <c r="A89" s="808" t="s">
        <v>130</v>
      </c>
      <c r="B89" s="120">
        <f>+B84*$B$81/2</f>
        <v>21.170625000000001</v>
      </c>
      <c r="C89" s="120">
        <f>+C84*$B$81/2</f>
        <v>21.170625000000001</v>
      </c>
      <c r="D89" s="120">
        <f t="shared" ref="D89:J89" si="13">+D84*$B$81/2</f>
        <v>18.347874999999998</v>
      </c>
      <c r="E89" s="120">
        <f t="shared" si="13"/>
        <v>15.525124999999996</v>
      </c>
      <c r="F89" s="120">
        <f t="shared" si="13"/>
        <v>12.702374999999995</v>
      </c>
      <c r="G89" s="120">
        <f t="shared" si="13"/>
        <v>9.8796249999999954</v>
      </c>
      <c r="H89" s="120">
        <f t="shared" si="13"/>
        <v>7.0568749999999953</v>
      </c>
      <c r="I89" s="120">
        <f t="shared" si="13"/>
        <v>4.2341249999999961</v>
      </c>
      <c r="J89" s="121">
        <f t="shared" si="13"/>
        <v>1.411374999999996</v>
      </c>
    </row>
    <row r="90" spans="1:10" hidden="1">
      <c r="A90" s="808"/>
      <c r="B90" s="120">
        <f>+B89</f>
        <v>21.170625000000001</v>
      </c>
      <c r="C90" s="120">
        <f>+C85*$B$81/2</f>
        <v>19.759249999999998</v>
      </c>
      <c r="D90" s="120">
        <f t="shared" ref="D90:J90" si="14">+D85*$B$81/2</f>
        <v>16.936499999999995</v>
      </c>
      <c r="E90" s="120">
        <f t="shared" si="14"/>
        <v>14.113749999999994</v>
      </c>
      <c r="F90" s="120">
        <f t="shared" si="14"/>
        <v>11.290999999999995</v>
      </c>
      <c r="G90" s="120">
        <f t="shared" si="14"/>
        <v>8.4682499999999958</v>
      </c>
      <c r="H90" s="120">
        <f t="shared" si="14"/>
        <v>5.6454999999999957</v>
      </c>
      <c r="I90" s="120">
        <f t="shared" si="14"/>
        <v>2.8227499999999961</v>
      </c>
      <c r="J90" s="121">
        <f t="shared" si="14"/>
        <v>-3.9079850466805513E-15</v>
      </c>
    </row>
    <row r="91" spans="1:10" hidden="1">
      <c r="A91" s="252" t="s">
        <v>131</v>
      </c>
      <c r="B91" s="253">
        <f>+B89+B90</f>
        <v>42.341250000000002</v>
      </c>
      <c r="C91" s="253">
        <f>+C89+C90</f>
        <v>40.929874999999996</v>
      </c>
      <c r="D91" s="253">
        <f>+D89+D90</f>
        <v>35.284374999999997</v>
      </c>
      <c r="E91" s="253">
        <f>+E89+E90</f>
        <v>29.638874999999992</v>
      </c>
      <c r="F91" s="253">
        <f>+F89+F90</f>
        <v>23.99337499999999</v>
      </c>
      <c r="G91" s="253">
        <f>+G89+12</f>
        <v>21.879624999999997</v>
      </c>
      <c r="H91" s="253">
        <f>+H89+12</f>
        <v>19.056874999999994</v>
      </c>
      <c r="I91" s="253">
        <f>+I89+12</f>
        <v>16.234124999999995</v>
      </c>
      <c r="J91" s="240">
        <f>+J89+12</f>
        <v>13.411374999999996</v>
      </c>
    </row>
  </sheetData>
  <mergeCells count="26">
    <mergeCell ref="A41:E41"/>
    <mergeCell ref="A45:D45"/>
    <mergeCell ref="A55:C55"/>
    <mergeCell ref="A56:C56"/>
    <mergeCell ref="A7:F7"/>
    <mergeCell ref="A9:A10"/>
    <mergeCell ref="A11:A13"/>
    <mergeCell ref="A15:A22"/>
    <mergeCell ref="E15:E22"/>
    <mergeCell ref="A23:A30"/>
    <mergeCell ref="E23:E30"/>
    <mergeCell ref="I23:N23"/>
    <mergeCell ref="A1:F1"/>
    <mergeCell ref="A36:E36"/>
    <mergeCell ref="A37:E37"/>
    <mergeCell ref="A40:E40"/>
    <mergeCell ref="B3:B4"/>
    <mergeCell ref="A3:A4"/>
    <mergeCell ref="A5:A6"/>
    <mergeCell ref="B5:B6"/>
    <mergeCell ref="A86:A87"/>
    <mergeCell ref="A89:A90"/>
    <mergeCell ref="A63:D63"/>
    <mergeCell ref="A62:S62"/>
    <mergeCell ref="A79:J79"/>
    <mergeCell ref="A80:J8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43DE-1E73-4E9A-827D-AD32D80B3E64}">
  <sheetPr codeName="Sheet8"/>
  <dimension ref="A1:F86"/>
  <sheetViews>
    <sheetView showGridLines="0" topLeftCell="A21" zoomScale="93" zoomScaleNormal="93" workbookViewId="0">
      <selection activeCell="B24" sqref="B24"/>
    </sheetView>
  </sheetViews>
  <sheetFormatPr defaultColWidth="9.140625" defaultRowHeight="15"/>
  <cols>
    <col min="1" max="1" width="40.5703125" style="172" customWidth="1"/>
    <col min="2" max="2" width="54" style="172" bestFit="1" customWidth="1"/>
    <col min="3" max="3" width="28.7109375" style="172" bestFit="1" customWidth="1"/>
    <col min="4" max="4" width="28.7109375" style="172" customWidth="1"/>
    <col min="5" max="5" width="15.28515625" style="172" bestFit="1" customWidth="1"/>
    <col min="6" max="6" width="11.85546875" style="172" bestFit="1" customWidth="1"/>
    <col min="7" max="8" width="12" style="172" bestFit="1" customWidth="1"/>
    <col min="9" max="16384" width="9.140625" style="172"/>
  </cols>
  <sheetData>
    <row r="1" spans="1:6" ht="19.5" hidden="1" customHeight="1">
      <c r="A1" s="840" t="s">
        <v>369</v>
      </c>
      <c r="B1" s="841"/>
      <c r="C1" s="841"/>
      <c r="D1" s="841"/>
      <c r="E1" s="842"/>
    </row>
    <row r="2" spans="1:6" hidden="1">
      <c r="A2" s="143"/>
      <c r="B2" s="144"/>
      <c r="C2" s="145"/>
      <c r="D2" s="145"/>
      <c r="E2" s="146" t="s">
        <v>64</v>
      </c>
    </row>
    <row r="3" spans="1:6" hidden="1">
      <c r="A3" s="10" t="s">
        <v>32</v>
      </c>
      <c r="B3" s="11" t="s">
        <v>33</v>
      </c>
      <c r="C3" s="11" t="s">
        <v>50</v>
      </c>
      <c r="D3" s="11"/>
      <c r="E3" s="30">
        <f>E4+E12</f>
        <v>550.54999999999995</v>
      </c>
      <c r="F3" s="344" t="s">
        <v>330</v>
      </c>
    </row>
    <row r="4" spans="1:6" hidden="1">
      <c r="A4" s="8" t="s">
        <v>34</v>
      </c>
      <c r="B4" s="5" t="s">
        <v>35</v>
      </c>
      <c r="C4" s="5"/>
      <c r="D4" s="5"/>
      <c r="E4" s="21">
        <f>SUM(E5:E11)</f>
        <v>407.55</v>
      </c>
    </row>
    <row r="5" spans="1:6" hidden="1">
      <c r="A5" s="9">
        <v>1</v>
      </c>
      <c r="B5" s="6" t="s">
        <v>67</v>
      </c>
      <c r="C5" s="7"/>
      <c r="D5" s="7"/>
      <c r="E5" s="15">
        <v>275</v>
      </c>
      <c r="F5" s="344" t="s">
        <v>331</v>
      </c>
    </row>
    <row r="6" spans="1:6" hidden="1">
      <c r="A6" s="9">
        <v>2</v>
      </c>
      <c r="B6" s="412" t="s">
        <v>36</v>
      </c>
      <c r="C6" s="413"/>
      <c r="D6" s="413">
        <v>0.2</v>
      </c>
      <c r="E6" s="414">
        <v>55</v>
      </c>
    </row>
    <row r="7" spans="1:6" hidden="1">
      <c r="A7" s="9">
        <v>3</v>
      </c>
      <c r="B7" s="412" t="s">
        <v>37</v>
      </c>
      <c r="C7" s="413"/>
      <c r="D7" s="413">
        <v>0.18</v>
      </c>
      <c r="E7" s="414">
        <v>49.5</v>
      </c>
    </row>
    <row r="8" spans="1:6" hidden="1">
      <c r="A8" s="9">
        <v>4</v>
      </c>
      <c r="B8" s="412" t="s">
        <v>38</v>
      </c>
      <c r="C8" s="413"/>
      <c r="D8" s="413">
        <v>0.02</v>
      </c>
      <c r="E8" s="414">
        <v>5.5</v>
      </c>
      <c r="F8" s="172" t="s">
        <v>352</v>
      </c>
    </row>
    <row r="9" spans="1:6" hidden="1">
      <c r="A9" s="9">
        <v>5</v>
      </c>
      <c r="B9" s="412" t="s">
        <v>39</v>
      </c>
      <c r="C9" s="413"/>
      <c r="D9" s="413">
        <v>0.01</v>
      </c>
      <c r="E9" s="414">
        <v>2.75</v>
      </c>
    </row>
    <row r="10" spans="1:6" hidden="1">
      <c r="A10" s="9">
        <v>6</v>
      </c>
      <c r="B10" s="412" t="s">
        <v>40</v>
      </c>
      <c r="C10" s="413"/>
      <c r="D10" s="413">
        <v>0.02</v>
      </c>
      <c r="E10" s="414">
        <v>6.05</v>
      </c>
    </row>
    <row r="11" spans="1:6" hidden="1">
      <c r="A11" s="9">
        <v>7</v>
      </c>
      <c r="B11" s="412" t="s">
        <v>41</v>
      </c>
      <c r="C11" s="413"/>
      <c r="D11" s="413">
        <v>0.05</v>
      </c>
      <c r="E11" s="414">
        <v>13.75</v>
      </c>
    </row>
    <row r="12" spans="1:6" hidden="1">
      <c r="A12" s="9" t="s">
        <v>42</v>
      </c>
      <c r="B12" s="5" t="s">
        <v>43</v>
      </c>
      <c r="C12" s="5"/>
      <c r="D12" s="5"/>
      <c r="E12" s="21">
        <v>143</v>
      </c>
      <c r="F12" s="344" t="s">
        <v>353</v>
      </c>
    </row>
    <row r="13" spans="1:6" hidden="1">
      <c r="A13" s="8" t="s">
        <v>44</v>
      </c>
      <c r="B13" s="5" t="s">
        <v>45</v>
      </c>
      <c r="C13" s="5"/>
      <c r="D13" s="5"/>
      <c r="E13" s="386">
        <v>14</v>
      </c>
      <c r="F13" s="344" t="s">
        <v>336</v>
      </c>
    </row>
    <row r="14" spans="1:6" hidden="1">
      <c r="A14" s="9"/>
      <c r="B14" s="6"/>
      <c r="C14" s="7"/>
      <c r="D14" s="7"/>
      <c r="E14" s="16"/>
      <c r="F14" s="444" t="s">
        <v>370</v>
      </c>
    </row>
    <row r="15" spans="1:6" hidden="1">
      <c r="A15" s="147"/>
      <c r="B15" s="148" t="s">
        <v>46</v>
      </c>
      <c r="C15" s="148" t="s">
        <v>193</v>
      </c>
      <c r="D15" s="148"/>
      <c r="E15" s="319">
        <f>E3+E13</f>
        <v>564.54999999999995</v>
      </c>
    </row>
    <row r="16" spans="1:6" ht="25.5" hidden="1">
      <c r="A16" s="333"/>
      <c r="B16" s="256" t="s">
        <v>91</v>
      </c>
      <c r="C16" s="256" t="s">
        <v>93</v>
      </c>
      <c r="D16" s="411"/>
      <c r="E16" s="332" t="s">
        <v>92</v>
      </c>
    </row>
    <row r="17" spans="1:6" hidden="1">
      <c r="A17" s="843" t="s">
        <v>294</v>
      </c>
      <c r="B17" s="334" t="s">
        <v>85</v>
      </c>
      <c r="C17" s="335">
        <f>E17*C$19</f>
        <v>187</v>
      </c>
      <c r="D17" s="335"/>
      <c r="E17" s="384">
        <v>0.68</v>
      </c>
      <c r="F17" s="344" t="s">
        <v>332</v>
      </c>
    </row>
    <row r="18" spans="1:6" hidden="1">
      <c r="A18" s="843"/>
      <c r="B18" s="334" t="s">
        <v>86</v>
      </c>
      <c r="C18" s="335">
        <f>E18*C$19</f>
        <v>88</v>
      </c>
      <c r="D18" s="335"/>
      <c r="E18" s="384">
        <v>0.32</v>
      </c>
    </row>
    <row r="19" spans="1:6" hidden="1">
      <c r="A19" s="844"/>
      <c r="B19" s="125"/>
      <c r="C19" s="336">
        <f>E5</f>
        <v>275</v>
      </c>
      <c r="D19" s="336"/>
      <c r="E19" s="337"/>
    </row>
    <row r="20" spans="1:6" hidden="1">
      <c r="A20" s="527"/>
      <c r="B20" s="528"/>
      <c r="C20" s="529"/>
      <c r="D20" s="529"/>
      <c r="E20" s="528"/>
    </row>
    <row r="21" spans="1:6" s="726" customFormat="1" ht="12.75">
      <c r="A21" s="527"/>
      <c r="B21" s="528"/>
      <c r="C21" s="529"/>
      <c r="D21" s="529"/>
      <c r="E21" s="528"/>
    </row>
    <row r="22" spans="1:6" s="726" customFormat="1" ht="12.75">
      <c r="A22" s="727" t="s">
        <v>115</v>
      </c>
      <c r="B22" s="727" t="s">
        <v>64</v>
      </c>
      <c r="C22" s="529"/>
      <c r="D22" s="529"/>
      <c r="E22" s="528"/>
    </row>
    <row r="23" spans="1:6" s="726" customFormat="1" ht="12.75">
      <c r="A23" s="728" t="s">
        <v>575</v>
      </c>
      <c r="B23" s="665">
        <v>0</v>
      </c>
      <c r="C23" s="529"/>
      <c r="D23" s="529"/>
      <c r="E23" s="528"/>
    </row>
    <row r="24" spans="1:6" s="726" customFormat="1" ht="12.75">
      <c r="A24" s="728" t="s">
        <v>576</v>
      </c>
      <c r="B24" s="666">
        <f>D41</f>
        <v>8.254999999999999</v>
      </c>
      <c r="C24" s="529"/>
      <c r="D24" s="529"/>
      <c r="E24" s="528"/>
    </row>
    <row r="25" spans="1:6" s="726" customFormat="1" ht="12.75">
      <c r="A25" s="728" t="s">
        <v>577</v>
      </c>
      <c r="B25" s="666">
        <f>B64</f>
        <v>324.84374999999994</v>
      </c>
      <c r="C25" s="529"/>
      <c r="D25" s="529"/>
      <c r="E25" s="528"/>
    </row>
    <row r="26" spans="1:6" s="726" customFormat="1" ht="12.75">
      <c r="A26" s="728" t="s">
        <v>434</v>
      </c>
      <c r="B26" s="666">
        <f>B75</f>
        <v>15</v>
      </c>
      <c r="C26" s="529"/>
      <c r="D26" s="529"/>
      <c r="E26" s="528"/>
    </row>
    <row r="27" spans="1:6" s="726" customFormat="1" ht="12.75">
      <c r="A27" s="728" t="s">
        <v>447</v>
      </c>
      <c r="B27" s="666">
        <f>B49</f>
        <v>20</v>
      </c>
      <c r="C27" s="529"/>
      <c r="D27" s="529"/>
      <c r="E27" s="528"/>
    </row>
    <row r="28" spans="1:6" s="726" customFormat="1" ht="12.75">
      <c r="A28" s="728" t="s">
        <v>578</v>
      </c>
      <c r="B28" s="703">
        <f>B86</f>
        <v>2</v>
      </c>
      <c r="C28" s="529"/>
      <c r="D28" s="529"/>
      <c r="E28" s="528"/>
    </row>
    <row r="29" spans="1:6" s="726" customFormat="1" ht="12.75">
      <c r="A29" s="728" t="s">
        <v>422</v>
      </c>
      <c r="B29" s="666">
        <f>B53</f>
        <v>37.009874999999994</v>
      </c>
      <c r="C29" s="529"/>
      <c r="D29" s="529"/>
      <c r="E29" s="528"/>
    </row>
    <row r="30" spans="1:6" s="726" customFormat="1" ht="12.75">
      <c r="A30" s="728" t="s">
        <v>579</v>
      </c>
      <c r="B30" s="666">
        <f>+B34*C30</f>
        <v>10.829202970611577</v>
      </c>
      <c r="C30" s="529">
        <f>'Bal sheet'!E55</f>
        <v>43.316811882446309</v>
      </c>
      <c r="D30" s="669"/>
      <c r="E30" s="711"/>
    </row>
    <row r="31" spans="1:6" s="726" customFormat="1" ht="12.75">
      <c r="A31" s="729" t="s">
        <v>580</v>
      </c>
      <c r="B31" s="730">
        <f>SUM(B24:B30)</f>
        <v>417.93782797061152</v>
      </c>
      <c r="C31" s="669">
        <f>B31*2%</f>
        <v>8.3587565594122299</v>
      </c>
      <c r="D31" s="529"/>
      <c r="E31" s="711"/>
    </row>
    <row r="32" spans="1:6" s="726" customFormat="1" ht="12.75">
      <c r="A32" s="728" t="s">
        <v>581</v>
      </c>
      <c r="B32" s="666">
        <f>'Cashflow '!D132</f>
        <v>34.479870807575452</v>
      </c>
      <c r="C32" s="669"/>
      <c r="D32" s="529"/>
      <c r="E32" s="528"/>
    </row>
    <row r="33" spans="1:5" s="726" customFormat="1" ht="12.75">
      <c r="A33" s="88" t="s">
        <v>645</v>
      </c>
      <c r="B33" s="278">
        <f>B32+B31</f>
        <v>452.41769877818695</v>
      </c>
      <c r="C33" s="529"/>
      <c r="D33" s="529"/>
      <c r="E33" s="528"/>
    </row>
    <row r="34" spans="1:5" s="726" customFormat="1" ht="12.75">
      <c r="A34" s="728" t="s">
        <v>504</v>
      </c>
      <c r="B34" s="667">
        <v>0.25</v>
      </c>
      <c r="C34" s="529"/>
      <c r="D34" s="529"/>
      <c r="E34" s="528"/>
    </row>
    <row r="35" spans="1:5" s="726" customFormat="1" ht="12.75">
      <c r="A35" s="527"/>
      <c r="B35" s="528"/>
      <c r="C35" s="529"/>
      <c r="D35" s="529"/>
      <c r="E35" s="528"/>
    </row>
    <row r="36" spans="1:5" s="726" customFormat="1" ht="41.25" customHeight="1">
      <c r="A36" s="839"/>
      <c r="B36" s="839"/>
      <c r="C36" s="839"/>
      <c r="D36" s="839"/>
      <c r="E36" s="839"/>
    </row>
    <row r="37" spans="1:5" s="726" customFormat="1" ht="12.75">
      <c r="A37" s="460" t="s">
        <v>416</v>
      </c>
      <c r="B37" s="460" t="s">
        <v>417</v>
      </c>
      <c r="C37" s="460" t="s">
        <v>448</v>
      </c>
      <c r="D37" s="460" t="s">
        <v>388</v>
      </c>
      <c r="E37" s="731"/>
    </row>
    <row r="38" spans="1:5" s="726" customFormat="1" ht="12.75">
      <c r="A38" s="460"/>
      <c r="B38" s="460" t="s">
        <v>418</v>
      </c>
      <c r="C38" s="460"/>
      <c r="D38" s="460" t="s">
        <v>64</v>
      </c>
      <c r="E38" s="731"/>
    </row>
    <row r="39" spans="1:5" s="726" customFormat="1" ht="12.75">
      <c r="A39" s="460" t="s">
        <v>419</v>
      </c>
      <c r="B39" s="460">
        <f>31*42</f>
        <v>1302</v>
      </c>
      <c r="C39" s="460">
        <v>25000</v>
      </c>
      <c r="D39" s="463">
        <f>(C39*B39)/10^7</f>
        <v>3.2549999999999999</v>
      </c>
      <c r="E39" s="731"/>
    </row>
    <row r="40" spans="1:5" s="726" customFormat="1" ht="63.75">
      <c r="A40" s="461" t="s">
        <v>420</v>
      </c>
      <c r="B40" s="464" t="s">
        <v>421</v>
      </c>
      <c r="C40" s="460"/>
      <c r="D40" s="460">
        <v>5</v>
      </c>
      <c r="E40" s="731"/>
    </row>
    <row r="41" spans="1:5" s="726" customFormat="1" ht="12.75">
      <c r="A41" s="460" t="s">
        <v>73</v>
      </c>
      <c r="B41" s="460"/>
      <c r="C41" s="460"/>
      <c r="D41" s="463">
        <f>SUM(D39:D40)</f>
        <v>8.254999999999999</v>
      </c>
      <c r="E41" s="731"/>
    </row>
    <row r="42" spans="1:5" s="726" customFormat="1" ht="12.75">
      <c r="A42" s="460"/>
      <c r="B42" s="460"/>
      <c r="C42" s="460"/>
      <c r="D42" s="460"/>
      <c r="E42" s="731"/>
    </row>
    <row r="43" spans="1:5" s="726" customFormat="1" ht="12.75">
      <c r="A43" s="460"/>
      <c r="B43" s="460"/>
      <c r="C43" s="460"/>
      <c r="D43" s="460"/>
      <c r="E43" s="731"/>
    </row>
    <row r="44" spans="1:5" s="726" customFormat="1" ht="12.75">
      <c r="A44" s="460" t="s">
        <v>422</v>
      </c>
      <c r="B44" s="460"/>
      <c r="C44" s="460"/>
      <c r="D44" s="460"/>
      <c r="E44" s="731"/>
    </row>
    <row r="45" spans="1:5" s="726" customFormat="1" ht="12.75">
      <c r="A45" s="460" t="s">
        <v>9</v>
      </c>
      <c r="B45" s="460" t="s">
        <v>64</v>
      </c>
      <c r="C45" s="460"/>
      <c r="D45" s="460"/>
      <c r="E45" s="731"/>
    </row>
    <row r="46" spans="1:5" s="726" customFormat="1" ht="12.75">
      <c r="A46" s="460" t="s">
        <v>423</v>
      </c>
      <c r="B46" s="463">
        <f>D41</f>
        <v>8.254999999999999</v>
      </c>
      <c r="C46" s="460"/>
      <c r="D46" s="460"/>
      <c r="E46" s="731"/>
    </row>
    <row r="47" spans="1:5" s="726" customFormat="1" ht="12.75">
      <c r="A47" s="460" t="s">
        <v>424</v>
      </c>
      <c r="B47" s="467">
        <f>B64</f>
        <v>324.84374999999994</v>
      </c>
      <c r="C47" s="460"/>
      <c r="D47" s="460"/>
      <c r="E47" s="731"/>
    </row>
    <row r="48" spans="1:5" s="726" customFormat="1" ht="12.75">
      <c r="A48" s="460" t="s">
        <v>434</v>
      </c>
      <c r="B48" s="460">
        <f>B75</f>
        <v>15</v>
      </c>
      <c r="C48" s="460"/>
      <c r="D48" s="460"/>
      <c r="E48" s="731"/>
    </row>
    <row r="49" spans="1:5" s="726" customFormat="1" ht="12.75">
      <c r="A49" s="460" t="s">
        <v>447</v>
      </c>
      <c r="B49" s="460">
        <v>20</v>
      </c>
      <c r="C49" s="460"/>
      <c r="D49" s="460"/>
      <c r="E49" s="731"/>
    </row>
    <row r="50" spans="1:5" s="726" customFormat="1" ht="12.75">
      <c r="A50" s="460" t="s">
        <v>425</v>
      </c>
      <c r="B50" s="460">
        <v>2</v>
      </c>
      <c r="C50" s="460"/>
      <c r="D50" s="460"/>
      <c r="E50" s="731"/>
    </row>
    <row r="51" spans="1:5" s="726" customFormat="1" ht="12.75">
      <c r="A51" s="460" t="s">
        <v>73</v>
      </c>
      <c r="B51" s="467">
        <f>SUM(B46:B50)</f>
        <v>370.09874999999994</v>
      </c>
      <c r="C51" s="460"/>
      <c r="D51" s="460"/>
      <c r="E51" s="731"/>
    </row>
    <row r="52" spans="1:5" s="726" customFormat="1" ht="12.75">
      <c r="A52" s="460"/>
      <c r="B52" s="460"/>
      <c r="C52" s="460"/>
      <c r="D52" s="460"/>
      <c r="E52" s="731"/>
    </row>
    <row r="53" spans="1:5" s="726" customFormat="1" ht="12.75">
      <c r="A53" s="460" t="s">
        <v>426</v>
      </c>
      <c r="B53" s="467">
        <f>B51*0.1</f>
        <v>37.009874999999994</v>
      </c>
      <c r="C53" s="460"/>
      <c r="D53" s="460"/>
      <c r="E53" s="731"/>
    </row>
    <row r="54" spans="1:5" s="726" customFormat="1" ht="12.75">
      <c r="A54" s="460"/>
      <c r="B54" s="460"/>
      <c r="C54" s="460"/>
      <c r="D54" s="460"/>
      <c r="E54" s="731"/>
    </row>
    <row r="55" spans="1:5" s="726" customFormat="1" ht="12.75">
      <c r="A55" s="460"/>
      <c r="B55" s="460"/>
      <c r="C55" s="460"/>
      <c r="D55" s="460"/>
      <c r="E55" s="731"/>
    </row>
    <row r="56" spans="1:5" s="726" customFormat="1" ht="12.75">
      <c r="A56" s="460"/>
      <c r="B56" s="460"/>
      <c r="C56" s="460"/>
      <c r="D56" s="460"/>
      <c r="E56" s="731"/>
    </row>
    <row r="57" spans="1:5" s="726" customFormat="1" ht="12.75">
      <c r="A57" s="460" t="s">
        <v>427</v>
      </c>
      <c r="B57" s="460" t="s">
        <v>64</v>
      </c>
      <c r="C57" s="460"/>
      <c r="D57" s="460"/>
      <c r="E57" s="731"/>
    </row>
    <row r="58" spans="1:5" s="726" customFormat="1" ht="12.75">
      <c r="A58" s="460" t="s">
        <v>428</v>
      </c>
      <c r="B58" s="462">
        <v>275</v>
      </c>
      <c r="C58" s="460"/>
      <c r="D58" s="460"/>
      <c r="E58" s="731"/>
    </row>
    <row r="59" spans="1:5" s="726" customFormat="1" ht="12.75">
      <c r="A59" s="460" t="s">
        <v>429</v>
      </c>
      <c r="B59" s="462">
        <f>5%*B58</f>
        <v>13.75</v>
      </c>
      <c r="C59" s="460"/>
      <c r="D59" s="460"/>
      <c r="E59" s="731"/>
    </row>
    <row r="60" spans="1:5" s="726" customFormat="1" ht="12.75">
      <c r="A60" s="460" t="s">
        <v>430</v>
      </c>
      <c r="B60" s="462">
        <f>1%*(B58+B59)</f>
        <v>2.8875000000000002</v>
      </c>
      <c r="C60" s="460"/>
      <c r="D60" s="460"/>
      <c r="E60" s="731"/>
    </row>
    <row r="61" spans="1:5" s="726" customFormat="1" ht="12.75">
      <c r="A61" s="460" t="s">
        <v>431</v>
      </c>
      <c r="B61" s="462">
        <f>2%*(B58+B59)</f>
        <v>5.7750000000000004</v>
      </c>
      <c r="C61" s="460"/>
      <c r="D61" s="460"/>
      <c r="E61" s="731"/>
    </row>
    <row r="62" spans="1:5" s="726" customFormat="1" ht="12.75">
      <c r="A62" s="460" t="s">
        <v>432</v>
      </c>
      <c r="B62" s="462">
        <f>7.5%*(B58+B59)</f>
        <v>21.65625</v>
      </c>
      <c r="C62" s="460"/>
      <c r="D62" s="460"/>
      <c r="E62" s="731"/>
    </row>
    <row r="63" spans="1:5" s="726" customFormat="1" ht="12.75">
      <c r="A63" s="460" t="s">
        <v>433</v>
      </c>
      <c r="B63" s="462">
        <f>2%*(B58+B59)</f>
        <v>5.7750000000000004</v>
      </c>
      <c r="C63" s="460"/>
      <c r="D63" s="460"/>
      <c r="E63" s="731"/>
    </row>
    <row r="64" spans="1:5" s="726" customFormat="1" ht="12.75">
      <c r="A64" s="460" t="s">
        <v>73</v>
      </c>
      <c r="B64" s="462">
        <f>SUM(B58:B63)</f>
        <v>324.84374999999994</v>
      </c>
      <c r="C64" s="460"/>
      <c r="D64" s="460"/>
      <c r="E64" s="731"/>
    </row>
    <row r="65" spans="1:5" s="726" customFormat="1" ht="12.75">
      <c r="A65" s="460"/>
      <c r="B65" s="460"/>
      <c r="C65" s="460"/>
      <c r="D65" s="460"/>
      <c r="E65" s="731"/>
    </row>
    <row r="66" spans="1:5" s="726" customFormat="1" ht="12.75">
      <c r="A66" s="460" t="s">
        <v>434</v>
      </c>
      <c r="B66" s="460"/>
      <c r="C66" s="460"/>
      <c r="D66" s="460"/>
      <c r="E66" s="731"/>
    </row>
    <row r="67" spans="1:5" s="726" customFormat="1" ht="12.75">
      <c r="A67" s="460"/>
      <c r="B67" s="460"/>
      <c r="C67" s="460"/>
      <c r="D67" s="460"/>
      <c r="E67" s="731"/>
    </row>
    <row r="68" spans="1:5" s="726" customFormat="1" ht="12.75">
      <c r="A68" s="460" t="s">
        <v>435</v>
      </c>
      <c r="B68" s="460"/>
      <c r="C68" s="460"/>
      <c r="D68" s="460"/>
      <c r="E68" s="731"/>
    </row>
    <row r="69" spans="1:5" s="726" customFormat="1" ht="12.75">
      <c r="A69" s="460" t="s">
        <v>436</v>
      </c>
      <c r="B69" s="460"/>
      <c r="C69" s="460"/>
      <c r="D69" s="460"/>
      <c r="E69" s="731"/>
    </row>
    <row r="70" spans="1:5" s="726" customFormat="1" ht="12.75">
      <c r="A70" s="460" t="s">
        <v>437</v>
      </c>
      <c r="B70" s="460"/>
      <c r="C70" s="460"/>
      <c r="D70" s="460"/>
      <c r="E70" s="731"/>
    </row>
    <row r="71" spans="1:5" s="726" customFormat="1" ht="12.75">
      <c r="A71" s="460" t="s">
        <v>438</v>
      </c>
      <c r="B71" s="460"/>
      <c r="C71" s="460"/>
      <c r="D71" s="460"/>
      <c r="E71" s="731"/>
    </row>
    <row r="72" spans="1:5" s="726" customFormat="1" ht="12.75">
      <c r="A72" s="460" t="s">
        <v>439</v>
      </c>
      <c r="B72" s="460"/>
      <c r="C72" s="460"/>
      <c r="D72" s="460"/>
      <c r="E72" s="731"/>
    </row>
    <row r="73" spans="1:5" s="726" customFormat="1" ht="12.75">
      <c r="A73" s="460" t="s">
        <v>440</v>
      </c>
      <c r="B73" s="460"/>
      <c r="C73" s="460"/>
      <c r="D73" s="460"/>
      <c r="E73" s="731"/>
    </row>
    <row r="74" spans="1:5" s="726" customFormat="1" ht="12.75">
      <c r="A74" s="460" t="s">
        <v>450</v>
      </c>
      <c r="B74" s="460"/>
      <c r="C74" s="460"/>
      <c r="D74" s="460"/>
      <c r="E74" s="731"/>
    </row>
    <row r="75" spans="1:5" s="726" customFormat="1" ht="12.75">
      <c r="A75" s="460" t="s">
        <v>73</v>
      </c>
      <c r="B75" s="460">
        <v>15</v>
      </c>
      <c r="C75" s="460"/>
      <c r="D75" s="460"/>
      <c r="E75" s="731"/>
    </row>
    <row r="76" spans="1:5" s="726" customFormat="1" ht="12.75">
      <c r="A76" s="460"/>
      <c r="B76" s="460"/>
      <c r="C76" s="460"/>
      <c r="D76" s="460"/>
      <c r="E76" s="731"/>
    </row>
    <row r="77" spans="1:5" s="726" customFormat="1" ht="12.75">
      <c r="A77" s="460"/>
      <c r="B77" s="460"/>
      <c r="C77" s="460"/>
      <c r="D77" s="460"/>
      <c r="E77" s="731"/>
    </row>
    <row r="78" spans="1:5" s="726" customFormat="1" ht="12.75">
      <c r="A78" s="460" t="s">
        <v>441</v>
      </c>
      <c r="B78" s="460"/>
      <c r="C78" s="460"/>
      <c r="D78" s="460"/>
      <c r="E78" s="731"/>
    </row>
    <row r="79" spans="1:5" s="726" customFormat="1" ht="12.75">
      <c r="A79" s="460"/>
      <c r="B79" s="460"/>
      <c r="C79" s="460"/>
      <c r="D79" s="460"/>
      <c r="E79" s="731"/>
    </row>
    <row r="80" spans="1:5" s="726" customFormat="1" ht="12.75">
      <c r="A80" s="460" t="s">
        <v>9</v>
      </c>
      <c r="B80" s="460"/>
      <c r="C80" s="460"/>
      <c r="D80" s="460"/>
      <c r="E80" s="731"/>
    </row>
    <row r="81" spans="1:5" s="726" customFormat="1" ht="12.75">
      <c r="A81" s="460" t="s">
        <v>442</v>
      </c>
      <c r="B81" s="460"/>
      <c r="C81" s="460"/>
      <c r="D81" s="460"/>
      <c r="E81" s="731"/>
    </row>
    <row r="82" spans="1:5" s="726" customFormat="1" ht="12.75">
      <c r="A82" s="460" t="s">
        <v>443</v>
      </c>
      <c r="B82" s="460"/>
      <c r="C82" s="460"/>
      <c r="D82" s="460"/>
      <c r="E82" s="731"/>
    </row>
    <row r="83" spans="1:5" s="726" customFormat="1" ht="12.75">
      <c r="A83" s="460" t="s">
        <v>444</v>
      </c>
      <c r="B83" s="460"/>
      <c r="C83" s="460"/>
      <c r="D83" s="460"/>
      <c r="E83" s="731"/>
    </row>
    <row r="84" spans="1:5" s="726" customFormat="1" ht="12.75">
      <c r="A84" s="460" t="s">
        <v>445</v>
      </c>
      <c r="B84" s="460"/>
      <c r="C84" s="460"/>
      <c r="D84" s="460"/>
      <c r="E84" s="731"/>
    </row>
    <row r="85" spans="1:5" s="726" customFormat="1" ht="12.75">
      <c r="A85" s="460" t="s">
        <v>446</v>
      </c>
      <c r="B85" s="460"/>
      <c r="C85" s="460"/>
      <c r="D85" s="460"/>
      <c r="E85" s="731"/>
    </row>
    <row r="86" spans="1:5" s="726" customFormat="1" ht="12.75">
      <c r="A86" s="460" t="s">
        <v>73</v>
      </c>
      <c r="B86" s="460">
        <v>2</v>
      </c>
      <c r="C86" s="460"/>
      <c r="D86" s="460"/>
      <c r="E86" s="731"/>
    </row>
  </sheetData>
  <mergeCells count="3">
    <mergeCell ref="A36:E36"/>
    <mergeCell ref="A1:E1"/>
    <mergeCell ref="A17:A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682C-53D5-4142-8C1E-789A57CBD2CE}">
  <sheetPr codeName="Sheet7"/>
  <dimension ref="A1:T29"/>
  <sheetViews>
    <sheetView showGridLines="0" topLeftCell="A2" zoomScale="90" zoomScaleNormal="90" workbookViewId="0">
      <selection activeCell="B35" sqref="B35"/>
    </sheetView>
  </sheetViews>
  <sheetFormatPr defaultColWidth="9.140625" defaultRowHeight="15"/>
  <cols>
    <col min="1" max="1" width="54.140625" style="172" customWidth="1"/>
    <col min="2" max="2" width="17.85546875" style="172" customWidth="1"/>
    <col min="3" max="3" width="18.140625" style="172" customWidth="1"/>
    <col min="4" max="4" width="14.7109375" style="344" hidden="1" customWidth="1"/>
    <col min="5" max="5" width="13.140625" style="172" customWidth="1"/>
    <col min="6" max="6" width="15.140625" style="172" bestFit="1" customWidth="1"/>
    <col min="7" max="7" width="14.42578125" style="172" customWidth="1"/>
    <col min="8" max="8" width="12.28515625" style="172" bestFit="1" customWidth="1"/>
    <col min="9" max="19" width="11.5703125" style="172" bestFit="1" customWidth="1"/>
    <col min="20" max="20" width="15.7109375" style="172" customWidth="1"/>
    <col min="21" max="21" width="15.140625" style="172" customWidth="1"/>
    <col min="22" max="31" width="9.140625" style="172" customWidth="1"/>
    <col min="32" max="16384" width="9.140625" style="172"/>
  </cols>
  <sheetData>
    <row r="1" spans="1:20">
      <c r="A1" s="845" t="s">
        <v>361</v>
      </c>
      <c r="B1" s="846"/>
      <c r="C1" s="846"/>
      <c r="D1" s="846"/>
      <c r="E1" s="507" t="s">
        <v>64</v>
      </c>
    </row>
    <row r="2" spans="1:20">
      <c r="A2" s="152"/>
      <c r="B2" s="153"/>
      <c r="C2" s="153"/>
      <c r="D2" s="339"/>
      <c r="E2" s="154">
        <v>2025</v>
      </c>
      <c r="F2" s="154">
        <v>2026</v>
      </c>
      <c r="G2" s="154">
        <v>2027</v>
      </c>
      <c r="H2" s="154">
        <v>2028</v>
      </c>
      <c r="I2" s="154">
        <v>2029</v>
      </c>
      <c r="J2" s="154">
        <v>2030</v>
      </c>
      <c r="K2" s="154">
        <v>2031</v>
      </c>
      <c r="L2" s="154">
        <v>2032</v>
      </c>
      <c r="M2" s="154">
        <v>2033</v>
      </c>
      <c r="N2" s="154">
        <v>2034</v>
      </c>
      <c r="O2" s="154">
        <v>2035</v>
      </c>
      <c r="P2" s="154">
        <v>2036</v>
      </c>
      <c r="Q2" s="154">
        <v>2037</v>
      </c>
      <c r="R2" s="154">
        <v>2038</v>
      </c>
      <c r="S2" s="154">
        <v>2039</v>
      </c>
    </row>
    <row r="3" spans="1:20" ht="16.5" customHeight="1">
      <c r="A3" s="466" t="s">
        <v>2</v>
      </c>
      <c r="B3" s="155" t="s">
        <v>47</v>
      </c>
      <c r="C3" s="155" t="s">
        <v>48</v>
      </c>
      <c r="D3" s="340"/>
      <c r="E3" s="156">
        <f>E4</f>
        <v>69.358961718749981</v>
      </c>
      <c r="F3" s="157">
        <f>E3+E3*1.41%</f>
        <v>70.336923078984356</v>
      </c>
      <c r="G3" s="157">
        <f>F3+F3*1.54%</f>
        <v>71.420111694400717</v>
      </c>
      <c r="H3" s="157">
        <f>G3+G3*1.47%</f>
        <v>72.469987336308407</v>
      </c>
      <c r="I3" s="157">
        <f>H3+H3*1.21%</f>
        <v>73.346874183077745</v>
      </c>
      <c r="J3" s="157">
        <f>I3+I3*1.34%</f>
        <v>74.329722297130985</v>
      </c>
      <c r="K3" s="157">
        <f>J3+J3*1.31%</f>
        <v>75.303441659223395</v>
      </c>
      <c r="L3" s="157">
        <f>K3+K3*1.35%</f>
        <v>76.320038121622915</v>
      </c>
      <c r="M3" s="157">
        <f>L3+L3*1.5%</f>
        <v>77.464838693447263</v>
      </c>
      <c r="N3" s="157">
        <f>M3+M3*1.04%</f>
        <v>78.27047301585911</v>
      </c>
      <c r="O3" s="157">
        <f>N3+N3*1.12%</f>
        <v>79.147102313636736</v>
      </c>
      <c r="P3" s="157">
        <f>O3+O3*1.15%</f>
        <v>80.057293990243565</v>
      </c>
      <c r="Q3" s="157">
        <f>P3+P3*1.05%</f>
        <v>80.897895577141128</v>
      </c>
      <c r="R3" s="157">
        <f>Q3+Q3*1.03%</f>
        <v>81.731143901585682</v>
      </c>
      <c r="S3" s="157">
        <f>R3+R3*1.02%</f>
        <v>82.564801569381856</v>
      </c>
    </row>
    <row r="4" spans="1:20">
      <c r="A4" s="508" t="s">
        <v>354</v>
      </c>
      <c r="B4" s="421" t="s">
        <v>49</v>
      </c>
      <c r="C4" s="421" t="s">
        <v>69</v>
      </c>
      <c r="D4" s="419"/>
      <c r="E4" s="420">
        <f>SUM(E5)</f>
        <v>69.358961718749981</v>
      </c>
      <c r="F4" s="157">
        <f>E4+E4*1.41%</f>
        <v>70.336923078984356</v>
      </c>
      <c r="G4" s="157">
        <f>F4+F4*1.54%</f>
        <v>71.420111694400717</v>
      </c>
      <c r="H4" s="157">
        <f>G4+G4*1.47%</f>
        <v>72.469987336308407</v>
      </c>
      <c r="I4" s="157">
        <f>H4+H4*1.21%</f>
        <v>73.346874183077745</v>
      </c>
      <c r="J4" s="157">
        <f>I4+I4*1.34%</f>
        <v>74.329722297130985</v>
      </c>
      <c r="K4" s="157">
        <f>J4+J4*1.31%</f>
        <v>75.303441659223395</v>
      </c>
      <c r="L4" s="157">
        <f>K4+K4*1.35%</f>
        <v>76.320038121622915</v>
      </c>
      <c r="M4" s="157">
        <f>L4+L4*1.5%</f>
        <v>77.464838693447263</v>
      </c>
      <c r="N4" s="157">
        <f>M4+M4*1.04%</f>
        <v>78.27047301585911</v>
      </c>
      <c r="O4" s="157">
        <f>N4+N4*1.12%</f>
        <v>79.147102313636736</v>
      </c>
      <c r="P4" s="157">
        <f>O4+O4*1.15%</f>
        <v>80.057293990243565</v>
      </c>
      <c r="Q4" s="157">
        <f>P4+P4*1.05%</f>
        <v>80.897895577141128</v>
      </c>
      <c r="R4" s="157">
        <f>Q4+Q4*1.03%</f>
        <v>81.731143901585682</v>
      </c>
      <c r="S4" s="157">
        <f>R4+R4*1.02%</f>
        <v>82.564801569381856</v>
      </c>
    </row>
    <row r="5" spans="1:20">
      <c r="A5" s="415" t="s">
        <v>187</v>
      </c>
      <c r="B5" s="416">
        <f>Norms!F3</f>
        <v>23718.749999999996</v>
      </c>
      <c r="C5" s="416">
        <f>Norms!G13</f>
        <v>29242.25</v>
      </c>
      <c r="D5" s="341"/>
      <c r="E5" s="79">
        <f>(B5*C5)/10^7</f>
        <v>69.358961718749981</v>
      </c>
      <c r="F5" s="75"/>
      <c r="G5" s="3"/>
      <c r="H5" s="3"/>
      <c r="I5" s="3"/>
      <c r="J5" s="3"/>
      <c r="K5" s="3"/>
      <c r="L5" s="75"/>
      <c r="M5" s="3"/>
      <c r="N5" s="3"/>
      <c r="O5" s="3"/>
      <c r="P5" s="3"/>
      <c r="Q5" s="3"/>
      <c r="R5" s="3"/>
      <c r="S5" s="3"/>
    </row>
    <row r="6" spans="1:20">
      <c r="A6" s="417" t="s">
        <v>355</v>
      </c>
      <c r="B6" s="418"/>
      <c r="C6" s="418"/>
      <c r="D6" s="419"/>
      <c r="E6" s="422">
        <f>E7+E8+E9+E10</f>
        <v>27.773772846012594</v>
      </c>
      <c r="F6" s="513">
        <f>SUM(F7:F10)</f>
        <v>28.20426632512579</v>
      </c>
      <c r="G6" s="514">
        <f t="shared" ref="G6:S6" si="0">SUM(G7:G10)</f>
        <v>28.647073306430269</v>
      </c>
      <c r="H6" s="514">
        <f t="shared" si="0"/>
        <v>29.056726454712219</v>
      </c>
      <c r="I6" s="514">
        <f t="shared" si="0"/>
        <v>29.463520625078193</v>
      </c>
      <c r="J6" s="514">
        <f t="shared" si="0"/>
        <v>29.858331801454234</v>
      </c>
      <c r="K6" s="514">
        <f t="shared" si="0"/>
        <v>30.258433447593724</v>
      </c>
      <c r="L6" s="514">
        <f t="shared" si="0"/>
        <v>30.66389645579148</v>
      </c>
      <c r="M6" s="514">
        <f t="shared" si="0"/>
        <v>31.074792668299086</v>
      </c>
      <c r="N6" s="514">
        <f t="shared" si="0"/>
        <v>31.491194890054295</v>
      </c>
      <c r="O6" s="514">
        <f t="shared" si="0"/>
        <v>31.913176901581021</v>
      </c>
      <c r="P6" s="514">
        <f t="shared" si="0"/>
        <v>32.340813472062209</v>
      </c>
      <c r="Q6" s="514">
        <f t="shared" si="0"/>
        <v>32.774180372587843</v>
      </c>
      <c r="R6" s="514">
        <f t="shared" si="0"/>
        <v>33.213354389580523</v>
      </c>
      <c r="S6" s="515">
        <f t="shared" si="0"/>
        <v>33.658413338400898</v>
      </c>
    </row>
    <row r="7" spans="1:20">
      <c r="A7" s="78" t="s">
        <v>3</v>
      </c>
      <c r="B7" s="4"/>
      <c r="C7" s="4"/>
      <c r="D7" s="341"/>
      <c r="E7" s="23">
        <f>Norms!G31/10^7</f>
        <v>15.559250783999998</v>
      </c>
      <c r="F7" s="505">
        <f>E7+E7*1.55%</f>
        <v>15.800419171151997</v>
      </c>
      <c r="G7" s="504">
        <f>F7+F7*1.57%</f>
        <v>16.048485752139083</v>
      </c>
      <c r="H7" s="504">
        <f>G7+G7*1.43%</f>
        <v>16.27797909839467</v>
      </c>
      <c r="I7" s="504">
        <f>H7+H7*1.4%</f>
        <v>16.505870805772197</v>
      </c>
      <c r="J7" s="504">
        <f>I7+I7*1.34%</f>
        <v>16.727049474569544</v>
      </c>
      <c r="K7" s="504">
        <f t="shared" ref="K7" si="1">J7+J7*1.34%</f>
        <v>16.951191937528776</v>
      </c>
      <c r="L7" s="504">
        <f t="shared" ref="L7" si="2">K7+K7*1.34%</f>
        <v>17.178337909491663</v>
      </c>
      <c r="M7" s="504">
        <f t="shared" ref="M7" si="3">L7+L7*1.34%</f>
        <v>17.408527637478851</v>
      </c>
      <c r="N7" s="504">
        <f t="shared" ref="N7" si="4">M7+M7*1.34%</f>
        <v>17.641801907821069</v>
      </c>
      <c r="O7" s="504">
        <f t="shared" ref="O7" si="5">N7+N7*1.34%</f>
        <v>17.87820205338587</v>
      </c>
      <c r="P7" s="504">
        <f t="shared" ref="P7" si="6">O7+O7*1.34%</f>
        <v>18.117769960901242</v>
      </c>
      <c r="Q7" s="504">
        <f t="shared" ref="Q7" si="7">P7+P7*1.34%</f>
        <v>18.36054807837732</v>
      </c>
      <c r="R7" s="504">
        <f t="shared" ref="R7" si="8">Q7+Q7*1.34%</f>
        <v>18.606579422627576</v>
      </c>
      <c r="S7" s="506">
        <f t="shared" ref="S7" si="9">R7+R7*1.34%</f>
        <v>18.855907586890787</v>
      </c>
    </row>
    <row r="8" spans="1:20">
      <c r="A8" s="706" t="s">
        <v>356</v>
      </c>
      <c r="B8" s="4"/>
      <c r="C8" s="4"/>
      <c r="D8" s="341"/>
      <c r="E8" s="23">
        <f>Norms!D53</f>
        <v>3.5</v>
      </c>
      <c r="F8" s="505">
        <f>E8+E8*1.55%</f>
        <v>3.5542500000000001</v>
      </c>
      <c r="G8" s="504">
        <f>F8+F8*1.57%</f>
        <v>3.6100517249999999</v>
      </c>
      <c r="H8" s="504">
        <f>G8+G8*1.43%</f>
        <v>3.6616754646674998</v>
      </c>
      <c r="I8" s="504">
        <f>H8+H8*1.4%</f>
        <v>3.712938921172845</v>
      </c>
      <c r="J8" s="504">
        <f>I8+I8*1.34%</f>
        <v>3.7626923027165611</v>
      </c>
      <c r="K8" s="504">
        <f t="shared" ref="K8:K9" si="10">J8+J8*1.34%</f>
        <v>3.8131123795729631</v>
      </c>
      <c r="L8" s="504">
        <f t="shared" ref="L8:L9" si="11">K8+K8*1.34%</f>
        <v>3.8642080854592407</v>
      </c>
      <c r="M8" s="504">
        <f t="shared" ref="M8:M9" si="12">L8+L8*1.34%</f>
        <v>3.9159884738043944</v>
      </c>
      <c r="N8" s="504">
        <f t="shared" ref="N8:N9" si="13">M8+M8*1.34%</f>
        <v>3.9684627193533735</v>
      </c>
      <c r="O8" s="504">
        <f t="shared" ref="O8:O9" si="14">N8+N8*1.34%</f>
        <v>4.0216401197927087</v>
      </c>
      <c r="P8" s="504">
        <f t="shared" ref="P8:P9" si="15">O8+O8*1.34%</f>
        <v>4.0755300973979312</v>
      </c>
      <c r="Q8" s="504">
        <f t="shared" ref="Q8:Q9" si="16">P8+P8*1.34%</f>
        <v>4.1301422007030633</v>
      </c>
      <c r="R8" s="504">
        <f t="shared" ref="R8:R9" si="17">Q8+Q8*1.34%</f>
        <v>4.1854861061924842</v>
      </c>
      <c r="S8" s="506">
        <f t="shared" ref="S8:S9" si="18">R8+R8*1.34%</f>
        <v>4.2415716200154634</v>
      </c>
    </row>
    <row r="9" spans="1:20" ht="29.25" customHeight="1">
      <c r="A9" s="706" t="s">
        <v>358</v>
      </c>
      <c r="B9" s="4"/>
      <c r="C9" s="4"/>
      <c r="D9" s="522">
        <v>0.02</v>
      </c>
      <c r="E9" s="501">
        <v>8.3587592835073767</v>
      </c>
      <c r="F9" s="518">
        <f>E9+E9*1.55%</f>
        <v>8.4883200524017415</v>
      </c>
      <c r="G9" s="519">
        <f>F9+F9*1.57%</f>
        <v>8.6215866772244496</v>
      </c>
      <c r="H9" s="519">
        <f>G9+G9*1.43%</f>
        <v>8.7448753667087598</v>
      </c>
      <c r="I9" s="519">
        <f>H9+H9*1.4%</f>
        <v>8.8673036218426819</v>
      </c>
      <c r="J9" s="519">
        <f>I9+I9*1.34%</f>
        <v>8.9861254903753736</v>
      </c>
      <c r="K9" s="519">
        <f t="shared" si="10"/>
        <v>9.1065395719464028</v>
      </c>
      <c r="L9" s="519">
        <f t="shared" si="11"/>
        <v>9.2285672022104848</v>
      </c>
      <c r="M9" s="519">
        <f t="shared" si="12"/>
        <v>9.3522300027201055</v>
      </c>
      <c r="N9" s="519">
        <f t="shared" si="13"/>
        <v>9.4775498847565558</v>
      </c>
      <c r="O9" s="519">
        <f t="shared" si="14"/>
        <v>9.6045490532122937</v>
      </c>
      <c r="P9" s="519">
        <f t="shared" si="15"/>
        <v>9.7332500105253388</v>
      </c>
      <c r="Q9" s="519">
        <f t="shared" si="16"/>
        <v>9.863675560666378</v>
      </c>
      <c r="R9" s="519">
        <f t="shared" si="17"/>
        <v>9.9958488131793075</v>
      </c>
      <c r="S9" s="520">
        <f t="shared" si="18"/>
        <v>10.12979318727591</v>
      </c>
      <c r="T9" s="173"/>
    </row>
    <row r="10" spans="1:20" ht="14.25" customHeight="1">
      <c r="A10" s="707" t="s">
        <v>267</v>
      </c>
      <c r="B10" s="73"/>
      <c r="C10" s="73"/>
      <c r="D10" s="342">
        <v>0.03</v>
      </c>
      <c r="E10" s="502">
        <f>D10*(E9+E8)</f>
        <v>0.35576277850522131</v>
      </c>
      <c r="F10" s="505">
        <f>E10+E10*1.55%</f>
        <v>0.36127710157205223</v>
      </c>
      <c r="G10" s="504">
        <f>F10+F10*1.57%</f>
        <v>0.36694915206673345</v>
      </c>
      <c r="H10" s="504">
        <f>G10+G10*1.43%</f>
        <v>0.37219652494128774</v>
      </c>
      <c r="I10" s="504">
        <f>H10+H10*1.4%</f>
        <v>0.37740727629046578</v>
      </c>
      <c r="J10" s="504">
        <f>I10+I10*1.34%</f>
        <v>0.38246453379275802</v>
      </c>
      <c r="K10" s="504">
        <f t="shared" ref="K10" si="19">J10+J10*1.34%</f>
        <v>0.38758955854558097</v>
      </c>
      <c r="L10" s="504">
        <f t="shared" ref="L10" si="20">K10+K10*1.34%</f>
        <v>0.39278325863009178</v>
      </c>
      <c r="M10" s="504">
        <f t="shared" ref="M10" si="21">L10+L10*1.34%</f>
        <v>0.39804655429573499</v>
      </c>
      <c r="N10" s="504">
        <f t="shared" ref="N10" si="22">M10+M10*1.34%</f>
        <v>0.40338037812329786</v>
      </c>
      <c r="O10" s="504">
        <f t="shared" ref="O10" si="23">N10+N10*1.34%</f>
        <v>0.40878567519015002</v>
      </c>
      <c r="P10" s="504">
        <f t="shared" ref="P10" si="24">O10+O10*1.34%</f>
        <v>0.41426340323769806</v>
      </c>
      <c r="Q10" s="504">
        <f t="shared" ref="Q10" si="25">P10+P10*1.34%</f>
        <v>0.41981453284108322</v>
      </c>
      <c r="R10" s="504">
        <f t="shared" ref="R10" si="26">Q10+Q10*1.34%</f>
        <v>0.42544004758115372</v>
      </c>
      <c r="S10" s="506">
        <f t="shared" ref="S10" si="27">R10+R10*1.34%</f>
        <v>0.43114094421874116</v>
      </c>
    </row>
    <row r="11" spans="1:20" ht="14.25" hidden="1" customHeight="1">
      <c r="A11" s="423" t="s">
        <v>13</v>
      </c>
      <c r="B11" s="424"/>
      <c r="C11" s="424"/>
      <c r="D11" s="425">
        <v>6.5000000000000002E-2</v>
      </c>
      <c r="E11" s="503">
        <f>Depreciation!G19</f>
        <v>20.827099284627533</v>
      </c>
      <c r="F11" s="516">
        <f>E11</f>
        <v>20.827099284627533</v>
      </c>
      <c r="G11" s="512">
        <f t="shared" ref="G11:S11" si="28">F11</f>
        <v>20.827099284627533</v>
      </c>
      <c r="H11" s="512">
        <f t="shared" si="28"/>
        <v>20.827099284627533</v>
      </c>
      <c r="I11" s="512">
        <f t="shared" si="28"/>
        <v>20.827099284627533</v>
      </c>
      <c r="J11" s="512">
        <f t="shared" si="28"/>
        <v>20.827099284627533</v>
      </c>
      <c r="K11" s="512">
        <f t="shared" si="28"/>
        <v>20.827099284627533</v>
      </c>
      <c r="L11" s="512">
        <f t="shared" si="28"/>
        <v>20.827099284627533</v>
      </c>
      <c r="M11" s="512">
        <f t="shared" si="28"/>
        <v>20.827099284627533</v>
      </c>
      <c r="N11" s="512">
        <f t="shared" si="28"/>
        <v>20.827099284627533</v>
      </c>
      <c r="O11" s="512">
        <f t="shared" si="28"/>
        <v>20.827099284627533</v>
      </c>
      <c r="P11" s="512">
        <f t="shared" si="28"/>
        <v>20.827099284627533</v>
      </c>
      <c r="Q11" s="512">
        <f t="shared" si="28"/>
        <v>20.827099284627533</v>
      </c>
      <c r="R11" s="512">
        <f t="shared" si="28"/>
        <v>20.827099284627533</v>
      </c>
      <c r="S11" s="517">
        <f t="shared" si="28"/>
        <v>20.827099284627533</v>
      </c>
    </row>
    <row r="12" spans="1:20" ht="14.25" hidden="1" customHeight="1">
      <c r="A12" s="509" t="s">
        <v>357</v>
      </c>
      <c r="B12" s="510"/>
      <c r="C12" s="510"/>
      <c r="D12" s="511"/>
      <c r="E12" s="521">
        <f>'Cashflow '!D132</f>
        <v>34.479870807575452</v>
      </c>
      <c r="F12" s="708">
        <f>'Cashflow '!E132</f>
        <v>37.324460149200419</v>
      </c>
      <c r="G12" s="521">
        <f>'Cashflow '!F132</f>
        <v>32.658902630550372</v>
      </c>
      <c r="H12" s="521">
        <f>'Cashflow '!G132</f>
        <v>27.993345111900318</v>
      </c>
      <c r="I12" s="521">
        <f>'Cashflow '!H132</f>
        <v>23.327787593250267</v>
      </c>
      <c r="J12" s="521">
        <f>'Cashflow '!I132</f>
        <v>18.662230074600213</v>
      </c>
      <c r="K12" s="521">
        <f>'Cashflow '!J132</f>
        <v>13.996672555950161</v>
      </c>
      <c r="L12" s="521">
        <f>'Cashflow '!K132</f>
        <v>9.3311150373001084</v>
      </c>
      <c r="M12" s="521">
        <f>'Cashflow '!L132</f>
        <v>4.665557518650056</v>
      </c>
      <c r="N12" s="521">
        <f>'Cashflow '!M132</f>
        <v>0</v>
      </c>
      <c r="O12" s="521">
        <f>'Cashflow '!N132</f>
        <v>0</v>
      </c>
      <c r="P12" s="521">
        <f>'Cashflow '!O132</f>
        <v>0</v>
      </c>
      <c r="Q12" s="521">
        <f>'Cashflow '!P132</f>
        <v>0</v>
      </c>
      <c r="R12" s="521">
        <f>'Cashflow '!Q132</f>
        <v>0</v>
      </c>
      <c r="S12" s="709">
        <f>'Cashflow '!R132</f>
        <v>0</v>
      </c>
    </row>
    <row r="13" spans="1:20" ht="17.25" customHeight="1">
      <c r="A13" s="213" t="s">
        <v>8</v>
      </c>
      <c r="B13" s="214"/>
      <c r="C13" s="214"/>
      <c r="D13" s="343"/>
      <c r="E13" s="215">
        <f>E3+E6</f>
        <v>97.132734564762572</v>
      </c>
      <c r="F13" s="215">
        <f>F3+F6</f>
        <v>98.541189404110142</v>
      </c>
      <c r="G13" s="215">
        <f t="shared" ref="G13:S13" si="29">G3+G6</f>
        <v>100.06718500083099</v>
      </c>
      <c r="H13" s="215">
        <f t="shared" si="29"/>
        <v>101.52671379102063</v>
      </c>
      <c r="I13" s="215">
        <f t="shared" si="29"/>
        <v>102.81039480815593</v>
      </c>
      <c r="J13" s="215">
        <f t="shared" si="29"/>
        <v>104.18805409858521</v>
      </c>
      <c r="K13" s="215">
        <f t="shared" si="29"/>
        <v>105.56187510681713</v>
      </c>
      <c r="L13" s="215">
        <f t="shared" si="29"/>
        <v>106.9839345774144</v>
      </c>
      <c r="M13" s="215">
        <f t="shared" si="29"/>
        <v>108.53963136174634</v>
      </c>
      <c r="N13" s="215">
        <f t="shared" si="29"/>
        <v>109.76166790591341</v>
      </c>
      <c r="O13" s="215">
        <f t="shared" si="29"/>
        <v>111.06027921521776</v>
      </c>
      <c r="P13" s="215">
        <f t="shared" si="29"/>
        <v>112.39810746230577</v>
      </c>
      <c r="Q13" s="215">
        <f t="shared" si="29"/>
        <v>113.67207594972896</v>
      </c>
      <c r="R13" s="215">
        <f t="shared" si="29"/>
        <v>114.94449829116621</v>
      </c>
      <c r="S13" s="215">
        <f t="shared" si="29"/>
        <v>116.22321490778276</v>
      </c>
    </row>
    <row r="14" spans="1:20">
      <c r="A14" s="845" t="s">
        <v>293</v>
      </c>
      <c r="B14" s="846"/>
      <c r="C14" s="846"/>
      <c r="D14" s="846"/>
      <c r="E14" s="154" t="s">
        <v>64</v>
      </c>
      <c r="F14" s="2"/>
      <c r="G14"/>
      <c r="H14" s="140"/>
      <c r="I14" s="3"/>
      <c r="J14"/>
      <c r="K14"/>
      <c r="L14" s="2"/>
      <c r="M14"/>
      <c r="N14"/>
      <c r="O14"/>
      <c r="P14"/>
      <c r="Q14"/>
      <c r="R14"/>
      <c r="S14"/>
    </row>
    <row r="15" spans="1:20">
      <c r="A15" s="152"/>
      <c r="B15" s="153"/>
      <c r="C15" s="153"/>
      <c r="D15" s="339"/>
      <c r="E15" s="154">
        <v>2025</v>
      </c>
      <c r="F15" s="154">
        <v>2026</v>
      </c>
      <c r="G15" s="154">
        <v>2027</v>
      </c>
      <c r="H15" s="154">
        <v>2028</v>
      </c>
      <c r="I15" s="154">
        <v>2029</v>
      </c>
      <c r="J15" s="154">
        <v>2030</v>
      </c>
      <c r="K15" s="154">
        <v>2031</v>
      </c>
      <c r="L15" s="154">
        <v>2032</v>
      </c>
      <c r="M15" s="154">
        <v>2033</v>
      </c>
      <c r="N15" s="154">
        <v>2034</v>
      </c>
      <c r="O15" s="154">
        <v>2035</v>
      </c>
      <c r="P15" s="154">
        <v>2036</v>
      </c>
      <c r="Q15" s="154">
        <v>2037</v>
      </c>
      <c r="R15" s="154">
        <v>2038</v>
      </c>
      <c r="S15" s="154">
        <v>2039</v>
      </c>
    </row>
    <row r="16" spans="1:20">
      <c r="A16" s="255" t="s">
        <v>2</v>
      </c>
      <c r="B16" s="155" t="s">
        <v>47</v>
      </c>
      <c r="C16" s="155" t="s">
        <v>48</v>
      </c>
      <c r="D16" s="340"/>
      <c r="E16" s="156">
        <f>E17+E21</f>
        <v>150.23526852409412</v>
      </c>
      <c r="F16" s="157">
        <f>E16+E16*1.41%</f>
        <v>152.35358581028385</v>
      </c>
      <c r="G16" s="157">
        <f>F16+F16*1.54%</f>
        <v>154.69983103176222</v>
      </c>
      <c r="H16" s="157">
        <f>G16+G16*1.47%</f>
        <v>156.97391854792912</v>
      </c>
      <c r="I16" s="157">
        <f>H16+H16*1.21%</f>
        <v>158.87330296235905</v>
      </c>
      <c r="J16" s="157">
        <f>I16+I16*1.34%</f>
        <v>161.00220522205467</v>
      </c>
      <c r="K16" s="157">
        <f>J16+J16*1.31%</f>
        <v>163.11133411046359</v>
      </c>
      <c r="L16" s="157">
        <f>K16+K16*1.35%</f>
        <v>165.31333712095486</v>
      </c>
      <c r="M16" s="157">
        <f>L16+L16*1.5%</f>
        <v>167.79303717776918</v>
      </c>
      <c r="N16" s="157">
        <f>M16+M16*1.04%</f>
        <v>169.53808476441799</v>
      </c>
      <c r="O16" s="157">
        <f>N16+N16*1.12%</f>
        <v>171.43691131377946</v>
      </c>
      <c r="P16" s="157">
        <f>O16+O16*1.15%</f>
        <v>173.40843579388792</v>
      </c>
      <c r="Q16" s="157">
        <f>P16+P16*1.05%</f>
        <v>175.22922436972374</v>
      </c>
      <c r="R16" s="157">
        <f>Q16+Q16*1.03%</f>
        <v>177.03408538073188</v>
      </c>
      <c r="S16" s="157">
        <f>R16+R16*1.02%</f>
        <v>178.83983305161536</v>
      </c>
    </row>
    <row r="17" spans="1:19" ht="18" customHeight="1">
      <c r="A17" s="428" t="s">
        <v>359</v>
      </c>
      <c r="B17" s="429" t="s">
        <v>49</v>
      </c>
      <c r="C17" s="429" t="s">
        <v>69</v>
      </c>
      <c r="D17" s="430"/>
      <c r="E17" s="431">
        <f>SUM(E18:E19)</f>
        <v>150.23526852409412</v>
      </c>
      <c r="F17" s="710"/>
      <c r="G17" s="710"/>
      <c r="H17" s="710"/>
      <c r="I17" s="710"/>
      <c r="J17" s="710"/>
      <c r="K17" s="710"/>
      <c r="L17" s="710"/>
      <c r="M17" s="710"/>
      <c r="N17" s="710"/>
      <c r="O17" s="710"/>
      <c r="P17" s="710"/>
      <c r="Q17" s="710"/>
      <c r="R17" s="710"/>
      <c r="S17" s="710"/>
    </row>
    <row r="18" spans="1:19" ht="16.5" customHeight="1">
      <c r="A18" s="415" t="s">
        <v>187</v>
      </c>
      <c r="B18" s="416">
        <f>Norms!F6</f>
        <v>21300</v>
      </c>
      <c r="C18" s="416">
        <f>Norms!G13</f>
        <v>29242.25</v>
      </c>
      <c r="D18" s="341"/>
      <c r="E18" s="79">
        <f>(B18*C18)/10^7</f>
        <v>62.285992499999999</v>
      </c>
      <c r="F18" s="75"/>
      <c r="G18" s="3"/>
      <c r="H18" s="3"/>
      <c r="I18" s="3"/>
      <c r="J18" s="3"/>
      <c r="K18" s="3"/>
      <c r="L18" s="75"/>
      <c r="M18" s="3"/>
      <c r="N18" s="3"/>
      <c r="O18" s="3"/>
      <c r="P18" s="3"/>
      <c r="Q18" s="3"/>
      <c r="R18" s="3"/>
      <c r="S18" s="3"/>
    </row>
    <row r="19" spans="1:19" ht="15.75" customHeight="1">
      <c r="A19" s="415" t="s">
        <v>292</v>
      </c>
      <c r="B19" s="416">
        <f>Norms!F5</f>
        <v>74700</v>
      </c>
      <c r="C19" s="416">
        <f>(E13*10000000)/Norms!B3</f>
        <v>11773.664795728797</v>
      </c>
      <c r="D19" s="341"/>
      <c r="E19" s="79">
        <f>(B19*C19)/10^7</f>
        <v>87.949276024094118</v>
      </c>
      <c r="F19" s="75">
        <f>C19-[5]Opex!$C$19</f>
        <v>778.69674753591971</v>
      </c>
      <c r="G19" s="3"/>
      <c r="H19" s="3"/>
      <c r="I19" s="3"/>
      <c r="J19" s="3"/>
      <c r="K19" s="3"/>
      <c r="L19" s="75"/>
      <c r="M19" s="3"/>
      <c r="N19" s="3"/>
      <c r="O19" s="3"/>
      <c r="P19" s="3"/>
      <c r="Q19" s="3"/>
      <c r="R19" s="3"/>
      <c r="S19" s="3"/>
    </row>
    <row r="20" spans="1:19" ht="15.75" customHeight="1">
      <c r="A20" s="432" t="s">
        <v>360</v>
      </c>
      <c r="B20" s="421"/>
      <c r="C20" s="421"/>
      <c r="D20" s="426"/>
      <c r="E20" s="433"/>
      <c r="F20" s="75">
        <f>E22*100</f>
        <v>15023.526852409412</v>
      </c>
      <c r="G20" s="713">
        <f>F20-[5]Opex!$F$20</f>
        <v>1157.9579704093321</v>
      </c>
      <c r="H20" s="3"/>
      <c r="I20" s="3"/>
      <c r="J20" s="3"/>
      <c r="K20" s="3"/>
      <c r="L20" s="75"/>
      <c r="M20" s="3"/>
      <c r="N20" s="3"/>
      <c r="O20" s="3"/>
      <c r="P20" s="3"/>
      <c r="Q20" s="3"/>
      <c r="R20" s="3"/>
      <c r="S20" s="3"/>
    </row>
    <row r="21" spans="1:19">
      <c r="A21" s="78" t="s">
        <v>3</v>
      </c>
      <c r="B21" s="4"/>
      <c r="C21" s="4"/>
      <c r="D21" s="341"/>
      <c r="E21" s="79">
        <v>0</v>
      </c>
      <c r="F21" s="427">
        <f>E21+E21*1.55%</f>
        <v>0</v>
      </c>
      <c r="G21" s="245">
        <f>F21+F21*1.57%</f>
        <v>0</v>
      </c>
      <c r="H21" s="245">
        <f>G21+G21*1.43%</f>
        <v>0</v>
      </c>
      <c r="I21" s="245">
        <f>H21+H21*1.4%</f>
        <v>0</v>
      </c>
      <c r="J21" s="245">
        <f>I21+I21*1.34%</f>
        <v>0</v>
      </c>
      <c r="K21" s="245">
        <f t="shared" ref="K21" si="30">J21+J21*1.34%</f>
        <v>0</v>
      </c>
      <c r="L21" s="245">
        <f t="shared" ref="L21" si="31">K21+K21*1.34%</f>
        <v>0</v>
      </c>
      <c r="M21" s="245">
        <f t="shared" ref="M21" si="32">L21+L21*1.34%</f>
        <v>0</v>
      </c>
      <c r="N21" s="245">
        <f t="shared" ref="N21" si="33">M21+M21*1.34%</f>
        <v>0</v>
      </c>
      <c r="O21" s="245">
        <f t="shared" ref="O21" si="34">N21+N21*1.34%</f>
        <v>0</v>
      </c>
      <c r="P21" s="245">
        <f t="shared" ref="P21" si="35">O21+O21*1.34%</f>
        <v>0</v>
      </c>
      <c r="Q21" s="245">
        <f t="shared" ref="Q21" si="36">P21+P21*1.34%</f>
        <v>0</v>
      </c>
      <c r="R21" s="245">
        <f t="shared" ref="R21" si="37">Q21+Q21*1.34%</f>
        <v>0</v>
      </c>
      <c r="S21" s="245">
        <f t="shared" ref="S21" si="38">R21+R21*1.34%</f>
        <v>0</v>
      </c>
    </row>
    <row r="22" spans="1:19">
      <c r="A22" s="213" t="s">
        <v>8</v>
      </c>
      <c r="B22" s="214"/>
      <c r="C22" s="214"/>
      <c r="D22" s="343"/>
      <c r="E22" s="215">
        <f>+E16</f>
        <v>150.23526852409412</v>
      </c>
      <c r="F22" s="215">
        <f>F16</f>
        <v>152.35358581028385</v>
      </c>
      <c r="G22" s="215">
        <f t="shared" ref="G22:S22" si="39">G16</f>
        <v>154.69983103176222</v>
      </c>
      <c r="H22" s="215">
        <f t="shared" si="39"/>
        <v>156.97391854792912</v>
      </c>
      <c r="I22" s="215">
        <f t="shared" si="39"/>
        <v>158.87330296235905</v>
      </c>
      <c r="J22" s="215">
        <f t="shared" si="39"/>
        <v>161.00220522205467</v>
      </c>
      <c r="K22" s="215">
        <f t="shared" si="39"/>
        <v>163.11133411046359</v>
      </c>
      <c r="L22" s="215">
        <f t="shared" si="39"/>
        <v>165.31333712095486</v>
      </c>
      <c r="M22" s="215">
        <f t="shared" si="39"/>
        <v>167.79303717776918</v>
      </c>
      <c r="N22" s="215">
        <f t="shared" si="39"/>
        <v>169.53808476441799</v>
      </c>
      <c r="O22" s="215">
        <f t="shared" si="39"/>
        <v>171.43691131377946</v>
      </c>
      <c r="P22" s="215">
        <f t="shared" si="39"/>
        <v>173.40843579388792</v>
      </c>
      <c r="Q22" s="215">
        <f t="shared" si="39"/>
        <v>175.22922436972374</v>
      </c>
      <c r="R22" s="215">
        <f t="shared" si="39"/>
        <v>177.03408538073188</v>
      </c>
      <c r="S22" s="215">
        <f t="shared" si="39"/>
        <v>178.83983305161536</v>
      </c>
    </row>
    <row r="23" spans="1:19" hidden="1"/>
    <row r="24" spans="1:19" hidden="1">
      <c r="A24" s="344" t="s">
        <v>337</v>
      </c>
    </row>
    <row r="25" spans="1:19" hidden="1">
      <c r="A25" s="344" t="s">
        <v>338</v>
      </c>
    </row>
    <row r="26" spans="1:19" hidden="1">
      <c r="A26" s="344" t="s">
        <v>340</v>
      </c>
    </row>
    <row r="27" spans="1:19" hidden="1">
      <c r="A27" s="344" t="s">
        <v>341</v>
      </c>
    </row>
    <row r="28" spans="1:19" hidden="1">
      <c r="A28" s="344" t="s">
        <v>339</v>
      </c>
    </row>
    <row r="29" spans="1:19" hidden="1">
      <c r="A29" s="344"/>
    </row>
  </sheetData>
  <mergeCells count="2">
    <mergeCell ref="A1:D1"/>
    <mergeCell ref="A14:D14"/>
  </mergeCells>
  <phoneticPr fontId="3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325F-BCCC-47C6-8D18-0634DEA35A88}">
  <sheetPr codeName="Sheet9"/>
  <dimension ref="A1:V183"/>
  <sheetViews>
    <sheetView showGridLines="0" zoomScale="85" zoomScaleNormal="85" workbookViewId="0">
      <pane ySplit="8" topLeftCell="A157" activePane="bottomLeft" state="frozen"/>
      <selection activeCell="E28" sqref="E28"/>
      <selection pane="bottomLeft" activeCell="D165" sqref="D165"/>
    </sheetView>
  </sheetViews>
  <sheetFormatPr defaultColWidth="8.7109375" defaultRowHeight="12.75"/>
  <cols>
    <col min="1" max="1" width="8.85546875" style="174" bestFit="1" customWidth="1"/>
    <col min="2" max="2" width="60" style="175" bestFit="1" customWidth="1"/>
    <col min="3" max="3" width="20" style="175" bestFit="1" customWidth="1"/>
    <col min="4" max="4" width="17.28515625" style="175" bestFit="1" customWidth="1"/>
    <col min="5" max="5" width="11.140625" style="175" customWidth="1"/>
    <col min="6" max="6" width="18" style="176" bestFit="1" customWidth="1"/>
    <col min="7" max="7" width="17.140625" style="176" customWidth="1"/>
    <col min="8" max="8" width="18.5703125" style="176" bestFit="1" customWidth="1"/>
    <col min="9" max="9" width="18.7109375" style="176" bestFit="1" customWidth="1"/>
    <col min="10" max="10" width="18.5703125" style="176" bestFit="1" customWidth="1"/>
    <col min="11" max="12" width="18.7109375" style="176" bestFit="1" customWidth="1"/>
    <col min="13" max="16" width="18.5703125" style="176" customWidth="1"/>
    <col min="17" max="18" width="18.5703125" style="23" customWidth="1"/>
    <col min="19" max="20" width="18.5703125" style="175" customWidth="1"/>
    <col min="21" max="16384" width="8.7109375" style="175"/>
  </cols>
  <sheetData>
    <row r="1" spans="1:20" ht="21" customHeight="1">
      <c r="A1" s="848" t="s">
        <v>369</v>
      </c>
      <c r="B1" s="849"/>
      <c r="C1" s="849"/>
      <c r="D1" s="849"/>
      <c r="E1" s="128"/>
      <c r="F1" s="128"/>
      <c r="G1" s="128"/>
      <c r="H1" s="128"/>
      <c r="I1" s="128"/>
      <c r="J1" s="128"/>
      <c r="K1" s="128"/>
      <c r="L1" s="128"/>
      <c r="M1" s="128"/>
      <c r="N1" s="128"/>
      <c r="O1" s="128"/>
      <c r="P1" s="128"/>
      <c r="Q1" s="128"/>
      <c r="R1" s="128"/>
      <c r="S1" s="128"/>
      <c r="T1" s="128"/>
    </row>
    <row r="2" spans="1:20" s="178" customFormat="1" ht="15" customHeight="1">
      <c r="A2" s="848" t="s">
        <v>178</v>
      </c>
      <c r="B2" s="849"/>
      <c r="C2" s="192">
        <v>1</v>
      </c>
      <c r="D2" s="192">
        <v>2</v>
      </c>
      <c r="E2" s="192"/>
      <c r="F2" s="192">
        <v>3</v>
      </c>
      <c r="G2" s="192">
        <v>4</v>
      </c>
      <c r="H2" s="192">
        <v>5</v>
      </c>
      <c r="I2" s="192">
        <v>6</v>
      </c>
      <c r="J2" s="192">
        <v>7</v>
      </c>
      <c r="K2" s="192">
        <v>8</v>
      </c>
      <c r="L2" s="192">
        <v>9</v>
      </c>
      <c r="M2" s="192">
        <v>10</v>
      </c>
      <c r="N2" s="192">
        <v>11</v>
      </c>
      <c r="O2" s="192">
        <v>12</v>
      </c>
      <c r="P2" s="192">
        <v>13</v>
      </c>
      <c r="Q2" s="192">
        <v>14</v>
      </c>
      <c r="R2" s="192">
        <v>15</v>
      </c>
      <c r="S2" s="192">
        <v>16</v>
      </c>
      <c r="T2" s="192">
        <v>17</v>
      </c>
    </row>
    <row r="3" spans="1:20" s="178" customFormat="1" ht="15" customHeight="1">
      <c r="A3" s="856" t="s">
        <v>84</v>
      </c>
      <c r="B3" s="857"/>
      <c r="C3" s="28"/>
      <c r="D3" s="28"/>
      <c r="E3" s="28"/>
      <c r="F3" s="721">
        <v>0.7</v>
      </c>
      <c r="G3" s="721">
        <v>0.9</v>
      </c>
      <c r="H3" s="721">
        <v>0.95</v>
      </c>
      <c r="I3" s="721">
        <v>0.95</v>
      </c>
      <c r="J3" s="721">
        <v>0.95</v>
      </c>
      <c r="K3" s="721">
        <v>0.95</v>
      </c>
      <c r="L3" s="721">
        <v>0.95</v>
      </c>
      <c r="M3" s="721">
        <v>0.95</v>
      </c>
      <c r="N3" s="721">
        <v>0.95</v>
      </c>
      <c r="O3" s="721">
        <v>0.95</v>
      </c>
      <c r="P3" s="721">
        <v>0.95</v>
      </c>
      <c r="Q3" s="721">
        <v>0.95</v>
      </c>
      <c r="R3" s="721">
        <v>0.95</v>
      </c>
      <c r="S3" s="721">
        <v>0.95</v>
      </c>
      <c r="T3" s="721">
        <v>0.95</v>
      </c>
    </row>
    <row r="4" spans="1:20" ht="15" customHeight="1">
      <c r="A4" s="854" t="s">
        <v>9</v>
      </c>
      <c r="B4" s="855"/>
      <c r="C4" s="185"/>
      <c r="D4" s="185"/>
      <c r="E4" s="195"/>
      <c r="F4" s="847" t="s">
        <v>10</v>
      </c>
      <c r="G4" s="847"/>
      <c r="H4" s="847"/>
      <c r="I4" s="847"/>
      <c r="J4" s="847"/>
      <c r="K4" s="847"/>
      <c r="L4" s="847"/>
      <c r="M4" s="847"/>
      <c r="N4" s="847"/>
      <c r="O4" s="847"/>
      <c r="P4" s="847"/>
      <c r="Q4" s="847"/>
      <c r="R4" s="847"/>
      <c r="S4" s="847"/>
      <c r="T4" s="847"/>
    </row>
    <row r="5" spans="1:20">
      <c r="A5" s="196"/>
      <c r="B5" s="850"/>
      <c r="C5" s="197">
        <v>2023</v>
      </c>
      <c r="D5" s="197">
        <v>2024</v>
      </c>
      <c r="E5" s="197" t="s">
        <v>73</v>
      </c>
      <c r="F5" s="197">
        <v>2025</v>
      </c>
      <c r="G5" s="197">
        <v>2026</v>
      </c>
      <c r="H5" s="197">
        <v>2027</v>
      </c>
      <c r="I5" s="197">
        <v>2028</v>
      </c>
      <c r="J5" s="197">
        <v>2029</v>
      </c>
      <c r="K5" s="197">
        <v>2030</v>
      </c>
      <c r="L5" s="197">
        <v>2031</v>
      </c>
      <c r="M5" s="197">
        <v>2032</v>
      </c>
      <c r="N5" s="197">
        <v>2033</v>
      </c>
      <c r="O5" s="197">
        <v>2034</v>
      </c>
      <c r="P5" s="197">
        <v>2035</v>
      </c>
      <c r="Q5" s="197">
        <v>2036</v>
      </c>
      <c r="R5" s="197">
        <v>2037</v>
      </c>
      <c r="S5" s="197">
        <v>2038</v>
      </c>
      <c r="T5" s="197">
        <v>2039</v>
      </c>
    </row>
    <row r="6" spans="1:20">
      <c r="A6" s="198"/>
      <c r="B6" s="821"/>
      <c r="C6" s="722">
        <v>0.4</v>
      </c>
      <c r="D6" s="722">
        <v>0.6</v>
      </c>
      <c r="E6" s="199"/>
      <c r="F6" s="193"/>
      <c r="G6" s="193"/>
      <c r="H6" s="193"/>
      <c r="I6" s="193"/>
      <c r="J6" s="193"/>
      <c r="K6" s="193"/>
      <c r="L6" s="194"/>
      <c r="M6" s="193"/>
      <c r="N6" s="194"/>
      <c r="O6" s="193"/>
      <c r="P6" s="200"/>
      <c r="Q6" s="200"/>
      <c r="R6" s="200"/>
      <c r="S6" s="200"/>
      <c r="T6" s="200"/>
    </row>
    <row r="7" spans="1:20" ht="19.5" customHeight="1">
      <c r="A7" s="852" t="s">
        <v>90</v>
      </c>
      <c r="B7" s="853"/>
      <c r="C7" s="853"/>
      <c r="D7" s="853"/>
      <c r="E7" s="853"/>
      <c r="F7" s="31"/>
      <c r="G7" s="31"/>
      <c r="H7" s="31"/>
      <c r="I7" s="31"/>
      <c r="J7" s="31"/>
      <c r="K7" s="31"/>
      <c r="L7" s="32"/>
      <c r="M7" s="31"/>
      <c r="N7" s="32"/>
      <c r="O7" s="31"/>
      <c r="P7" s="33"/>
      <c r="Q7" s="33"/>
      <c r="R7" s="33"/>
      <c r="S7" s="33"/>
      <c r="T7" s="33"/>
    </row>
    <row r="8" spans="1:20" ht="21.75" customHeight="1">
      <c r="A8" s="34">
        <v>1</v>
      </c>
      <c r="B8" s="35" t="s">
        <v>88</v>
      </c>
      <c r="C8" s="36">
        <f>ROUND($E8*C$6,2)</f>
        <v>180.97</v>
      </c>
      <c r="D8" s="36">
        <f>ROUND($E8*D$6,2)</f>
        <v>271.45</v>
      </c>
      <c r="E8" s="47">
        <f>Capex!B33</f>
        <v>452.41769877818695</v>
      </c>
      <c r="F8" s="387"/>
      <c r="G8" s="38"/>
      <c r="H8" s="37"/>
      <c r="I8" s="37"/>
      <c r="J8" s="37"/>
      <c r="K8" s="37"/>
      <c r="L8" s="39"/>
      <c r="M8" s="37"/>
      <c r="N8" s="37"/>
      <c r="O8" s="37"/>
      <c r="P8" s="40"/>
      <c r="Q8" s="40"/>
      <c r="R8" s="40"/>
      <c r="S8" s="40"/>
      <c r="T8" s="40"/>
    </row>
    <row r="9" spans="1:20" s="178" customFormat="1" ht="25.5" customHeight="1">
      <c r="A9" s="41"/>
      <c r="B9" s="159" t="s">
        <v>89</v>
      </c>
      <c r="C9" s="723">
        <f>SUM(C8:C8)</f>
        <v>180.97</v>
      </c>
      <c r="D9" s="723">
        <f>SUM(D8:D8)</f>
        <v>271.45</v>
      </c>
      <c r="E9" s="724">
        <f>-E8</f>
        <v>-452.41769877818695</v>
      </c>
      <c r="F9" s="42"/>
      <c r="G9" s="42"/>
      <c r="H9" s="42"/>
      <c r="I9" s="42"/>
      <c r="J9" s="42"/>
      <c r="K9" s="42"/>
      <c r="L9" s="43"/>
      <c r="M9" s="43"/>
      <c r="N9" s="43"/>
      <c r="O9" s="43"/>
      <c r="P9" s="44"/>
      <c r="Q9" s="44"/>
      <c r="R9" s="44"/>
      <c r="S9" s="44"/>
      <c r="T9" s="44"/>
    </row>
    <row r="10" spans="1:20">
      <c r="A10" s="45">
        <v>2</v>
      </c>
      <c r="B10" s="46" t="s">
        <v>11</v>
      </c>
      <c r="C10" s="434"/>
      <c r="D10" s="434"/>
      <c r="E10" s="435"/>
      <c r="F10" s="48">
        <f>F11+F12</f>
        <v>279.536992</v>
      </c>
      <c r="G10" s="48">
        <f t="shared" ref="G10:T10" si="0">G11+G12</f>
        <v>359.40470400000004</v>
      </c>
      <c r="H10" s="48">
        <f t="shared" si="0"/>
        <v>379.37163200000003</v>
      </c>
      <c r="I10" s="48">
        <f t="shared" si="0"/>
        <v>379.37163200000003</v>
      </c>
      <c r="J10" s="48">
        <f t="shared" si="0"/>
        <v>379.37163200000003</v>
      </c>
      <c r="K10" s="48">
        <f t="shared" si="0"/>
        <v>379.37163200000003</v>
      </c>
      <c r="L10" s="48">
        <f t="shared" si="0"/>
        <v>379.37163200000003</v>
      </c>
      <c r="M10" s="48">
        <f t="shared" si="0"/>
        <v>379.37163200000003</v>
      </c>
      <c r="N10" s="48">
        <f t="shared" si="0"/>
        <v>379.37163200000003</v>
      </c>
      <c r="O10" s="48">
        <f t="shared" si="0"/>
        <v>379.37163200000003</v>
      </c>
      <c r="P10" s="48">
        <f t="shared" si="0"/>
        <v>379.37163200000003</v>
      </c>
      <c r="Q10" s="48">
        <f t="shared" si="0"/>
        <v>379.37163200000003</v>
      </c>
      <c r="R10" s="48">
        <f t="shared" si="0"/>
        <v>379.37163200000003</v>
      </c>
      <c r="S10" s="48">
        <f t="shared" si="0"/>
        <v>379.37163200000003</v>
      </c>
      <c r="T10" s="48">
        <f t="shared" si="0"/>
        <v>379.37163200000003</v>
      </c>
    </row>
    <row r="11" spans="1:20" s="178" customFormat="1">
      <c r="A11" s="49"/>
      <c r="B11" s="29" t="s">
        <v>188</v>
      </c>
      <c r="C11" s="29"/>
      <c r="D11" s="29"/>
      <c r="E11" s="50">
        <v>1</v>
      </c>
      <c r="F11" s="51">
        <f>IF(F$2&lt;=$C$174,0,Norms!$E$39*F$3*(1+$C$173)^(F$2-$C$174-1))</f>
        <v>11.275992</v>
      </c>
      <c r="G11" s="51">
        <f>IF(G$2&lt;=$C$174,0,Norms!$E$39*G$3*(1+$C$173)^(G$2-$C$174-1))</f>
        <v>14.497704000000001</v>
      </c>
      <c r="H11" s="51">
        <f>IF(H$2&lt;=$C$174,0,Norms!$E$39*H$3*(1+$C$173)^(H$2-$C$174-1))</f>
        <v>15.303132</v>
      </c>
      <c r="I11" s="51">
        <f>IF(I$2&lt;=$C$174,0,Norms!$E$39*I$3*(1+$C$173)^(I$2-$C$174-1))</f>
        <v>15.303132</v>
      </c>
      <c r="J11" s="51">
        <f>IF(J$2&lt;=$C$174,0,Norms!$E$39*J$3*(1+$C$173)^(J$2-$C$174-1))</f>
        <v>15.303132</v>
      </c>
      <c r="K11" s="51">
        <f>IF(K$2&lt;=$C$174,0,Norms!$E$39*K$3*(1+$C$173)^(K$2-$C$174-1))</f>
        <v>15.303132</v>
      </c>
      <c r="L11" s="51">
        <f>IF(L$2&lt;=$C$174,0,Norms!$E$39*L$3*(1+$C$173)^(L$2-$C$174-1))</f>
        <v>15.303132</v>
      </c>
      <c r="M11" s="51">
        <f>IF(M$2&lt;=$C$174,0,Norms!$E$39*M$3*(1+$C$173)^(M$2-$C$174-1))</f>
        <v>15.303132</v>
      </c>
      <c r="N11" s="51">
        <f>IF(N$2&lt;=$C$174,0,Norms!$E$39*N$3*(1+$C$173)^(N$2-$C$174-1))</f>
        <v>15.303132</v>
      </c>
      <c r="O11" s="51">
        <f>IF(O$2&lt;=$C$174,0,Norms!$E$39*O$3*(1+$C$173)^(O$2-$C$174-1))</f>
        <v>15.303132</v>
      </c>
      <c r="P11" s="51">
        <f>IF(P$2&lt;=$C$174,0,Norms!$E$39*P$3*(1+$C$173)^(P$2-$C$174-1))</f>
        <v>15.303132</v>
      </c>
      <c r="Q11" s="51">
        <f>IF(Q$2&lt;=$C$174,0,Norms!$E$39*Q$3*(1+$C$173)^(Q$2-$C$174-1))</f>
        <v>15.303132</v>
      </c>
      <c r="R11" s="51">
        <f>IF(R$2&lt;=$C$174,0,Norms!$E$39*R$3*(1+$C$173)^(R$2-$C$174-1))</f>
        <v>15.303132</v>
      </c>
      <c r="S11" s="51">
        <f>IF(S$2&lt;=$C$174,0,Norms!$E$39*S$3*(1+$C$173)^(S$2-$C$174-1))</f>
        <v>15.303132</v>
      </c>
      <c r="T11" s="51">
        <f>IF(T$2&lt;=$C$174,0,Norms!$E$39*T$3*(1+$C$173)^(T$2-$C$174-1))</f>
        <v>15.303132</v>
      </c>
    </row>
    <row r="12" spans="1:20" s="178" customFormat="1">
      <c r="A12" s="49"/>
      <c r="B12" s="29" t="s">
        <v>232</v>
      </c>
      <c r="C12" s="29"/>
      <c r="D12" s="29"/>
      <c r="E12" s="50"/>
      <c r="F12" s="51">
        <f>IF(F$2&lt;=$C$174,0,Norms!$E$43*F$3*(1+$C$173)^(F$2-$C$174-1))</f>
        <v>268.26100000000002</v>
      </c>
      <c r="G12" s="51">
        <f>IF(G$2&lt;=$C$174,0,Norms!$E$43*G$3*(1+$C$173)^(G$2-$C$174-1))</f>
        <v>344.90700000000004</v>
      </c>
      <c r="H12" s="51">
        <f>IF(H$2&lt;=$C$174,0,Norms!$E$43*H$3*(1+$C$173)^(H$2-$C$174-1))</f>
        <v>364.06850000000003</v>
      </c>
      <c r="I12" s="51">
        <f>IF(I$2&lt;=$C$174,0,Norms!$E$43*I$3*(1+$C$173)^(I$2-$C$174-1))</f>
        <v>364.06850000000003</v>
      </c>
      <c r="J12" s="51">
        <f>IF(J$2&lt;=$C$174,0,Norms!$E$43*J$3*(1+$C$173)^(J$2-$C$174-1))</f>
        <v>364.06850000000003</v>
      </c>
      <c r="K12" s="51">
        <f>IF(K$2&lt;=$C$174,0,Norms!$E$43*K$3*(1+$C$173)^(K$2-$C$174-1))</f>
        <v>364.06850000000003</v>
      </c>
      <c r="L12" s="51">
        <f>IF(L$2&lt;=$C$174,0,Norms!$E$43*L$3*(1+$C$173)^(L$2-$C$174-1))</f>
        <v>364.06850000000003</v>
      </c>
      <c r="M12" s="51">
        <f>IF(M$2&lt;=$C$174,0,Norms!$E$43*M$3*(1+$C$173)^(M$2-$C$174-1))</f>
        <v>364.06850000000003</v>
      </c>
      <c r="N12" s="51">
        <f>IF(N$2&lt;=$C$174,0,Norms!$E$43*N$3*(1+$C$173)^(N$2-$C$174-1))</f>
        <v>364.06850000000003</v>
      </c>
      <c r="O12" s="51">
        <f>IF(O$2&lt;=$C$174,0,Norms!$E$43*O$3*(1+$C$173)^(O$2-$C$174-1))</f>
        <v>364.06850000000003</v>
      </c>
      <c r="P12" s="51">
        <f>IF(P$2&lt;=$C$174,0,Norms!$E$43*P$3*(1+$C$173)^(P$2-$C$174-1))</f>
        <v>364.06850000000003</v>
      </c>
      <c r="Q12" s="51">
        <f>IF(Q$2&lt;=$C$174,0,Norms!$E$43*Q$3*(1+$C$173)^(Q$2-$C$174-1))</f>
        <v>364.06850000000003</v>
      </c>
      <c r="R12" s="51">
        <f>IF(R$2&lt;=$C$174,0,Norms!$E$43*R$3*(1+$C$173)^(R$2-$C$174-1))</f>
        <v>364.06850000000003</v>
      </c>
      <c r="S12" s="51">
        <f>IF(S$2&lt;=$C$174,0,Norms!$E$43*S$3*(1+$C$173)^(S$2-$C$174-1))</f>
        <v>364.06850000000003</v>
      </c>
      <c r="T12" s="51">
        <f>IF(T$2&lt;=$C$174,0,Norms!$E$43*T$3*(1+$C$173)^(T$2-$C$174-1))</f>
        <v>364.06850000000003</v>
      </c>
    </row>
    <row r="13" spans="1:20">
      <c r="A13" s="49"/>
      <c r="B13" s="52"/>
      <c r="C13" s="52"/>
      <c r="D13" s="52"/>
      <c r="E13" s="53"/>
      <c r="F13" s="54"/>
      <c r="G13" s="54"/>
      <c r="H13" s="54"/>
      <c r="I13" s="54"/>
      <c r="J13" s="54"/>
      <c r="K13" s="54"/>
      <c r="L13" s="54"/>
      <c r="M13" s="54"/>
      <c r="N13" s="54"/>
      <c r="O13" s="54"/>
      <c r="P13" s="54"/>
      <c r="Q13" s="54"/>
      <c r="R13" s="54"/>
      <c r="S13" s="54"/>
      <c r="T13" s="54"/>
    </row>
    <row r="14" spans="1:20">
      <c r="A14" s="45">
        <v>3</v>
      </c>
      <c r="B14" s="46" t="s">
        <v>60</v>
      </c>
      <c r="C14" s="46"/>
      <c r="D14" s="46"/>
      <c r="E14" s="61"/>
      <c r="F14" s="37"/>
      <c r="G14" s="37"/>
      <c r="H14" s="37"/>
      <c r="I14" s="37"/>
      <c r="J14" s="37"/>
      <c r="K14" s="37"/>
      <c r="L14" s="37"/>
      <c r="M14" s="37"/>
      <c r="N14" s="37"/>
      <c r="O14" s="37"/>
      <c r="P14" s="40"/>
      <c r="Q14" s="40"/>
      <c r="R14" s="40"/>
      <c r="S14" s="40"/>
      <c r="T14" s="40"/>
    </row>
    <row r="15" spans="1:20">
      <c r="A15" s="49"/>
      <c r="B15" s="55" t="s">
        <v>362</v>
      </c>
      <c r="C15" s="55"/>
      <c r="D15" s="55"/>
      <c r="E15" s="62">
        <f>H15/$H$21</f>
        <v>0.88755579999113643</v>
      </c>
      <c r="F15" s="51">
        <f>IF(F$2&lt;=$C$174,0,(Opex!E4+Opex!E17)*F$3*(1+$C$173)^(F$2-$C$174-1))</f>
        <v>153.71596116999086</v>
      </c>
      <c r="G15" s="51">
        <f>IF(G$2&lt;=$C$174,0,(Opex!F4+Opex!F16)*G$3*(1+$C$173)^(G$2-$C$174-1))</f>
        <v>200.42145800034137</v>
      </c>
      <c r="H15" s="51">
        <f>IF(H$2&lt;=$C$174,0,(Opex!G4+Opex!G16)*H$3*(1+$C$173)^(H$2-$C$174-1))</f>
        <v>214.8139455898548</v>
      </c>
      <c r="I15" s="51">
        <f>IF(I$2&lt;=$C$174,0,(Opex!H4+Opex!H16)*I$3*(1+$C$173)^(I$2-$C$174-1))</f>
        <v>217.97171059002562</v>
      </c>
      <c r="J15" s="51">
        <f>IF(J$2&lt;=$C$174,0,(Opex!I4+Opex!I16)*J$3*(1+$C$173)^(J$2-$C$174-1))</f>
        <v>220.60916828816494</v>
      </c>
      <c r="K15" s="51">
        <f>IF(K$2&lt;=$C$174,0,(Opex!J4+Opex!J16)*K$3*(1+$C$173)^(K$2-$C$174-1))</f>
        <v>223.56533114322636</v>
      </c>
      <c r="L15" s="51">
        <f>IF(L$2&lt;=$C$174,0,(Opex!K4+Opex!K16)*L$3*(1+$C$173)^(L$2-$C$174-1))</f>
        <v>226.49403698120261</v>
      </c>
      <c r="M15" s="51">
        <f>IF(M$2&lt;=$C$174,0,(Opex!L4+Opex!L16)*M$3*(1+$C$173)^(M$2-$C$174-1))</f>
        <v>229.55170648044887</v>
      </c>
      <c r="N15" s="51">
        <f>IF(N$2&lt;=$C$174,0,(Opex!M4+Opex!M16)*N$3*(1+$C$173)^(N$2-$C$174-1))</f>
        <v>232.99498207765561</v>
      </c>
      <c r="O15" s="51">
        <f>IF(O$2&lt;=$C$174,0,(Opex!N4+Opex!N16)*O$3*(1+$C$173)^(O$2-$C$174-1))</f>
        <v>235.41812989126325</v>
      </c>
      <c r="P15" s="51">
        <f>IF(P$2&lt;=$C$174,0,(Opex!O4+Opex!O16)*P$3*(1+$C$173)^(P$2-$C$174-1))</f>
        <v>238.05481294604539</v>
      </c>
      <c r="Q15" s="51">
        <f>IF(Q$2&lt;=$C$174,0,(Opex!P4+Opex!P16)*Q$3*(1+$C$173)^(Q$2-$C$174-1))</f>
        <v>240.79244329492491</v>
      </c>
      <c r="R15" s="51">
        <f>IF(R$2&lt;=$C$174,0,(Opex!Q4+Opex!Q16)*R$3*(1+$C$173)^(R$2-$C$174-1))</f>
        <v>243.32076394952162</v>
      </c>
      <c r="S15" s="51">
        <f>IF(S$2&lt;=$C$174,0,(Opex!R4+Opex!R16)*S$3*(1+$C$173)^(S$2-$C$174-1))</f>
        <v>245.82696781820169</v>
      </c>
      <c r="T15" s="51">
        <f>IF(T$2&lt;=$C$174,0,(Opex!S4+Opex!S16)*T$3*(1+$C$173)^(T$2-$C$174-1))</f>
        <v>248.33440288994734</v>
      </c>
    </row>
    <row r="16" spans="1:20">
      <c r="A16" s="49"/>
      <c r="B16" s="55" t="s">
        <v>360</v>
      </c>
      <c r="C16" s="55"/>
      <c r="D16" s="55"/>
      <c r="E16" s="62">
        <f>H16/$H$21</f>
        <v>0.11244420000886358</v>
      </c>
      <c r="F16" s="51">
        <f>IF(F$2&lt;=$C$174,0,(Opex!E6)*F$3*(1+$C$173)^(F$2-$C$174-1))</f>
        <v>19.441640992208814</v>
      </c>
      <c r="G16" s="51">
        <f>IF(G$2&lt;=$C$174,0,(Opex!F6)*G$3*(1+$C$173)^(G$2-$C$174-1))</f>
        <v>25.383839692613211</v>
      </c>
      <c r="H16" s="51">
        <f>IF(H$2&lt;=$C$174,0,(Opex!G6)*H$3*(1+$C$173)^(H$2-$C$174-1))</f>
        <v>27.214719641108754</v>
      </c>
      <c r="I16" s="51">
        <f>IF(I$2&lt;=$C$174,0,(Opex!H6)*I$3*(1+$C$173)^(I$2-$C$174-1))</f>
        <v>27.603890131976605</v>
      </c>
      <c r="J16" s="51">
        <f>IF(J$2&lt;=$C$174,0,(Opex!I6)*J$3*(1+$C$173)^(J$2-$C$174-1))</f>
        <v>27.990344593824283</v>
      </c>
      <c r="K16" s="51">
        <f>IF(K$2&lt;=$C$174,0,(Opex!J6)*K$3*(1+$C$173)^(K$2-$C$174-1))</f>
        <v>28.365415211381521</v>
      </c>
      <c r="L16" s="51">
        <f>IF(L$2&lt;=$C$174,0,(Opex!K6)*L$3*(1+$C$173)^(L$2-$C$174-1))</f>
        <v>28.745511775214037</v>
      </c>
      <c r="M16" s="51">
        <f>IF(M$2&lt;=$C$174,0,(Opex!L6)*M$3*(1+$C$173)^(M$2-$C$174-1))</f>
        <v>29.130701633001905</v>
      </c>
      <c r="N16" s="51">
        <f>IF(N$2&lt;=$C$174,0,(Opex!M6)*N$3*(1+$C$173)^(N$2-$C$174-1))</f>
        <v>29.52105303488413</v>
      </c>
      <c r="O16" s="51">
        <f>IF(O$2&lt;=$C$174,0,(Opex!N6)*O$3*(1+$C$173)^(O$2-$C$174-1))</f>
        <v>29.916635145551581</v>
      </c>
      <c r="P16" s="51">
        <f>IF(P$2&lt;=$C$174,0,(Opex!O6)*P$3*(1+$C$173)^(P$2-$C$174-1))</f>
        <v>30.317518056501967</v>
      </c>
      <c r="Q16" s="51">
        <f>IF(Q$2&lt;=$C$174,0,(Opex!P6)*Q$3*(1+$C$173)^(Q$2-$C$174-1))</f>
        <v>30.723772798459098</v>
      </c>
      <c r="R16" s="51">
        <f>IF(R$2&lt;=$C$174,0,(Opex!Q6)*R$3*(1+$C$173)^(R$2-$C$174-1))</f>
        <v>31.135471353958447</v>
      </c>
      <c r="S16" s="51">
        <f>IF(S$2&lt;=$C$174,0,(Opex!R6)*S$3*(1+$C$173)^(S$2-$C$174-1))</f>
        <v>31.552686670101494</v>
      </c>
      <c r="T16" s="51">
        <f>IF(T$2&lt;=$C$174,0,(Opex!S6)*T$3*(1+$C$173)^(T$2-$C$174-1))</f>
        <v>31.975492671480851</v>
      </c>
    </row>
    <row r="17" spans="1:20">
      <c r="A17" s="49"/>
      <c r="B17" s="4" t="s">
        <v>3</v>
      </c>
      <c r="C17" s="465"/>
      <c r="D17" s="705"/>
      <c r="E17" s="62">
        <f t="shared" ref="E17:E20" si="1">H17/$H$21</f>
        <v>6.2992792403259709E-2</v>
      </c>
      <c r="F17" s="51">
        <f>IF(F$2&lt;=$C$174,0,(Opex!E7)*F$3*(1+$C$173)^(F$2-$C$174-1))</f>
        <v>10.891475548799997</v>
      </c>
      <c r="G17" s="51">
        <f>IF(G$2&lt;=$C$174,0,(Opex!F7)*G$3*(1+$C$173)^(G$2-$C$174-1))</f>
        <v>14.220377254036798</v>
      </c>
      <c r="H17" s="51">
        <f>IF(H$2&lt;=$C$174,0,(Opex!G7)*H$3*(1+$C$173)^(H$2-$C$174-1))</f>
        <v>15.246061464532128</v>
      </c>
      <c r="I17" s="51">
        <f>IF(I$2&lt;=$C$174,0,(Opex!H7)*I$3*(1+$C$173)^(I$2-$C$174-1))</f>
        <v>15.464080143474936</v>
      </c>
      <c r="J17" s="51">
        <f>IF(J$2&lt;=$C$174,0,(Opex!I7)*J$3*(1+$C$173)^(J$2-$C$174-1))</f>
        <v>15.680577265483587</v>
      </c>
      <c r="K17" s="51">
        <f>IF(K$2&lt;=$C$174,0,(Opex!J7)*K$3*(1+$C$173)^(K$2-$C$174-1))</f>
        <v>15.890697000841065</v>
      </c>
      <c r="L17" s="51">
        <f>IF(L$2&lt;=$C$174,0,(Opex!K7)*L$3*(1+$C$173)^(L$2-$C$174-1))</f>
        <v>16.103632340652336</v>
      </c>
      <c r="M17" s="51">
        <f>IF(M$2&lt;=$C$174,0,(Opex!L7)*M$3*(1+$C$173)^(M$2-$C$174-1))</f>
        <v>16.319421014017081</v>
      </c>
      <c r="N17" s="51">
        <f>IF(N$2&lt;=$C$174,0,(Opex!M7)*N$3*(1+$C$173)^(N$2-$C$174-1))</f>
        <v>16.538101255604907</v>
      </c>
      <c r="O17" s="51">
        <f>IF(O$2&lt;=$C$174,0,(Opex!N7)*O$3*(1+$C$173)^(O$2-$C$174-1))</f>
        <v>16.759711812430016</v>
      </c>
      <c r="P17" s="51">
        <f>IF(P$2&lt;=$C$174,0,(Opex!O7)*P$3*(1+$C$173)^(P$2-$C$174-1))</f>
        <v>16.984291950716575</v>
      </c>
      <c r="Q17" s="51">
        <f>IF(Q$2&lt;=$C$174,0,(Opex!P7)*Q$3*(1+$C$173)^(Q$2-$C$174-1))</f>
        <v>17.21188146285618</v>
      </c>
      <c r="R17" s="51">
        <f>IF(R$2&lt;=$C$174,0,(Opex!Q7)*R$3*(1+$C$173)^(R$2-$C$174-1))</f>
        <v>17.442520674458454</v>
      </c>
      <c r="S17" s="51">
        <f>IF(S$2&lt;=$C$174,0,(Opex!R7)*S$3*(1+$C$173)^(S$2-$C$174-1))</f>
        <v>17.676250451496195</v>
      </c>
      <c r="T17" s="51">
        <f>IF(T$2&lt;=$C$174,0,(Opex!S7)*T$3*(1+$C$173)^(T$2-$C$174-1))</f>
        <v>17.913112207546245</v>
      </c>
    </row>
    <row r="18" spans="1:20">
      <c r="A18" s="49"/>
      <c r="B18" s="523" t="s">
        <v>356</v>
      </c>
      <c r="C18" s="465"/>
      <c r="D18" s="465"/>
      <c r="E18" s="62">
        <f t="shared" si="1"/>
        <v>1.4170012198667639E-2</v>
      </c>
      <c r="F18" s="51">
        <f>IF(F$2&lt;=$C$174,0,(Opex!E8)*F$3*(1+$C$173)^(F$2-$C$174-1))</f>
        <v>2.4499999999999997</v>
      </c>
      <c r="G18" s="51">
        <f>IF(G$2&lt;=$C$174,0,(Opex!F8)*G$3*(1+$C$173)^(G$2-$C$174-1))</f>
        <v>3.1988250000000003</v>
      </c>
      <c r="H18" s="51">
        <f>IF(H$2&lt;=$C$174,0,(Opex!G8)*H$3*(1+$C$173)^(H$2-$C$174-1))</f>
        <v>3.4295491387499997</v>
      </c>
      <c r="I18" s="51">
        <f>IF(I$2&lt;=$C$174,0,(Opex!H8)*I$3*(1+$C$173)^(I$2-$C$174-1))</f>
        <v>3.4785916914341248</v>
      </c>
      <c r="J18" s="51">
        <f>IF(J$2&lt;=$C$174,0,(Opex!I8)*J$3*(1+$C$173)^(J$2-$C$174-1))</f>
        <v>3.5272919751142027</v>
      </c>
      <c r="K18" s="51">
        <f>IF(K$2&lt;=$C$174,0,(Opex!J8)*K$3*(1+$C$173)^(K$2-$C$174-1))</f>
        <v>3.5745576875807328</v>
      </c>
      <c r="L18" s="51">
        <f>IF(L$2&lt;=$C$174,0,(Opex!K8)*L$3*(1+$C$173)^(L$2-$C$174-1))</f>
        <v>3.6224567605943148</v>
      </c>
      <c r="M18" s="51">
        <f>IF(M$2&lt;=$C$174,0,(Opex!L8)*M$3*(1+$C$173)^(M$2-$C$174-1))</f>
        <v>3.6709976811862783</v>
      </c>
      <c r="N18" s="51">
        <f>IF(N$2&lt;=$C$174,0,(Opex!M8)*N$3*(1+$C$173)^(N$2-$C$174-1))</f>
        <v>3.7201890501141746</v>
      </c>
      <c r="O18" s="51">
        <f>IF(O$2&lt;=$C$174,0,(Opex!N8)*O$3*(1+$C$173)^(O$2-$C$174-1))</f>
        <v>3.7700395833857048</v>
      </c>
      <c r="P18" s="51">
        <f>IF(P$2&lt;=$C$174,0,(Opex!O8)*P$3*(1+$C$173)^(P$2-$C$174-1))</f>
        <v>3.8205581138030733</v>
      </c>
      <c r="Q18" s="51">
        <f>IF(Q$2&lt;=$C$174,0,(Opex!P8)*Q$3*(1+$C$173)^(Q$2-$C$174-1))</f>
        <v>3.8717535925280342</v>
      </c>
      <c r="R18" s="51">
        <f>IF(R$2&lt;=$C$174,0,(Opex!Q8)*R$3*(1+$C$173)^(R$2-$C$174-1))</f>
        <v>3.9236350906679101</v>
      </c>
      <c r="S18" s="51">
        <f>IF(S$2&lt;=$C$174,0,(Opex!R8)*S$3*(1+$C$173)^(S$2-$C$174-1))</f>
        <v>3.9762118008828597</v>
      </c>
      <c r="T18" s="51">
        <f>IF(T$2&lt;=$C$174,0,(Opex!S8)*T$3*(1+$C$173)^(T$2-$C$174-1))</f>
        <v>4.0294930390146897</v>
      </c>
    </row>
    <row r="19" spans="1:20">
      <c r="A19" s="49"/>
      <c r="B19" s="523" t="s">
        <v>358</v>
      </c>
      <c r="C19" s="465"/>
      <c r="D19" s="465"/>
      <c r="E19" s="62">
        <f t="shared" si="1"/>
        <v>3.384106314657883E-2</v>
      </c>
      <c r="F19" s="51">
        <f>IF(F$2&lt;=$C$174,0,(Opex!E9)*F$3*(1+$C$173)^(F$2-$C$174-1))</f>
        <v>5.851131498455163</v>
      </c>
      <c r="G19" s="51">
        <f>IF(G$2&lt;=$C$174,0,(Opex!F9)*G$3*(1+$C$173)^(G$2-$C$174-1))</f>
        <v>7.6394880471615672</v>
      </c>
      <c r="H19" s="51">
        <f>IF(H$2&lt;=$C$174,0,(Opex!G9)*H$3*(1+$C$173)^(H$2-$C$174-1))</f>
        <v>8.1905073433632261</v>
      </c>
      <c r="I19" s="51">
        <f>IF(I$2&lt;=$C$174,0,(Opex!H9)*I$3*(1+$C$173)^(I$2-$C$174-1))</f>
        <v>8.3076315983733213</v>
      </c>
      <c r="J19" s="51">
        <f>IF(J$2&lt;=$C$174,0,(Opex!I9)*J$3*(1+$C$173)^(J$2-$C$174-1))</f>
        <v>8.4239384407505469</v>
      </c>
      <c r="K19" s="51">
        <f>IF(K$2&lt;=$C$174,0,(Opex!J9)*K$3*(1+$C$173)^(K$2-$C$174-1))</f>
        <v>8.536819215856605</v>
      </c>
      <c r="L19" s="51">
        <f>IF(L$2&lt;=$C$174,0,(Opex!K9)*L$3*(1+$C$173)^(L$2-$C$174-1))</f>
        <v>8.6512125933490829</v>
      </c>
      <c r="M19" s="51">
        <f>IF(M$2&lt;=$C$174,0,(Opex!L9)*M$3*(1+$C$173)^(M$2-$C$174-1))</f>
        <v>8.7671388420999605</v>
      </c>
      <c r="N19" s="51">
        <f>IF(N$2&lt;=$C$174,0,(Opex!M9)*N$3*(1+$C$173)^(N$2-$C$174-1))</f>
        <v>8.8846185025841002</v>
      </c>
      <c r="O19" s="51">
        <f>IF(O$2&lt;=$C$174,0,(Opex!N9)*O$3*(1+$C$173)^(O$2-$C$174-1))</f>
        <v>9.0036723905187284</v>
      </c>
      <c r="P19" s="51">
        <f>IF(P$2&lt;=$C$174,0,(Opex!O9)*P$3*(1+$C$173)^(P$2-$C$174-1))</f>
        <v>9.1243216005516778</v>
      </c>
      <c r="Q19" s="51">
        <f>IF(Q$2&lt;=$C$174,0,(Opex!P9)*Q$3*(1+$C$173)^(Q$2-$C$174-1))</f>
        <v>9.2465875099990722</v>
      </c>
      <c r="R19" s="51">
        <f>IF(R$2&lt;=$C$174,0,(Opex!Q9)*R$3*(1+$C$173)^(R$2-$C$174-1))</f>
        <v>9.3704917826330583</v>
      </c>
      <c r="S19" s="51">
        <f>IF(S$2&lt;=$C$174,0,(Opex!R9)*S$3*(1+$C$173)^(S$2-$C$174-1))</f>
        <v>9.4960563725203411</v>
      </c>
      <c r="T19" s="51">
        <f>IF(T$2&lt;=$C$174,0,(Opex!S9)*T$3*(1+$C$173)^(T$2-$C$174-1))</f>
        <v>9.623303527912114</v>
      </c>
    </row>
    <row r="20" spans="1:20">
      <c r="A20" s="49"/>
      <c r="B20" s="524" t="s">
        <v>267</v>
      </c>
      <c r="C20" s="465"/>
      <c r="D20" s="465"/>
      <c r="E20" s="62">
        <f t="shared" si="1"/>
        <v>1.4403322603573942E-3</v>
      </c>
      <c r="F20" s="51">
        <f>IF(F$2&lt;=$C$174,0,(Opex!E10)*F$3*(1+$C$173)^(F$2-$C$174-1))</f>
        <v>0.24903394495365491</v>
      </c>
      <c r="G20" s="51">
        <f>IF(G$2&lt;=$C$174,0,(Opex!F10)*G$3*(1+$C$173)^(G$2-$C$174-1))</f>
        <v>0.325149391414847</v>
      </c>
      <c r="H20" s="51">
        <f>IF(H$2&lt;=$C$174,0,(Opex!G10)*H$3*(1+$C$173)^(H$2-$C$174-1))</f>
        <v>0.34860169446339678</v>
      </c>
      <c r="I20" s="51">
        <f>IF(I$2&lt;=$C$174,0,(Opex!H10)*I$3*(1+$C$173)^(I$2-$C$174-1))</f>
        <v>0.35358669869422332</v>
      </c>
      <c r="J20" s="51">
        <f>IF(J$2&lt;=$C$174,0,(Opex!I10)*J$3*(1+$C$173)^(J$2-$C$174-1))</f>
        <v>0.35853691247594249</v>
      </c>
      <c r="K20" s="51">
        <f>IF(K$2&lt;=$C$174,0,(Opex!J10)*K$3*(1+$C$173)^(K$2-$C$174-1))</f>
        <v>0.36334130710312013</v>
      </c>
      <c r="L20" s="51">
        <f>IF(L$2&lt;=$C$174,0,(Opex!K10)*L$3*(1+$C$173)^(L$2-$C$174-1))</f>
        <v>0.3682100806183019</v>
      </c>
      <c r="M20" s="51">
        <f>IF(M$2&lt;=$C$174,0,(Opex!L10)*M$3*(1+$C$173)^(M$2-$C$174-1))</f>
        <v>0.3731440956985872</v>
      </c>
      <c r="N20" s="51">
        <f>IF(N$2&lt;=$C$174,0,(Opex!M10)*N$3*(1+$C$173)^(N$2-$C$174-1))</f>
        <v>0.37814422658094821</v>
      </c>
      <c r="O20" s="51">
        <f>IF(O$2&lt;=$C$174,0,(Opex!N10)*O$3*(1+$C$173)^(O$2-$C$174-1))</f>
        <v>0.38321135921713295</v>
      </c>
      <c r="P20" s="51">
        <f>IF(P$2&lt;=$C$174,0,(Opex!O10)*P$3*(1+$C$173)^(P$2-$C$174-1))</f>
        <v>0.38834639143064248</v>
      </c>
      <c r="Q20" s="51">
        <f>IF(Q$2&lt;=$C$174,0,(Opex!P10)*Q$3*(1+$C$173)^(Q$2-$C$174-1))</f>
        <v>0.39355023307581316</v>
      </c>
      <c r="R20" s="51">
        <f>IF(R$2&lt;=$C$174,0,(Opex!Q10)*R$3*(1+$C$173)^(R$2-$C$174-1))</f>
        <v>0.39882380619902902</v>
      </c>
      <c r="S20" s="51">
        <f>IF(S$2&lt;=$C$174,0,(Opex!R10)*S$3*(1+$C$173)^(S$2-$C$174-1))</f>
        <v>0.40416804520209604</v>
      </c>
      <c r="T20" s="51">
        <f>IF(T$2&lt;=$C$174,0,(Opex!S10)*T$3*(1+$C$173)^(T$2-$C$174-1))</f>
        <v>0.40958389700780407</v>
      </c>
    </row>
    <row r="21" spans="1:20" s="178" customFormat="1">
      <c r="A21" s="41"/>
      <c r="B21" s="63" t="s">
        <v>12</v>
      </c>
      <c r="C21" s="63"/>
      <c r="D21" s="63"/>
      <c r="E21" s="64"/>
      <c r="F21" s="43">
        <f t="shared" ref="F21:T21" si="2">SUM(F15:F16)</f>
        <v>173.15760216219968</v>
      </c>
      <c r="G21" s="43">
        <f t="shared" si="2"/>
        <v>225.80529769295458</v>
      </c>
      <c r="H21" s="43">
        <f t="shared" si="2"/>
        <v>242.02866523096355</v>
      </c>
      <c r="I21" s="43">
        <f t="shared" si="2"/>
        <v>245.57560072200224</v>
      </c>
      <c r="J21" s="43">
        <f t="shared" si="2"/>
        <v>248.59951288198923</v>
      </c>
      <c r="K21" s="43">
        <f t="shared" si="2"/>
        <v>251.93074635460789</v>
      </c>
      <c r="L21" s="43">
        <f t="shared" si="2"/>
        <v>255.23954875641664</v>
      </c>
      <c r="M21" s="43">
        <f t="shared" si="2"/>
        <v>258.68240811345078</v>
      </c>
      <c r="N21" s="43">
        <f t="shared" si="2"/>
        <v>262.51603511253973</v>
      </c>
      <c r="O21" s="43">
        <f t="shared" si="2"/>
        <v>265.33476503681482</v>
      </c>
      <c r="P21" s="43">
        <f t="shared" si="2"/>
        <v>268.37233100254736</v>
      </c>
      <c r="Q21" s="43">
        <f t="shared" si="2"/>
        <v>271.516216093384</v>
      </c>
      <c r="R21" s="43">
        <f t="shared" si="2"/>
        <v>274.45623530348007</v>
      </c>
      <c r="S21" s="43">
        <f t="shared" si="2"/>
        <v>277.37965448830317</v>
      </c>
      <c r="T21" s="43">
        <f t="shared" si="2"/>
        <v>280.30989556142822</v>
      </c>
    </row>
    <row r="22" spans="1:20">
      <c r="A22" s="49"/>
      <c r="B22" s="55"/>
      <c r="C22" s="55"/>
      <c r="D22" s="55"/>
      <c r="E22" s="53"/>
      <c r="F22" s="51"/>
      <c r="G22" s="51"/>
      <c r="H22" s="51"/>
      <c r="I22" s="51"/>
      <c r="J22" s="51"/>
      <c r="K22" s="51"/>
      <c r="L22" s="51"/>
      <c r="M22" s="51"/>
      <c r="N22" s="51"/>
      <c r="O22" s="51"/>
      <c r="P22" s="23"/>
      <c r="S22" s="23"/>
      <c r="T22" s="23"/>
    </row>
    <row r="23" spans="1:20">
      <c r="A23" s="57">
        <v>4</v>
      </c>
      <c r="B23" s="58" t="s">
        <v>168</v>
      </c>
      <c r="C23" s="58"/>
      <c r="D23" s="58"/>
      <c r="E23" s="59"/>
      <c r="F23" s="60">
        <f t="shared" ref="F23:T23" si="3">F10-F21</f>
        <v>106.37938983780032</v>
      </c>
      <c r="G23" s="60">
        <f t="shared" si="3"/>
        <v>133.59940630704546</v>
      </c>
      <c r="H23" s="60">
        <f t="shared" si="3"/>
        <v>137.34296676903648</v>
      </c>
      <c r="I23" s="60">
        <f t="shared" si="3"/>
        <v>133.7960312779978</v>
      </c>
      <c r="J23" s="60">
        <f t="shared" si="3"/>
        <v>130.77211911801081</v>
      </c>
      <c r="K23" s="60">
        <f t="shared" si="3"/>
        <v>127.44088564539214</v>
      </c>
      <c r="L23" s="60">
        <f t="shared" si="3"/>
        <v>124.13208324358339</v>
      </c>
      <c r="M23" s="60">
        <f t="shared" si="3"/>
        <v>120.68922388654926</v>
      </c>
      <c r="N23" s="60">
        <f t="shared" si="3"/>
        <v>116.85559688746031</v>
      </c>
      <c r="O23" s="60">
        <f t="shared" si="3"/>
        <v>114.03686696318522</v>
      </c>
      <c r="P23" s="60">
        <f t="shared" si="3"/>
        <v>110.99930099745268</v>
      </c>
      <c r="Q23" s="60">
        <f t="shared" si="3"/>
        <v>107.85541590661603</v>
      </c>
      <c r="R23" s="60">
        <f t="shared" si="3"/>
        <v>104.91539669651996</v>
      </c>
      <c r="S23" s="60">
        <f t="shared" si="3"/>
        <v>101.99197751169686</v>
      </c>
      <c r="T23" s="60">
        <f t="shared" si="3"/>
        <v>99.061736438571813</v>
      </c>
    </row>
    <row r="24" spans="1:20" hidden="1">
      <c r="A24" s="49"/>
      <c r="B24" s="55" t="s">
        <v>166</v>
      </c>
      <c r="C24" s="55"/>
      <c r="D24" s="55"/>
      <c r="E24" s="53"/>
      <c r="F24" s="76">
        <f t="shared" ref="F24:T24" si="4">F23/F10</f>
        <v>0.38055567914889887</v>
      </c>
      <c r="G24" s="76">
        <f t="shared" si="4"/>
        <v>0.37172414501020401</v>
      </c>
      <c r="H24" s="76">
        <f t="shared" si="4"/>
        <v>0.36202750860674915</v>
      </c>
      <c r="I24" s="76">
        <f t="shared" si="4"/>
        <v>0.35267800750583739</v>
      </c>
      <c r="J24" s="76">
        <f t="shared" si="4"/>
        <v>0.34470716333901003</v>
      </c>
      <c r="K24" s="76">
        <f t="shared" si="4"/>
        <v>0.33592623932775273</v>
      </c>
      <c r="L24" s="76">
        <f t="shared" si="4"/>
        <v>0.32720444222245743</v>
      </c>
      <c r="M24" s="76">
        <f t="shared" si="4"/>
        <v>0.31812927933037766</v>
      </c>
      <c r="N24" s="76">
        <f t="shared" si="4"/>
        <v>0.30802407726537734</v>
      </c>
      <c r="O24" s="76">
        <f t="shared" si="4"/>
        <v>0.30059408069601051</v>
      </c>
      <c r="P24" s="76">
        <f t="shared" si="4"/>
        <v>0.29258724594740565</v>
      </c>
      <c r="Q24" s="76">
        <f t="shared" si="4"/>
        <v>0.28430016060509244</v>
      </c>
      <c r="R24" s="76">
        <f t="shared" si="4"/>
        <v>0.27655045303049952</v>
      </c>
      <c r="S24" s="76">
        <f t="shared" si="4"/>
        <v>0.26884450208890909</v>
      </c>
      <c r="T24" s="76">
        <f t="shared" si="4"/>
        <v>0.26112056907452641</v>
      </c>
    </row>
    <row r="25" spans="1:20" hidden="1">
      <c r="A25" s="49"/>
      <c r="B25" s="55" t="s">
        <v>165</v>
      </c>
      <c r="C25" s="55"/>
      <c r="D25" s="55"/>
      <c r="E25" s="53"/>
      <c r="F25" s="77">
        <f t="shared" ref="F25:T25" si="5">F23/(F3*200000)*10^7</f>
        <v>7598.5278455571661</v>
      </c>
      <c r="G25" s="77">
        <f t="shared" si="5"/>
        <v>7422.1892392803029</v>
      </c>
      <c r="H25" s="77">
        <f t="shared" si="5"/>
        <v>7228.5771983703407</v>
      </c>
      <c r="I25" s="77">
        <f t="shared" si="5"/>
        <v>7041.8963830525154</v>
      </c>
      <c r="J25" s="77">
        <f t="shared" si="5"/>
        <v>6882.7431114742531</v>
      </c>
      <c r="K25" s="77">
        <f t="shared" si="5"/>
        <v>6707.4150339680082</v>
      </c>
      <c r="L25" s="77">
        <f t="shared" si="5"/>
        <v>6533.267539135968</v>
      </c>
      <c r="M25" s="77">
        <f t="shared" si="5"/>
        <v>6352.0644150815397</v>
      </c>
      <c r="N25" s="77">
        <f t="shared" si="5"/>
        <v>6150.2945730242272</v>
      </c>
      <c r="O25" s="77">
        <f t="shared" si="5"/>
        <v>6001.9403664834326</v>
      </c>
      <c r="P25" s="77">
        <f t="shared" si="5"/>
        <v>5842.0684735501409</v>
      </c>
      <c r="Q25" s="77">
        <f t="shared" si="5"/>
        <v>5676.6008371903172</v>
      </c>
      <c r="R25" s="77">
        <f t="shared" si="5"/>
        <v>5521.8629840273661</v>
      </c>
      <c r="S25" s="77">
        <f t="shared" si="5"/>
        <v>5367.9988164050974</v>
      </c>
      <c r="T25" s="77">
        <f t="shared" si="5"/>
        <v>5213.7756020300958</v>
      </c>
    </row>
    <row r="26" spans="1:20" hidden="1">
      <c r="A26" s="45"/>
      <c r="B26" s="46" t="s">
        <v>14</v>
      </c>
      <c r="C26" s="36">
        <f>-C8</f>
        <v>-180.97</v>
      </c>
      <c r="D26" s="36">
        <f>-D8</f>
        <v>-271.45</v>
      </c>
      <c r="E26" s="47"/>
      <c r="F26" s="48">
        <f>F23+SUM(C26:D26)</f>
        <v>-346.04061016219964</v>
      </c>
      <c r="G26" s="48">
        <f t="shared" ref="G26:R26" si="6">G23</f>
        <v>133.59940630704546</v>
      </c>
      <c r="H26" s="48">
        <f t="shared" si="6"/>
        <v>137.34296676903648</v>
      </c>
      <c r="I26" s="48">
        <f t="shared" si="6"/>
        <v>133.7960312779978</v>
      </c>
      <c r="J26" s="48">
        <f t="shared" si="6"/>
        <v>130.77211911801081</v>
      </c>
      <c r="K26" s="48">
        <f t="shared" si="6"/>
        <v>127.44088564539214</v>
      </c>
      <c r="L26" s="48">
        <f t="shared" si="6"/>
        <v>124.13208324358339</v>
      </c>
      <c r="M26" s="48">
        <f t="shared" si="6"/>
        <v>120.68922388654926</v>
      </c>
      <c r="N26" s="48">
        <f t="shared" si="6"/>
        <v>116.85559688746031</v>
      </c>
      <c r="O26" s="48">
        <f t="shared" si="6"/>
        <v>114.03686696318522</v>
      </c>
      <c r="P26" s="48">
        <f t="shared" si="6"/>
        <v>110.99930099745268</v>
      </c>
      <c r="Q26" s="48">
        <f t="shared" si="6"/>
        <v>107.85541590661603</v>
      </c>
      <c r="R26" s="48">
        <f t="shared" si="6"/>
        <v>104.91539669651996</v>
      </c>
      <c r="S26" s="48">
        <f t="shared" ref="S26:T26" si="7">S23</f>
        <v>101.99197751169686</v>
      </c>
      <c r="T26" s="48">
        <f t="shared" si="7"/>
        <v>99.061736438571813</v>
      </c>
    </row>
    <row r="27" spans="1:20" hidden="1">
      <c r="A27" s="49"/>
      <c r="B27" s="55"/>
      <c r="C27" s="55"/>
      <c r="D27" s="55"/>
      <c r="E27" s="53"/>
      <c r="F27" s="51"/>
      <c r="G27" s="51"/>
      <c r="H27" s="51"/>
      <c r="I27" s="51"/>
      <c r="J27" s="51"/>
      <c r="K27" s="51"/>
      <c r="L27" s="51"/>
      <c r="M27" s="51"/>
      <c r="N27" s="51"/>
      <c r="O27" s="51"/>
      <c r="P27" s="51"/>
      <c r="Q27" s="51"/>
      <c r="R27" s="51"/>
      <c r="S27" s="51"/>
      <c r="T27" s="51"/>
    </row>
    <row r="28" spans="1:20" hidden="1">
      <c r="A28" s="49"/>
      <c r="B28" s="55" t="s">
        <v>15</v>
      </c>
      <c r="C28" s="410"/>
      <c r="D28" s="410"/>
      <c r="E28" s="53">
        <v>1</v>
      </c>
      <c r="F28" s="51">
        <f>E28/(1+0.1)</f>
        <v>0.90909090909090906</v>
      </c>
      <c r="G28" s="51">
        <f>F28/(1+0.1)</f>
        <v>0.82644628099173545</v>
      </c>
      <c r="H28" s="51">
        <f t="shared" ref="H28:R28" si="8">G28/(1+0.1)</f>
        <v>0.75131480090157765</v>
      </c>
      <c r="I28" s="51">
        <f t="shared" si="8"/>
        <v>0.68301345536507052</v>
      </c>
      <c r="J28" s="51">
        <f t="shared" si="8"/>
        <v>0.62092132305915493</v>
      </c>
      <c r="K28" s="51">
        <f t="shared" si="8"/>
        <v>0.56447393005377711</v>
      </c>
      <c r="L28" s="51">
        <f t="shared" si="8"/>
        <v>0.51315811823070645</v>
      </c>
      <c r="M28" s="51">
        <f t="shared" si="8"/>
        <v>0.46650738020973309</v>
      </c>
      <c r="N28" s="51">
        <f t="shared" si="8"/>
        <v>0.42409761837248461</v>
      </c>
      <c r="O28" s="51">
        <f t="shared" si="8"/>
        <v>0.38554328942953142</v>
      </c>
      <c r="P28" s="51">
        <f t="shared" si="8"/>
        <v>0.35049389948139215</v>
      </c>
      <c r="Q28" s="51">
        <f t="shared" si="8"/>
        <v>0.31863081771035645</v>
      </c>
      <c r="R28" s="51">
        <f t="shared" si="8"/>
        <v>0.28966437973668768</v>
      </c>
      <c r="S28" s="51">
        <f t="shared" ref="S28" si="9">R28/(1+0.1)</f>
        <v>0.26333125430607968</v>
      </c>
      <c r="T28" s="51">
        <f t="shared" ref="T28" si="10">S28/(1+0.1)</f>
        <v>0.23939204936916333</v>
      </c>
    </row>
    <row r="29" spans="1:20" hidden="1">
      <c r="A29" s="49"/>
      <c r="B29" s="55" t="s">
        <v>16</v>
      </c>
      <c r="C29" s="443"/>
      <c r="D29" s="443"/>
      <c r="E29" s="65"/>
      <c r="F29" s="54">
        <f>F26*F28</f>
        <v>-314.58237287472696</v>
      </c>
      <c r="G29" s="54">
        <f t="shared" ref="G29:R29" si="11">G26*G28</f>
        <v>110.41273248516153</v>
      </c>
      <c r="H29" s="54">
        <f t="shared" si="11"/>
        <v>103.18780373331064</v>
      </c>
      <c r="I29" s="54">
        <f t="shared" si="11"/>
        <v>91.384489637318325</v>
      </c>
      <c r="J29" s="54">
        <f t="shared" si="11"/>
        <v>81.199197222004685</v>
      </c>
      <c r="K29" s="54">
        <f t="shared" si="11"/>
        <v>71.937057569788493</v>
      </c>
      <c r="L29" s="54">
        <f t="shared" si="11"/>
        <v>63.699386249334665</v>
      </c>
      <c r="M29" s="54">
        <f t="shared" si="11"/>
        <v>56.302413654860032</v>
      </c>
      <c r="N29" s="54">
        <f t="shared" si="11"/>
        <v>49.558180333467043</v>
      </c>
      <c r="O29" s="54">
        <f t="shared" si="11"/>
        <v>43.966148805224286</v>
      </c>
      <c r="P29" s="54">
        <f t="shared" si="11"/>
        <v>38.904577846305969</v>
      </c>
      <c r="Q29" s="54">
        <f t="shared" si="11"/>
        <v>34.366059364815655</v>
      </c>
      <c r="R29" s="54">
        <f t="shared" si="11"/>
        <v>30.390253308925988</v>
      </c>
      <c r="S29" s="54">
        <f t="shared" ref="S29:T29" si="12">S26*S28</f>
        <v>26.857675367312606</v>
      </c>
      <c r="T29" s="54">
        <f t="shared" si="12"/>
        <v>23.714592100097629</v>
      </c>
    </row>
    <row r="30" spans="1:20" hidden="1">
      <c r="A30" s="49"/>
      <c r="B30" s="55" t="s">
        <v>17</v>
      </c>
      <c r="C30" s="55"/>
      <c r="D30" s="55"/>
      <c r="E30" s="65"/>
      <c r="F30" s="54">
        <f>F26</f>
        <v>-346.04061016219964</v>
      </c>
      <c r="G30" s="54">
        <f t="shared" ref="G30:R30" si="13">G26</f>
        <v>133.59940630704546</v>
      </c>
      <c r="H30" s="54">
        <f t="shared" si="13"/>
        <v>137.34296676903648</v>
      </c>
      <c r="I30" s="54">
        <f t="shared" si="13"/>
        <v>133.7960312779978</v>
      </c>
      <c r="J30" s="54">
        <f t="shared" si="13"/>
        <v>130.77211911801081</v>
      </c>
      <c r="K30" s="54">
        <f t="shared" si="13"/>
        <v>127.44088564539214</v>
      </c>
      <c r="L30" s="54">
        <f t="shared" si="13"/>
        <v>124.13208324358339</v>
      </c>
      <c r="M30" s="54">
        <f t="shared" si="13"/>
        <v>120.68922388654926</v>
      </c>
      <c r="N30" s="54">
        <f t="shared" si="13"/>
        <v>116.85559688746031</v>
      </c>
      <c r="O30" s="54">
        <f t="shared" si="13"/>
        <v>114.03686696318522</v>
      </c>
      <c r="P30" s="54">
        <f t="shared" si="13"/>
        <v>110.99930099745268</v>
      </c>
      <c r="Q30" s="54">
        <f t="shared" si="13"/>
        <v>107.85541590661603</v>
      </c>
      <c r="R30" s="54">
        <f t="shared" si="13"/>
        <v>104.91539669651996</v>
      </c>
      <c r="S30" s="54">
        <f t="shared" ref="S30:T30" si="14">S26</f>
        <v>101.99197751169686</v>
      </c>
      <c r="T30" s="54">
        <f t="shared" si="14"/>
        <v>99.061736438571813</v>
      </c>
    </row>
    <row r="31" spans="1:20" hidden="1">
      <c r="A31" s="66"/>
      <c r="B31" s="56" t="s">
        <v>181</v>
      </c>
      <c r="C31" s="56"/>
      <c r="D31" s="56"/>
      <c r="E31" s="67"/>
      <c r="F31" s="68">
        <f>F26</f>
        <v>-346.04061016219964</v>
      </c>
      <c r="G31" s="68">
        <f>F31+G26</f>
        <v>-212.44120385515419</v>
      </c>
      <c r="H31" s="68">
        <f t="shared" ref="H31:R31" si="15">G31+H26</f>
        <v>-75.098237086117706</v>
      </c>
      <c r="I31" s="68">
        <f t="shared" si="15"/>
        <v>58.697794191880092</v>
      </c>
      <c r="J31" s="68">
        <f t="shared" si="15"/>
        <v>189.4699133098909</v>
      </c>
      <c r="K31" s="68">
        <f t="shared" si="15"/>
        <v>316.91079895528304</v>
      </c>
      <c r="L31" s="68">
        <f t="shared" si="15"/>
        <v>441.04288219886644</v>
      </c>
      <c r="M31" s="68">
        <f t="shared" si="15"/>
        <v>561.73210608541569</v>
      </c>
      <c r="N31" s="68">
        <f t="shared" si="15"/>
        <v>678.58770297287606</v>
      </c>
      <c r="O31" s="68">
        <f t="shared" si="15"/>
        <v>792.62456993606133</v>
      </c>
      <c r="P31" s="68">
        <f t="shared" si="15"/>
        <v>903.62387093351401</v>
      </c>
      <c r="Q31" s="68">
        <f t="shared" si="15"/>
        <v>1011.47928684013</v>
      </c>
      <c r="R31" s="68">
        <f t="shared" si="15"/>
        <v>1116.3946835366501</v>
      </c>
      <c r="S31" s="68">
        <f t="shared" ref="S31" si="16">R31+S26</f>
        <v>1218.3866610483469</v>
      </c>
      <c r="T31" s="68">
        <f t="shared" ref="T31" si="17">S31+T26</f>
        <v>1317.4483974869188</v>
      </c>
    </row>
    <row r="32" spans="1:20">
      <c r="A32" s="49"/>
      <c r="B32" s="55"/>
      <c r="C32" s="55"/>
      <c r="D32" s="55"/>
      <c r="E32" s="53"/>
      <c r="F32" s="54"/>
      <c r="G32" s="54"/>
      <c r="H32" s="54"/>
      <c r="I32" s="54"/>
      <c r="J32" s="54"/>
      <c r="K32" s="54"/>
      <c r="L32" s="54"/>
      <c r="M32" s="54"/>
      <c r="N32" s="54"/>
      <c r="O32" s="54"/>
      <c r="P32" s="54"/>
      <c r="Q32" s="54"/>
      <c r="R32" s="54"/>
      <c r="S32" s="54"/>
      <c r="T32" s="54"/>
    </row>
    <row r="33" spans="1:20" hidden="1">
      <c r="A33" s="49"/>
      <c r="B33" s="55"/>
      <c r="C33" s="55"/>
      <c r="D33" s="55"/>
      <c r="E33" s="53"/>
      <c r="F33" s="54"/>
      <c r="G33" s="54"/>
      <c r="H33" s="54"/>
      <c r="I33" s="54"/>
      <c r="J33" s="54"/>
      <c r="K33" s="54"/>
      <c r="L33" s="54"/>
      <c r="M33" s="54"/>
      <c r="N33" s="54"/>
      <c r="O33" s="54"/>
      <c r="P33" s="54"/>
      <c r="Q33" s="54"/>
      <c r="R33" s="54"/>
      <c r="S33" s="54"/>
      <c r="T33" s="54"/>
    </row>
    <row r="34" spans="1:20" hidden="1">
      <c r="A34" s="49"/>
      <c r="B34" s="201" t="s">
        <v>18</v>
      </c>
      <c r="C34" s="202"/>
      <c r="D34" s="202"/>
      <c r="E34" s="203">
        <f>NPV(0%,(F29:R29))</f>
        <v>460.72592733579035</v>
      </c>
      <c r="F34" s="204"/>
      <c r="G34" s="51"/>
      <c r="H34" s="51"/>
      <c r="I34" s="51"/>
      <c r="J34" s="51"/>
      <c r="K34" s="51"/>
      <c r="L34" s="51"/>
      <c r="M34" s="51"/>
      <c r="N34" s="51"/>
      <c r="O34" s="51"/>
      <c r="P34" s="51"/>
      <c r="Q34" s="51"/>
      <c r="R34" s="51"/>
      <c r="S34" s="51"/>
      <c r="T34" s="51"/>
    </row>
    <row r="35" spans="1:20" hidden="1">
      <c r="A35" s="49"/>
      <c r="B35" s="205" t="s">
        <v>19</v>
      </c>
      <c r="C35" s="206"/>
      <c r="D35" s="206"/>
      <c r="E35" s="207">
        <f>IRR(C26:R26,0)</f>
        <v>9.7698289588312281E-2</v>
      </c>
      <c r="F35" s="208"/>
      <c r="G35" s="51"/>
      <c r="H35" s="51"/>
      <c r="I35" s="51"/>
      <c r="J35" s="51"/>
      <c r="K35" s="51"/>
      <c r="L35" s="51"/>
      <c r="M35" s="51"/>
      <c r="N35" s="51"/>
      <c r="O35" s="51"/>
      <c r="P35" s="51"/>
      <c r="Q35" s="51"/>
      <c r="R35" s="51"/>
      <c r="S35" s="51"/>
      <c r="T35" s="51"/>
    </row>
    <row r="36" spans="1:20" hidden="1">
      <c r="A36" s="49"/>
      <c r="B36" s="158" t="s">
        <v>170</v>
      </c>
      <c r="C36" s="159"/>
      <c r="D36" s="159"/>
      <c r="E36" s="209">
        <f>IF(SUM(F41:R41)&lt;=25,SUM(F41:R41)," N/A ")</f>
        <v>3.5612889737370503</v>
      </c>
      <c r="F36" s="210"/>
      <c r="G36" s="51"/>
      <c r="H36" s="51"/>
      <c r="I36" s="51"/>
      <c r="J36" s="51"/>
      <c r="K36" s="51"/>
      <c r="L36" s="51"/>
      <c r="M36" s="51"/>
      <c r="N36" s="51"/>
      <c r="O36" s="51"/>
      <c r="P36" s="51"/>
      <c r="Q36" s="51"/>
      <c r="R36" s="51"/>
      <c r="S36" s="51"/>
      <c r="T36" s="51"/>
    </row>
    <row r="37" spans="1:20" ht="16.5" hidden="1" customHeight="1">
      <c r="A37" s="49"/>
      <c r="B37" s="211" t="s">
        <v>171</v>
      </c>
      <c r="C37" s="190"/>
      <c r="D37" s="190"/>
      <c r="E37" s="209">
        <f>IF(SUM(F42:R42)&lt;=25,SUM(F42:R42)," N/A ")</f>
        <v>3.8217831864484157</v>
      </c>
      <c r="F37" s="212"/>
      <c r="G37" s="51"/>
      <c r="H37" s="51"/>
      <c r="I37" s="51"/>
      <c r="J37" s="51"/>
      <c r="K37" s="51"/>
      <c r="L37" s="51"/>
      <c r="M37" s="51"/>
      <c r="N37" s="51"/>
      <c r="O37" s="51"/>
      <c r="P37" s="51"/>
      <c r="Q37" s="51"/>
      <c r="R37" s="51"/>
      <c r="S37" s="51"/>
      <c r="T37" s="51"/>
    </row>
    <row r="38" spans="1:20" ht="19.5" hidden="1" customHeight="1">
      <c r="A38" s="80"/>
      <c r="B38" s="12"/>
      <c r="C38" s="12"/>
      <c r="D38" s="12"/>
      <c r="E38" s="12"/>
      <c r="F38" s="70">
        <v>1</v>
      </c>
      <c r="G38" s="83">
        <v>2</v>
      </c>
      <c r="H38" s="83">
        <v>3</v>
      </c>
      <c r="I38" s="83">
        <v>4</v>
      </c>
      <c r="J38" s="83">
        <v>5</v>
      </c>
      <c r="K38" s="83">
        <v>6</v>
      </c>
      <c r="L38" s="83">
        <v>7</v>
      </c>
      <c r="M38" s="83">
        <v>8</v>
      </c>
      <c r="N38" s="83">
        <v>9</v>
      </c>
      <c r="O38" s="83">
        <v>10</v>
      </c>
      <c r="P38" s="83">
        <v>11</v>
      </c>
      <c r="Q38" s="83">
        <v>12</v>
      </c>
      <c r="R38" s="83">
        <v>13</v>
      </c>
      <c r="S38" s="83">
        <v>13</v>
      </c>
      <c r="T38" s="83">
        <v>13</v>
      </c>
    </row>
    <row r="39" spans="1:20" ht="14.25" hidden="1" customHeight="1">
      <c r="A39" s="69"/>
      <c r="B39" s="85" t="s">
        <v>172</v>
      </c>
      <c r="C39" s="12"/>
      <c r="D39" s="12"/>
      <c r="E39" s="12"/>
      <c r="F39" s="70">
        <f t="shared" ref="F39:R39" si="18">IF(F31&lt;0,1,IF(F30=0,0,-E31/F30))</f>
        <v>1</v>
      </c>
      <c r="G39" s="70">
        <f t="shared" si="18"/>
        <v>1</v>
      </c>
      <c r="H39" s="70">
        <f t="shared" si="18"/>
        <v>1</v>
      </c>
      <c r="I39" s="70">
        <f t="shared" si="18"/>
        <v>0.56128897373705056</v>
      </c>
      <c r="J39" s="70">
        <f t="shared" si="18"/>
        <v>-0.44885557095630058</v>
      </c>
      <c r="K39" s="70">
        <f t="shared" si="18"/>
        <v>-1.4867278452308961</v>
      </c>
      <c r="L39" s="70">
        <f t="shared" si="18"/>
        <v>-2.5530128124363425</v>
      </c>
      <c r="M39" s="70">
        <f t="shared" si="18"/>
        <v>-3.6543683685749544</v>
      </c>
      <c r="N39" s="70">
        <f t="shared" si="18"/>
        <v>-4.8070620581947905</v>
      </c>
      <c r="O39" s="70">
        <f t="shared" si="18"/>
        <v>-5.9505993197090028</v>
      </c>
      <c r="P39" s="70">
        <f t="shared" si="18"/>
        <v>-7.1408068592634768</v>
      </c>
      <c r="Q39" s="70">
        <f t="shared" si="18"/>
        <v>-8.3781038099736644</v>
      </c>
      <c r="R39" s="70">
        <f t="shared" si="18"/>
        <v>-9.6409041826906687</v>
      </c>
      <c r="S39" s="70">
        <f t="shared" ref="S39" si="19">IF(S31&lt;0,1,IF(S30=0,0,-R31/S30))</f>
        <v>-10.94590683280572</v>
      </c>
      <c r="T39" s="70">
        <f t="shared" ref="T39" si="20">IF(T31&lt;0,1,IF(T30=0,0,-S31/T30))</f>
        <v>-12.299266143026561</v>
      </c>
    </row>
    <row r="40" spans="1:20" hidden="1">
      <c r="A40" s="84"/>
      <c r="B40" s="85" t="s">
        <v>173</v>
      </c>
      <c r="C40" s="12"/>
      <c r="D40" s="12"/>
      <c r="E40" s="12"/>
      <c r="F40" s="70">
        <f>IF(F31&lt;0,1,IF(F29=0,0,-E31/F29))</f>
        <v>1</v>
      </c>
      <c r="G40" s="70">
        <f>IF(G31&lt;0,1,IF(G29=0,0,-F31/G29))</f>
        <v>1</v>
      </c>
      <c r="H40" s="70">
        <f t="shared" ref="H40:R40" si="21">IF(H31&lt;0,1,IF(H29=0,0,-G31/H29))</f>
        <v>1</v>
      </c>
      <c r="I40" s="70">
        <f t="shared" si="21"/>
        <v>0.82178318644841597</v>
      </c>
      <c r="J40" s="70">
        <f t="shared" si="21"/>
        <v>-0.72288638558083185</v>
      </c>
      <c r="K40" s="70">
        <f t="shared" si="21"/>
        <v>-2.6338290682250931</v>
      </c>
      <c r="L40" s="70">
        <f t="shared" si="21"/>
        <v>-4.9750997241137966</v>
      </c>
      <c r="M40" s="70">
        <f t="shared" si="21"/>
        <v>-7.8334631424952335</v>
      </c>
      <c r="N40" s="70">
        <f t="shared" si="21"/>
        <v>-11.334800880614122</v>
      </c>
      <c r="O40" s="70">
        <f t="shared" si="21"/>
        <v>-15.43432211857143</v>
      </c>
      <c r="P40" s="70">
        <f t="shared" si="21"/>
        <v>-20.373555345269526</v>
      </c>
      <c r="Q40" s="70">
        <f t="shared" si="21"/>
        <v>-26.294078740335703</v>
      </c>
      <c r="R40" s="70">
        <f t="shared" si="21"/>
        <v>-33.283015990625067</v>
      </c>
      <c r="S40" s="70">
        <f t="shared" ref="S40" si="22">IF(S31&lt;0,1,IF(S29=0,0,-R31/S29))</f>
        <v>-41.567062981756379</v>
      </c>
      <c r="T40" s="70">
        <f t="shared" ref="T40" si="23">IF(T31&lt;0,1,IF(T29=0,0,-S31/T29))</f>
        <v>-51.377086981113663</v>
      </c>
    </row>
    <row r="41" spans="1:20" hidden="1">
      <c r="A41" s="69"/>
      <c r="B41" s="85" t="s">
        <v>174</v>
      </c>
      <c r="C41" s="12"/>
      <c r="D41" s="12"/>
      <c r="E41" s="12"/>
      <c r="F41" s="82">
        <f>IF(F39&gt;0,F39,0)</f>
        <v>1</v>
      </c>
      <c r="G41" s="82">
        <f t="shared" ref="G41:R41" si="24">IF(G39&gt;0,G39,0)</f>
        <v>1</v>
      </c>
      <c r="H41" s="82">
        <f t="shared" si="24"/>
        <v>1</v>
      </c>
      <c r="I41" s="82">
        <f t="shared" si="24"/>
        <v>0.56128897373705056</v>
      </c>
      <c r="J41" s="82">
        <f t="shared" si="24"/>
        <v>0</v>
      </c>
      <c r="K41" s="82">
        <f t="shared" si="24"/>
        <v>0</v>
      </c>
      <c r="L41" s="82">
        <f t="shared" si="24"/>
        <v>0</v>
      </c>
      <c r="M41" s="82">
        <f t="shared" si="24"/>
        <v>0</v>
      </c>
      <c r="N41" s="82">
        <f t="shared" si="24"/>
        <v>0</v>
      </c>
      <c r="O41" s="82">
        <f t="shared" si="24"/>
        <v>0</v>
      </c>
      <c r="P41" s="82">
        <f t="shared" si="24"/>
        <v>0</v>
      </c>
      <c r="Q41" s="82">
        <f t="shared" si="24"/>
        <v>0</v>
      </c>
      <c r="R41" s="82">
        <f t="shared" si="24"/>
        <v>0</v>
      </c>
      <c r="S41" s="82">
        <f t="shared" ref="S41:T41" si="25">IF(S39&gt;0,S39,0)</f>
        <v>0</v>
      </c>
      <c r="T41" s="82">
        <f t="shared" si="25"/>
        <v>0</v>
      </c>
    </row>
    <row r="42" spans="1:20" ht="16.5" hidden="1" customHeight="1">
      <c r="A42" s="69"/>
      <c r="B42" s="81" t="s">
        <v>175</v>
      </c>
      <c r="C42" s="71"/>
      <c r="D42" s="71"/>
      <c r="E42" s="71"/>
      <c r="F42" s="86">
        <f>IF(F40&gt;0,F40,0)</f>
        <v>1</v>
      </c>
      <c r="G42" s="86">
        <f t="shared" ref="G42:R42" si="26">IF(G40&gt;0,G40,0)</f>
        <v>1</v>
      </c>
      <c r="H42" s="86">
        <f t="shared" si="26"/>
        <v>1</v>
      </c>
      <c r="I42" s="86">
        <f t="shared" si="26"/>
        <v>0.82178318644841597</v>
      </c>
      <c r="J42" s="86">
        <f t="shared" si="26"/>
        <v>0</v>
      </c>
      <c r="K42" s="86">
        <f t="shared" si="26"/>
        <v>0</v>
      </c>
      <c r="L42" s="86">
        <f t="shared" si="26"/>
        <v>0</v>
      </c>
      <c r="M42" s="86">
        <f t="shared" si="26"/>
        <v>0</v>
      </c>
      <c r="N42" s="86">
        <f t="shared" si="26"/>
        <v>0</v>
      </c>
      <c r="O42" s="86">
        <f t="shared" si="26"/>
        <v>0</v>
      </c>
      <c r="P42" s="86">
        <f t="shared" si="26"/>
        <v>0</v>
      </c>
      <c r="Q42" s="86">
        <f t="shared" si="26"/>
        <v>0</v>
      </c>
      <c r="R42" s="86">
        <f t="shared" si="26"/>
        <v>0</v>
      </c>
      <c r="S42" s="86">
        <f t="shared" ref="S42:T42" si="27">IF(S40&gt;0,S40,0)</f>
        <v>0</v>
      </c>
      <c r="T42" s="86">
        <f t="shared" si="27"/>
        <v>0</v>
      </c>
    </row>
    <row r="43" spans="1:20" ht="16.5" hidden="1" customHeight="1">
      <c r="A43" s="27"/>
      <c r="B43" s="85"/>
      <c r="C43" s="12"/>
      <c r="D43" s="12"/>
      <c r="E43" s="12"/>
      <c r="F43" s="82"/>
      <c r="G43" s="82"/>
      <c r="H43" s="82"/>
      <c r="I43" s="82"/>
      <c r="J43" s="82"/>
      <c r="K43" s="82"/>
      <c r="L43" s="82"/>
      <c r="M43" s="82"/>
      <c r="N43" s="82"/>
      <c r="O43" s="82"/>
      <c r="P43" s="82"/>
      <c r="Q43" s="82"/>
      <c r="R43" s="82"/>
      <c r="S43" s="82"/>
      <c r="T43" s="82"/>
    </row>
    <row r="44" spans="1:20" ht="16.5" customHeight="1">
      <c r="A44" s="27"/>
      <c r="B44" s="692"/>
      <c r="C44" s="693" t="s">
        <v>19</v>
      </c>
      <c r="D44" s="12"/>
      <c r="E44" s="12"/>
      <c r="F44" s="82"/>
      <c r="G44" s="82"/>
      <c r="H44" s="82"/>
      <c r="I44" s="82"/>
      <c r="J44" s="82"/>
      <c r="K44" s="82"/>
      <c r="L44" s="82"/>
      <c r="M44" s="82"/>
      <c r="N44" s="82"/>
      <c r="O44" s="82"/>
      <c r="P44" s="82"/>
      <c r="Q44" s="82"/>
      <c r="R44" s="82"/>
      <c r="S44" s="82"/>
      <c r="T44" s="82"/>
    </row>
    <row r="45" spans="1:20" ht="16.5" customHeight="1">
      <c r="A45" s="27"/>
      <c r="B45" s="665" t="s">
        <v>640</v>
      </c>
      <c r="C45" s="697">
        <f>IRR!C17</f>
        <v>-4.0321483624704557E-3</v>
      </c>
      <c r="D45" s="12"/>
      <c r="E45" s="12"/>
      <c r="F45" s="82"/>
      <c r="G45" s="82"/>
      <c r="H45" s="82"/>
      <c r="I45" s="82"/>
      <c r="J45" s="82"/>
      <c r="K45" s="82"/>
      <c r="L45" s="82"/>
      <c r="M45" s="82"/>
      <c r="N45" s="82"/>
      <c r="O45" s="82"/>
      <c r="P45" s="82"/>
      <c r="Q45" s="82"/>
      <c r="R45" s="82"/>
      <c r="S45" s="82"/>
      <c r="T45" s="82"/>
    </row>
    <row r="46" spans="1:20" ht="16.5" customHeight="1">
      <c r="A46" s="27"/>
      <c r="B46" s="665" t="s">
        <v>601</v>
      </c>
      <c r="C46" s="697">
        <f>IRR!C31</f>
        <v>-0.20122685878636026</v>
      </c>
      <c r="D46" s="12"/>
      <c r="E46" s="12"/>
      <c r="F46" s="82"/>
      <c r="G46" s="82"/>
      <c r="H46" s="82"/>
      <c r="I46" s="82"/>
      <c r="J46" s="82"/>
      <c r="K46" s="82"/>
      <c r="L46" s="82"/>
      <c r="M46" s="82"/>
      <c r="N46" s="82"/>
      <c r="O46" s="82"/>
      <c r="P46" s="82"/>
      <c r="Q46" s="82"/>
      <c r="R46" s="82"/>
      <c r="S46" s="82"/>
      <c r="T46" s="82"/>
    </row>
    <row r="47" spans="1:20" ht="16.5" customHeight="1">
      <c r="A47" s="27"/>
      <c r="B47" s="85"/>
      <c r="C47" s="12"/>
      <c r="D47" s="12"/>
      <c r="E47" s="12"/>
      <c r="F47" s="82"/>
      <c r="G47" s="82"/>
      <c r="H47" s="82"/>
      <c r="I47" s="82"/>
      <c r="J47" s="82"/>
      <c r="K47" s="82"/>
      <c r="L47" s="82"/>
      <c r="M47" s="82"/>
      <c r="N47" s="82"/>
      <c r="O47" s="82"/>
      <c r="P47" s="82"/>
      <c r="Q47" s="82"/>
      <c r="R47" s="82"/>
      <c r="S47" s="82"/>
      <c r="T47" s="82"/>
    </row>
    <row r="48" spans="1:20" ht="16.5" customHeight="1">
      <c r="A48" s="3"/>
      <c r="B48" s="692" t="s">
        <v>592</v>
      </c>
      <c r="C48" s="698">
        <f>Capex!B31</f>
        <v>417.93782797061152</v>
      </c>
      <c r="D48" s="692" t="s">
        <v>64</v>
      </c>
      <c r="E48" s="12"/>
      <c r="F48" s="82"/>
      <c r="G48" s="82"/>
      <c r="H48" s="82"/>
      <c r="I48" s="82"/>
      <c r="J48" s="82"/>
      <c r="K48" s="82"/>
      <c r="L48" s="82"/>
      <c r="M48" s="82"/>
      <c r="N48" s="82"/>
      <c r="O48" s="82"/>
      <c r="P48" s="82"/>
      <c r="Q48" s="82"/>
      <c r="R48" s="82"/>
      <c r="S48" s="82"/>
      <c r="T48" s="82"/>
    </row>
    <row r="49" spans="1:20" ht="16.5" customHeight="1">
      <c r="A49" s="3"/>
      <c r="B49" s="665" t="s">
        <v>593</v>
      </c>
      <c r="C49" s="664">
        <f>Capex!B32</f>
        <v>34.479870807575452</v>
      </c>
      <c r="D49" s="665"/>
      <c r="E49" s="12"/>
      <c r="F49" s="82"/>
      <c r="G49" s="82"/>
      <c r="H49" s="82"/>
      <c r="I49" s="82"/>
      <c r="J49" s="82"/>
      <c r="K49" s="82"/>
      <c r="L49" s="82"/>
      <c r="M49" s="82"/>
      <c r="N49" s="82"/>
      <c r="O49" s="82"/>
      <c r="P49" s="82"/>
      <c r="Q49" s="82"/>
      <c r="R49" s="82"/>
      <c r="S49" s="82"/>
      <c r="T49" s="82"/>
    </row>
    <row r="50" spans="1:20" ht="16.5" customHeight="1">
      <c r="A50" s="3"/>
      <c r="B50" s="665" t="s">
        <v>594</v>
      </c>
      <c r="C50" s="666">
        <f>(C48*D50)</f>
        <v>0</v>
      </c>
      <c r="D50" s="667">
        <v>0</v>
      </c>
      <c r="E50" s="12"/>
      <c r="F50" s="82"/>
      <c r="G50" s="82"/>
      <c r="H50" s="82"/>
      <c r="I50" s="82"/>
      <c r="J50" s="82"/>
      <c r="K50" s="82"/>
      <c r="L50" s="82"/>
      <c r="M50" s="82"/>
      <c r="N50" s="82"/>
      <c r="O50" s="82"/>
      <c r="P50" s="82"/>
      <c r="Q50" s="82"/>
      <c r="R50" s="82"/>
      <c r="S50" s="82"/>
      <c r="T50" s="82"/>
    </row>
    <row r="51" spans="1:20" ht="16.5" customHeight="1">
      <c r="A51" s="3">
        <v>4</v>
      </c>
      <c r="B51" s="182" t="s">
        <v>595</v>
      </c>
      <c r="C51" s="699">
        <f>+C48+C49+C50</f>
        <v>452.41769877818695</v>
      </c>
      <c r="D51" s="182" t="s">
        <v>64</v>
      </c>
      <c r="E51" s="12"/>
      <c r="F51" s="82"/>
      <c r="G51" s="82"/>
      <c r="H51" s="82"/>
      <c r="I51" s="82"/>
      <c r="J51" s="82"/>
      <c r="K51" s="82"/>
      <c r="L51" s="82"/>
      <c r="M51" s="82"/>
      <c r="N51" s="82"/>
      <c r="O51" s="82"/>
      <c r="P51" s="82"/>
      <c r="Q51" s="82"/>
      <c r="R51" s="82"/>
      <c r="S51" s="82"/>
      <c r="T51" s="82"/>
    </row>
    <row r="52" spans="1:20" ht="16.5" customHeight="1">
      <c r="A52" s="27"/>
      <c r="B52" s="85"/>
      <c r="C52" s="12"/>
      <c r="D52" s="12"/>
      <c r="E52" s="12"/>
      <c r="F52" s="82"/>
      <c r="G52" s="82"/>
      <c r="H52" s="82"/>
      <c r="I52" s="82"/>
      <c r="J52" s="82"/>
      <c r="K52" s="82"/>
      <c r="L52" s="82"/>
      <c r="M52" s="82"/>
      <c r="N52" s="82"/>
      <c r="O52" s="82"/>
      <c r="P52" s="82"/>
      <c r="Q52" s="82"/>
      <c r="R52" s="82"/>
      <c r="S52" s="82"/>
      <c r="T52" s="82"/>
    </row>
    <row r="53" spans="1:20" ht="16.5" customHeight="1">
      <c r="A53" s="27"/>
      <c r="B53" s="692" t="s">
        <v>597</v>
      </c>
      <c r="C53" s="698" t="s">
        <v>598</v>
      </c>
      <c r="D53" s="692" t="s">
        <v>599</v>
      </c>
      <c r="E53" s="12"/>
      <c r="F53" s="82"/>
      <c r="G53" s="82"/>
      <c r="H53" s="82"/>
      <c r="I53" s="82"/>
      <c r="J53" s="82"/>
      <c r="K53" s="82"/>
      <c r="L53" s="82"/>
      <c r="M53" s="82"/>
      <c r="N53" s="82"/>
      <c r="O53" s="82"/>
      <c r="P53" s="82"/>
      <c r="Q53" s="82"/>
      <c r="R53" s="82"/>
      <c r="S53" s="82"/>
      <c r="T53" s="82"/>
    </row>
    <row r="54" spans="1:20" ht="16.5" customHeight="1">
      <c r="A54" s="27"/>
      <c r="B54" s="665" t="s">
        <v>600</v>
      </c>
      <c r="C54" s="667">
        <v>0.75</v>
      </c>
      <c r="D54" s="668">
        <f>C51*C54</f>
        <v>339.31327408364018</v>
      </c>
      <c r="E54" s="12"/>
      <c r="F54" s="82"/>
      <c r="G54" s="82"/>
      <c r="H54" s="82"/>
      <c r="I54" s="82"/>
      <c r="J54" s="82"/>
      <c r="K54" s="82"/>
      <c r="L54" s="82"/>
      <c r="M54" s="82"/>
      <c r="N54" s="82"/>
      <c r="O54" s="82"/>
      <c r="P54" s="82"/>
      <c r="Q54" s="82"/>
      <c r="R54" s="82"/>
      <c r="S54" s="82"/>
      <c r="T54" s="82"/>
    </row>
    <row r="55" spans="1:20" ht="16.5" customHeight="1">
      <c r="A55" s="27"/>
      <c r="B55" s="665" t="s">
        <v>601</v>
      </c>
      <c r="C55" s="667">
        <v>0.25</v>
      </c>
      <c r="D55" s="668">
        <f>C55*C51</f>
        <v>113.10442469454674</v>
      </c>
      <c r="E55" s="12"/>
      <c r="F55" s="82"/>
      <c r="G55" s="82"/>
      <c r="H55" s="82"/>
      <c r="I55" s="82"/>
      <c r="J55" s="82"/>
      <c r="K55" s="82"/>
      <c r="L55" s="82"/>
      <c r="M55" s="82"/>
      <c r="N55" s="82"/>
      <c r="O55" s="82"/>
      <c r="P55" s="82"/>
      <c r="Q55" s="82"/>
      <c r="R55" s="82"/>
      <c r="S55" s="82"/>
      <c r="T55" s="82"/>
    </row>
    <row r="56" spans="1:20" ht="16.5" customHeight="1">
      <c r="A56" s="27"/>
      <c r="B56" s="692" t="s">
        <v>73</v>
      </c>
      <c r="C56" s="700">
        <v>1</v>
      </c>
      <c r="D56" s="701">
        <f>SUM(D54:D55)</f>
        <v>452.41769877818695</v>
      </c>
      <c r="E56" s="12"/>
      <c r="F56" s="82"/>
      <c r="G56" s="82"/>
      <c r="H56" s="82"/>
      <c r="I56" s="82"/>
      <c r="J56" s="82"/>
      <c r="K56" s="82"/>
      <c r="L56" s="82"/>
      <c r="M56" s="82"/>
      <c r="N56" s="82"/>
      <c r="O56" s="82"/>
      <c r="P56" s="82"/>
      <c r="Q56" s="82"/>
      <c r="R56" s="82"/>
      <c r="S56" s="82"/>
      <c r="T56" s="82"/>
    </row>
    <row r="57" spans="1:20" ht="16.5" customHeight="1">
      <c r="A57" s="27"/>
      <c r="B57" s="694"/>
      <c r="C57" s="695"/>
      <c r="D57" s="696"/>
      <c r="E57" s="12"/>
      <c r="F57" s="82"/>
      <c r="G57" s="82"/>
      <c r="H57" s="82"/>
      <c r="I57" s="82"/>
      <c r="J57" s="82"/>
      <c r="K57" s="82"/>
      <c r="L57" s="82"/>
      <c r="M57" s="82"/>
      <c r="N57" s="82"/>
      <c r="O57" s="82"/>
      <c r="P57" s="82"/>
      <c r="Q57" s="82"/>
      <c r="R57" s="82"/>
      <c r="S57" s="82"/>
      <c r="T57" s="82"/>
    </row>
    <row r="58" spans="1:20" ht="16.5" customHeight="1">
      <c r="A58" s="27"/>
      <c r="B58" s="460" t="s">
        <v>641</v>
      </c>
      <c r="C58" s="702">
        <v>5.0000000000000001E-3</v>
      </c>
      <c r="D58" s="1" t="s">
        <v>642</v>
      </c>
      <c r="E58" s="12"/>
      <c r="F58" s="82"/>
      <c r="G58" s="82"/>
      <c r="H58" s="82"/>
      <c r="I58" s="82"/>
      <c r="J58" s="82"/>
      <c r="K58" s="82"/>
      <c r="L58" s="82"/>
      <c r="M58" s="82"/>
      <c r="N58" s="82"/>
      <c r="O58" s="82"/>
      <c r="P58" s="82"/>
      <c r="Q58" s="82"/>
      <c r="R58" s="82"/>
      <c r="S58" s="82"/>
      <c r="T58" s="82"/>
    </row>
    <row r="59" spans="1:20" ht="16.5" customHeight="1">
      <c r="A59" s="27"/>
      <c r="B59" s="460" t="str">
        <f>B109</f>
        <v>Treasury required buffer</v>
      </c>
      <c r="C59" s="703">
        <f>C58*C51</f>
        <v>2.2620884938909347</v>
      </c>
      <c r="D59" s="1" t="s">
        <v>643</v>
      </c>
      <c r="E59" s="12"/>
      <c r="F59" s="82"/>
      <c r="G59" s="82"/>
      <c r="H59" s="82"/>
      <c r="I59" s="82"/>
      <c r="J59" s="82"/>
      <c r="K59" s="82"/>
      <c r="L59" s="82"/>
      <c r="M59" s="82"/>
      <c r="N59" s="82"/>
      <c r="O59" s="82"/>
      <c r="P59" s="82"/>
      <c r="Q59" s="82"/>
      <c r="R59" s="82"/>
      <c r="S59" s="82"/>
      <c r="T59" s="82"/>
    </row>
    <row r="60" spans="1:20" s="534" customFormat="1" ht="16.5" customHeight="1">
      <c r="A60" s="532"/>
      <c r="B60" s="85"/>
      <c r="C60" s="533"/>
      <c r="D60" s="533"/>
      <c r="E60" s="533"/>
      <c r="F60" s="82"/>
      <c r="G60" s="82"/>
      <c r="H60" s="82"/>
      <c r="I60" s="82"/>
      <c r="J60" s="82"/>
      <c r="K60" s="82"/>
      <c r="L60" s="82"/>
      <c r="M60" s="82"/>
      <c r="N60" s="82"/>
      <c r="O60" s="82"/>
      <c r="P60" s="82"/>
      <c r="Q60" s="82"/>
      <c r="R60" s="82"/>
      <c r="S60" s="82"/>
      <c r="T60" s="82"/>
    </row>
    <row r="61" spans="1:20" s="534" customFormat="1" ht="16.5" customHeight="1">
      <c r="A61" s="704" t="s">
        <v>585</v>
      </c>
      <c r="B61" s="704" t="s">
        <v>586</v>
      </c>
      <c r="C61" s="704" t="s">
        <v>587</v>
      </c>
      <c r="D61" s="704" t="s">
        <v>588</v>
      </c>
      <c r="E61" s="533"/>
      <c r="F61" s="82"/>
      <c r="G61" s="82"/>
      <c r="H61" s="82"/>
      <c r="I61" s="82"/>
      <c r="J61" s="82"/>
      <c r="K61" s="82"/>
      <c r="L61" s="82"/>
      <c r="M61" s="82"/>
      <c r="N61" s="82"/>
      <c r="O61" s="82"/>
      <c r="P61" s="82"/>
      <c r="Q61" s="82"/>
      <c r="R61" s="82"/>
      <c r="S61" s="82"/>
      <c r="T61" s="82"/>
    </row>
    <row r="62" spans="1:20" s="534" customFormat="1" ht="16.5" customHeight="1">
      <c r="A62" s="535">
        <v>1</v>
      </c>
      <c r="B62" s="535" t="s">
        <v>589</v>
      </c>
      <c r="C62" s="536">
        <v>0.3</v>
      </c>
      <c r="D62" s="536">
        <v>0.15</v>
      </c>
      <c r="E62" s="533"/>
      <c r="F62" s="82"/>
      <c r="G62" s="82"/>
      <c r="H62" s="82"/>
      <c r="I62" s="82"/>
      <c r="J62" s="82"/>
      <c r="K62" s="82"/>
      <c r="L62" s="82"/>
      <c r="M62" s="82"/>
      <c r="N62" s="82"/>
      <c r="O62" s="82"/>
      <c r="P62" s="82"/>
      <c r="Q62" s="82"/>
      <c r="R62" s="82"/>
      <c r="S62" s="82"/>
      <c r="T62" s="82"/>
    </row>
    <row r="63" spans="1:20" s="534" customFormat="1" ht="16.5" customHeight="1">
      <c r="A63" s="535">
        <v>2</v>
      </c>
      <c r="B63" s="535" t="s">
        <v>590</v>
      </c>
      <c r="C63" s="536">
        <v>0.12</v>
      </c>
      <c r="D63" s="536">
        <v>0.12</v>
      </c>
      <c r="E63" s="533"/>
      <c r="F63" s="82"/>
      <c r="G63" s="82"/>
      <c r="H63" s="82"/>
      <c r="I63" s="82"/>
      <c r="J63" s="82"/>
      <c r="K63" s="82"/>
      <c r="L63" s="82"/>
      <c r="M63" s="82"/>
      <c r="N63" s="82"/>
      <c r="O63" s="82"/>
      <c r="P63" s="82"/>
      <c r="Q63" s="82"/>
      <c r="R63" s="82"/>
      <c r="S63" s="82"/>
      <c r="T63" s="82"/>
    </row>
    <row r="64" spans="1:20" s="534" customFormat="1" ht="16.5" customHeight="1">
      <c r="A64" s="535">
        <v>3</v>
      </c>
      <c r="B64" s="535" t="s">
        <v>591</v>
      </c>
      <c r="C64" s="536">
        <v>0.04</v>
      </c>
      <c r="D64" s="536">
        <v>0.04</v>
      </c>
      <c r="E64" s="533"/>
      <c r="F64" s="82"/>
      <c r="G64" s="82"/>
      <c r="H64" s="82"/>
      <c r="I64" s="82"/>
      <c r="J64" s="82"/>
      <c r="K64" s="82"/>
      <c r="L64" s="82"/>
      <c r="M64" s="82"/>
      <c r="N64" s="82"/>
      <c r="O64" s="82"/>
      <c r="P64" s="82"/>
      <c r="Q64" s="82"/>
      <c r="R64" s="82"/>
      <c r="S64" s="82"/>
      <c r="T64" s="82"/>
    </row>
    <row r="65" spans="1:22" s="534" customFormat="1" ht="16.5" customHeight="1">
      <c r="A65" s="535">
        <v>4</v>
      </c>
      <c r="B65" s="535" t="s">
        <v>73</v>
      </c>
      <c r="C65" s="537">
        <f>+C62*(1+C63)*(1+C64)</f>
        <v>0.34944000000000003</v>
      </c>
      <c r="D65" s="537">
        <f>+D62*(1+D63)*(1+D64)</f>
        <v>0.17472000000000001</v>
      </c>
      <c r="E65" s="533"/>
      <c r="F65" s="82"/>
      <c r="G65" s="82"/>
      <c r="H65" s="82"/>
      <c r="I65" s="82"/>
      <c r="J65" s="82"/>
      <c r="K65" s="82"/>
      <c r="L65" s="82"/>
      <c r="M65" s="82"/>
      <c r="N65" s="82"/>
      <c r="O65" s="82"/>
      <c r="P65" s="82"/>
      <c r="Q65" s="82"/>
      <c r="R65" s="82"/>
      <c r="S65" s="82"/>
      <c r="T65" s="82"/>
    </row>
    <row r="66" spans="1:22" s="534" customFormat="1" ht="16.5" customHeight="1">
      <c r="A66" s="532"/>
      <c r="B66" s="85"/>
      <c r="C66" s="533"/>
      <c r="D66" s="533"/>
      <c r="E66" s="533"/>
      <c r="F66" s="82"/>
      <c r="G66" s="82"/>
      <c r="H66" s="82"/>
      <c r="I66" s="82"/>
      <c r="J66" s="82"/>
      <c r="K66" s="82"/>
      <c r="L66" s="82"/>
      <c r="M66" s="82"/>
      <c r="N66" s="82"/>
      <c r="O66" s="82"/>
      <c r="P66" s="82"/>
      <c r="Q66" s="82"/>
      <c r="R66" s="82"/>
      <c r="S66" s="82"/>
      <c r="T66" s="82"/>
    </row>
    <row r="67" spans="1:22" s="534" customFormat="1" ht="16.5" customHeight="1">
      <c r="A67" s="532"/>
      <c r="B67" s="866" t="s">
        <v>582</v>
      </c>
      <c r="C67" s="866"/>
      <c r="D67" s="533"/>
      <c r="E67" s="533"/>
      <c r="F67" s="82"/>
      <c r="G67" s="82"/>
      <c r="H67" s="82"/>
      <c r="I67" s="82"/>
      <c r="J67" s="82"/>
      <c r="K67" s="82"/>
      <c r="L67" s="82"/>
      <c r="M67" s="82"/>
      <c r="N67" s="82"/>
      <c r="O67" s="82"/>
      <c r="P67" s="82"/>
      <c r="Q67" s="82"/>
      <c r="R67" s="82"/>
      <c r="S67" s="82"/>
      <c r="T67" s="82"/>
    </row>
    <row r="68" spans="1:22" s="534" customFormat="1" ht="16.5" customHeight="1">
      <c r="A68" s="532"/>
      <c r="B68" s="538" t="s">
        <v>583</v>
      </c>
      <c r="C68" s="539">
        <v>0.11</v>
      </c>
      <c r="D68" s="533"/>
      <c r="E68" s="533"/>
      <c r="F68" s="82"/>
      <c r="G68" s="82"/>
      <c r="H68" s="82"/>
      <c r="I68" s="82"/>
      <c r="J68" s="82"/>
      <c r="K68" s="82"/>
      <c r="L68" s="82"/>
      <c r="M68" s="82"/>
      <c r="N68" s="82"/>
      <c r="O68" s="82"/>
      <c r="P68" s="82"/>
      <c r="Q68" s="82"/>
      <c r="R68" s="82"/>
      <c r="S68" s="82"/>
      <c r="T68" s="82"/>
    </row>
    <row r="69" spans="1:22" s="534" customFormat="1" ht="16.5" customHeight="1">
      <c r="A69" s="532"/>
      <c r="B69" s="538" t="s">
        <v>584</v>
      </c>
      <c r="C69" s="539">
        <v>0.09</v>
      </c>
      <c r="D69" s="533"/>
      <c r="E69" s="533"/>
      <c r="F69" s="82"/>
      <c r="G69" s="82"/>
      <c r="H69" s="82"/>
      <c r="I69" s="82"/>
      <c r="J69" s="82"/>
      <c r="K69" s="82"/>
      <c r="L69" s="82"/>
      <c r="M69" s="82"/>
      <c r="N69" s="82"/>
      <c r="O69" s="82"/>
      <c r="P69" s="82"/>
      <c r="Q69" s="82"/>
      <c r="R69" s="82"/>
      <c r="S69" s="82"/>
      <c r="T69" s="82"/>
    </row>
    <row r="70" spans="1:22" s="534" customFormat="1" ht="15" customHeight="1">
      <c r="A70" s="532"/>
      <c r="B70" s="533"/>
      <c r="C70" s="533"/>
      <c r="D70" s="533"/>
      <c r="E70" s="533"/>
      <c r="F70" s="533"/>
      <c r="G70" s="533"/>
      <c r="H70" s="533"/>
      <c r="I70" s="533"/>
      <c r="J70" s="533"/>
      <c r="K70" s="533"/>
      <c r="L70" s="533"/>
      <c r="M70" s="533"/>
      <c r="N70" s="533"/>
      <c r="O70" s="533"/>
      <c r="P70" s="533"/>
      <c r="Q70" s="533"/>
      <c r="R70" s="533"/>
      <c r="S70" s="533"/>
      <c r="T70" s="533"/>
    </row>
    <row r="71" spans="1:22" s="543" customFormat="1" ht="12">
      <c r="A71" s="540">
        <v>9</v>
      </c>
      <c r="B71" s="541" t="s">
        <v>506</v>
      </c>
      <c r="C71" s="542"/>
      <c r="D71" s="542"/>
      <c r="E71" s="542"/>
      <c r="F71" s="542">
        <f t="shared" ref="F71:T71" si="28">F10-F21</f>
        <v>106.37938983780032</v>
      </c>
      <c r="G71" s="542">
        <f t="shared" si="28"/>
        <v>133.59940630704546</v>
      </c>
      <c r="H71" s="542">
        <f t="shared" si="28"/>
        <v>137.34296676903648</v>
      </c>
      <c r="I71" s="542">
        <f t="shared" si="28"/>
        <v>133.7960312779978</v>
      </c>
      <c r="J71" s="542">
        <f t="shared" si="28"/>
        <v>130.77211911801081</v>
      </c>
      <c r="K71" s="542">
        <f t="shared" si="28"/>
        <v>127.44088564539214</v>
      </c>
      <c r="L71" s="542">
        <f t="shared" si="28"/>
        <v>124.13208324358339</v>
      </c>
      <c r="M71" s="542">
        <f t="shared" si="28"/>
        <v>120.68922388654926</v>
      </c>
      <c r="N71" s="542">
        <f t="shared" si="28"/>
        <v>116.85559688746031</v>
      </c>
      <c r="O71" s="542">
        <f t="shared" si="28"/>
        <v>114.03686696318522</v>
      </c>
      <c r="P71" s="542">
        <f t="shared" si="28"/>
        <v>110.99930099745268</v>
      </c>
      <c r="Q71" s="542">
        <f t="shared" si="28"/>
        <v>107.85541590661603</v>
      </c>
      <c r="R71" s="542">
        <f t="shared" si="28"/>
        <v>104.91539669651996</v>
      </c>
      <c r="S71" s="542">
        <f t="shared" si="28"/>
        <v>101.99197751169686</v>
      </c>
      <c r="T71" s="542">
        <f t="shared" si="28"/>
        <v>99.061736438571813</v>
      </c>
    </row>
    <row r="72" spans="1:22" s="543" customFormat="1" ht="12">
      <c r="A72" s="544"/>
      <c r="B72" s="541" t="s">
        <v>507</v>
      </c>
      <c r="C72" s="542"/>
      <c r="D72" s="542"/>
      <c r="E72" s="542"/>
      <c r="F72" s="542">
        <f t="shared" ref="F72:T72" si="29">F21*10^7/182500</f>
        <v>9488.0877897095725</v>
      </c>
      <c r="G72" s="542">
        <f t="shared" si="29"/>
        <v>12372.893024271485</v>
      </c>
      <c r="H72" s="542">
        <f t="shared" si="29"/>
        <v>13261.844670189785</v>
      </c>
      <c r="I72" s="542">
        <f t="shared" si="29"/>
        <v>13456.197299835738</v>
      </c>
      <c r="J72" s="542">
        <f t="shared" si="29"/>
        <v>13621.891116821329</v>
      </c>
      <c r="K72" s="542">
        <f t="shared" si="29"/>
        <v>13804.424457786732</v>
      </c>
      <c r="L72" s="542">
        <f t="shared" si="29"/>
        <v>13985.728698981735</v>
      </c>
      <c r="M72" s="542">
        <f t="shared" si="29"/>
        <v>14174.378526764425</v>
      </c>
      <c r="N72" s="542">
        <f t="shared" si="29"/>
        <v>14384.440280139162</v>
      </c>
      <c r="O72" s="542">
        <f t="shared" si="29"/>
        <v>14538.891234893963</v>
      </c>
      <c r="P72" s="542">
        <f t="shared" si="29"/>
        <v>14705.333205619034</v>
      </c>
      <c r="Q72" s="542">
        <f t="shared" si="29"/>
        <v>14877.600881829259</v>
      </c>
      <c r="R72" s="542">
        <f t="shared" si="29"/>
        <v>15038.697824848223</v>
      </c>
      <c r="S72" s="542">
        <f t="shared" si="29"/>
        <v>15198.885177441271</v>
      </c>
      <c r="T72" s="542">
        <f t="shared" si="29"/>
        <v>15359.446332133053</v>
      </c>
    </row>
    <row r="73" spans="1:22" s="543" customFormat="1" ht="12">
      <c r="B73" s="545"/>
      <c r="C73" s="546"/>
      <c r="D73" s="546"/>
      <c r="E73" s="546"/>
      <c r="F73" s="546"/>
      <c r="G73" s="546"/>
      <c r="H73" s="546"/>
      <c r="I73" s="546"/>
      <c r="J73" s="546"/>
      <c r="K73" s="546"/>
      <c r="L73" s="546"/>
      <c r="M73" s="546"/>
      <c r="N73" s="546"/>
      <c r="O73" s="546"/>
      <c r="P73" s="546"/>
      <c r="Q73" s="546"/>
      <c r="R73" s="546"/>
      <c r="S73" s="546"/>
      <c r="T73" s="546"/>
    </row>
    <row r="74" spans="1:22" s="3" customFormat="1" ht="15">
      <c r="A74" s="525">
        <v>10</v>
      </c>
      <c r="B74" s="160" t="s">
        <v>596</v>
      </c>
      <c r="C74" s="526"/>
      <c r="D74" s="526"/>
      <c r="E74" s="526"/>
      <c r="F74" s="526">
        <f>E99</f>
        <v>0</v>
      </c>
      <c r="G74" s="526">
        <f t="shared" ref="G74:T74" si="30">F99</f>
        <v>1.7044316953373124</v>
      </c>
      <c r="H74" s="526">
        <f t="shared" si="30"/>
        <v>1.6468107415527553</v>
      </c>
      <c r="I74" s="526">
        <f t="shared" si="30"/>
        <v>1.1591152320263052</v>
      </c>
      <c r="J74" s="526">
        <f t="shared" si="30"/>
        <v>0.57608050256173648</v>
      </c>
      <c r="K74" s="526">
        <f t="shared" si="30"/>
        <v>0</v>
      </c>
      <c r="L74" s="526">
        <f t="shared" si="30"/>
        <v>0.26855597476158927</v>
      </c>
      <c r="M74" s="526">
        <f t="shared" si="30"/>
        <v>1.6977309727885403</v>
      </c>
      <c r="N74" s="526">
        <f t="shared" si="30"/>
        <v>3.3905551438500892</v>
      </c>
      <c r="O74" s="526">
        <f t="shared" si="30"/>
        <v>1.562754564422445</v>
      </c>
      <c r="P74" s="526">
        <f t="shared" si="30"/>
        <v>1.1213521408314121E-2</v>
      </c>
      <c r="Q74" s="526">
        <f t="shared" si="30"/>
        <v>0</v>
      </c>
      <c r="R74" s="526">
        <f t="shared" si="30"/>
        <v>0</v>
      </c>
      <c r="S74" s="526">
        <f t="shared" si="30"/>
        <v>0</v>
      </c>
      <c r="T74" s="526">
        <f t="shared" si="30"/>
        <v>0</v>
      </c>
      <c r="U74" s="526"/>
      <c r="V74" s="526"/>
    </row>
    <row r="75" spans="1:22" s="543" customFormat="1" ht="12">
      <c r="A75" s="540">
        <v>11</v>
      </c>
      <c r="B75" s="538" t="s">
        <v>508</v>
      </c>
      <c r="C75" s="547"/>
      <c r="D75" s="547"/>
      <c r="E75" s="547"/>
      <c r="F75" s="547">
        <f>D132</f>
        <v>34.479870807575452</v>
      </c>
      <c r="G75" s="547">
        <f t="shared" ref="G75:T75" si="31">E132</f>
        <v>37.324460149200419</v>
      </c>
      <c r="H75" s="547">
        <f t="shared" si="31"/>
        <v>32.658902630550372</v>
      </c>
      <c r="I75" s="547">
        <f t="shared" si="31"/>
        <v>27.993345111900318</v>
      </c>
      <c r="J75" s="547">
        <f t="shared" si="31"/>
        <v>23.327787593250267</v>
      </c>
      <c r="K75" s="547">
        <f t="shared" si="31"/>
        <v>18.662230074600213</v>
      </c>
      <c r="L75" s="547">
        <f t="shared" si="31"/>
        <v>13.996672555950161</v>
      </c>
      <c r="M75" s="547">
        <f t="shared" si="31"/>
        <v>9.3311150373001084</v>
      </c>
      <c r="N75" s="547">
        <f t="shared" si="31"/>
        <v>4.665557518650056</v>
      </c>
      <c r="O75" s="547">
        <f t="shared" si="31"/>
        <v>0</v>
      </c>
      <c r="P75" s="547">
        <f t="shared" si="31"/>
        <v>0</v>
      </c>
      <c r="Q75" s="547">
        <f t="shared" si="31"/>
        <v>0</v>
      </c>
      <c r="R75" s="547">
        <f t="shared" si="31"/>
        <v>0</v>
      </c>
      <c r="S75" s="547">
        <f t="shared" si="31"/>
        <v>0</v>
      </c>
      <c r="T75" s="547">
        <f t="shared" si="31"/>
        <v>0</v>
      </c>
    </row>
    <row r="76" spans="1:22" s="543" customFormat="1" ht="12">
      <c r="A76" s="540">
        <v>12</v>
      </c>
      <c r="B76" s="538" t="s">
        <v>509</v>
      </c>
      <c r="C76" s="547"/>
      <c r="D76" s="547"/>
      <c r="E76" s="547"/>
      <c r="F76" s="547">
        <f>Depreciation!G19</f>
        <v>20.827099284627533</v>
      </c>
      <c r="G76" s="547">
        <f t="shared" ref="G76:T76" si="32">+F76</f>
        <v>20.827099284627533</v>
      </c>
      <c r="H76" s="547">
        <f t="shared" si="32"/>
        <v>20.827099284627533</v>
      </c>
      <c r="I76" s="547">
        <f t="shared" si="32"/>
        <v>20.827099284627533</v>
      </c>
      <c r="J76" s="547">
        <f t="shared" si="32"/>
        <v>20.827099284627533</v>
      </c>
      <c r="K76" s="547">
        <f t="shared" si="32"/>
        <v>20.827099284627533</v>
      </c>
      <c r="L76" s="547">
        <f t="shared" si="32"/>
        <v>20.827099284627533</v>
      </c>
      <c r="M76" s="547">
        <f t="shared" si="32"/>
        <v>20.827099284627533</v>
      </c>
      <c r="N76" s="547">
        <f t="shared" si="32"/>
        <v>20.827099284627533</v>
      </c>
      <c r="O76" s="547">
        <f t="shared" si="32"/>
        <v>20.827099284627533</v>
      </c>
      <c r="P76" s="547">
        <f t="shared" si="32"/>
        <v>20.827099284627533</v>
      </c>
      <c r="Q76" s="547">
        <f t="shared" si="32"/>
        <v>20.827099284627533</v>
      </c>
      <c r="R76" s="547">
        <f t="shared" si="32"/>
        <v>20.827099284627533</v>
      </c>
      <c r="S76" s="547">
        <f t="shared" si="32"/>
        <v>20.827099284627533</v>
      </c>
      <c r="T76" s="547">
        <f t="shared" si="32"/>
        <v>20.827099284627533</v>
      </c>
    </row>
    <row r="77" spans="1:22" s="543" customFormat="1" ht="12">
      <c r="A77" s="548">
        <v>13</v>
      </c>
      <c r="B77" s="549" t="s">
        <v>184</v>
      </c>
      <c r="C77" s="550"/>
      <c r="D77" s="550"/>
      <c r="E77" s="550"/>
      <c r="F77" s="550">
        <f>F71-F75-F76</f>
        <v>51.07241974559733</v>
      </c>
      <c r="G77" s="550">
        <f t="shared" ref="G77:T77" si="33">G71-G75-G76</f>
        <v>75.4478468732175</v>
      </c>
      <c r="H77" s="550">
        <f t="shared" si="33"/>
        <v>83.856964853858571</v>
      </c>
      <c r="I77" s="550">
        <f t="shared" si="33"/>
        <v>84.975586881469951</v>
      </c>
      <c r="J77" s="550">
        <f t="shared" si="33"/>
        <v>86.617232240133006</v>
      </c>
      <c r="K77" s="550">
        <f t="shared" si="33"/>
        <v>87.95155628616439</v>
      </c>
      <c r="L77" s="550">
        <f t="shared" si="33"/>
        <v>89.308311403005703</v>
      </c>
      <c r="M77" s="550">
        <f t="shared" si="33"/>
        <v>90.531009564621613</v>
      </c>
      <c r="N77" s="550">
        <f t="shared" si="33"/>
        <v>91.362940084182711</v>
      </c>
      <c r="O77" s="550">
        <f t="shared" si="33"/>
        <v>93.209767678557682</v>
      </c>
      <c r="P77" s="550">
        <f t="shared" si="33"/>
        <v>90.172201712825142</v>
      </c>
      <c r="Q77" s="550">
        <f t="shared" si="33"/>
        <v>87.028316621988495</v>
      </c>
      <c r="R77" s="550">
        <f t="shared" si="33"/>
        <v>84.088297411892427</v>
      </c>
      <c r="S77" s="550">
        <f t="shared" si="33"/>
        <v>81.164878227069323</v>
      </c>
      <c r="T77" s="550">
        <f t="shared" si="33"/>
        <v>78.234637153944277</v>
      </c>
    </row>
    <row r="78" spans="1:22" s="543" customFormat="1" ht="12">
      <c r="A78" s="540">
        <v>14</v>
      </c>
      <c r="B78" s="538" t="s">
        <v>510</v>
      </c>
      <c r="C78" s="551"/>
      <c r="D78" s="551"/>
      <c r="E78" s="551"/>
      <c r="F78" s="551">
        <f>C151</f>
        <v>0</v>
      </c>
      <c r="G78" s="551">
        <f t="shared" ref="G78:T78" si="34">D151</f>
        <v>0</v>
      </c>
      <c r="H78" s="551">
        <f t="shared" si="34"/>
        <v>14.45536238516549</v>
      </c>
      <c r="I78" s="551">
        <f t="shared" si="34"/>
        <v>26.092619997331965</v>
      </c>
      <c r="J78" s="551">
        <f t="shared" si="34"/>
        <v>28.284798787516078</v>
      </c>
      <c r="K78" s="551">
        <f t="shared" si="34"/>
        <v>30.128142719049194</v>
      </c>
      <c r="L78" s="551">
        <f t="shared" si="34"/>
        <v>31.773963756051593</v>
      </c>
      <c r="M78" s="551">
        <f t="shared" si="34"/>
        <v>33.198262858630812</v>
      </c>
      <c r="N78" s="551">
        <f t="shared" si="34"/>
        <v>34.337428564443883</v>
      </c>
      <c r="O78" s="551">
        <f t="shared" si="34"/>
        <v>35.704846648280267</v>
      </c>
      <c r="P78" s="551">
        <f t="shared" si="34"/>
        <v>35.257940466047074</v>
      </c>
      <c r="Q78" s="551">
        <f t="shared" si="34"/>
        <v>34.682409853679445</v>
      </c>
      <c r="R78" s="551">
        <f t="shared" si="34"/>
        <v>34.100295815351757</v>
      </c>
      <c r="S78" s="551">
        <f t="shared" si="34"/>
        <v>33.457769721454305</v>
      </c>
      <c r="T78" s="551">
        <f t="shared" si="34"/>
        <v>32.756521516491048</v>
      </c>
    </row>
    <row r="79" spans="1:22" s="552" customFormat="1" ht="12">
      <c r="A79" s="548">
        <v>15</v>
      </c>
      <c r="B79" s="549" t="s">
        <v>511</v>
      </c>
      <c r="C79" s="550"/>
      <c r="D79" s="550"/>
      <c r="E79" s="550"/>
      <c r="F79" s="550">
        <f t="shared" ref="F79:T79" si="35">F77-F78</f>
        <v>51.07241974559733</v>
      </c>
      <c r="G79" s="550">
        <f t="shared" si="35"/>
        <v>75.4478468732175</v>
      </c>
      <c r="H79" s="550">
        <f t="shared" si="35"/>
        <v>69.401602468693085</v>
      </c>
      <c r="I79" s="550">
        <f t="shared" si="35"/>
        <v>58.882966884137986</v>
      </c>
      <c r="J79" s="550">
        <f t="shared" si="35"/>
        <v>58.332433452616925</v>
      </c>
      <c r="K79" s="550">
        <f t="shared" si="35"/>
        <v>57.823413567115196</v>
      </c>
      <c r="L79" s="550">
        <f t="shared" si="35"/>
        <v>57.53434764695411</v>
      </c>
      <c r="M79" s="550">
        <f t="shared" si="35"/>
        <v>57.3327467059908</v>
      </c>
      <c r="N79" s="550">
        <f t="shared" si="35"/>
        <v>57.025511519738828</v>
      </c>
      <c r="O79" s="550">
        <f t="shared" si="35"/>
        <v>57.504921030277416</v>
      </c>
      <c r="P79" s="550">
        <f t="shared" si="35"/>
        <v>54.914261246778068</v>
      </c>
      <c r="Q79" s="550">
        <f t="shared" si="35"/>
        <v>52.34590676830905</v>
      </c>
      <c r="R79" s="550">
        <f t="shared" si="35"/>
        <v>49.98800159654067</v>
      </c>
      <c r="S79" s="550">
        <f t="shared" si="35"/>
        <v>47.707108505615018</v>
      </c>
      <c r="T79" s="550">
        <f t="shared" si="35"/>
        <v>45.478115637453229</v>
      </c>
    </row>
    <row r="80" spans="1:22" s="543" customFormat="1" ht="12">
      <c r="A80" s="540">
        <v>16</v>
      </c>
      <c r="B80" s="538" t="s">
        <v>501</v>
      </c>
      <c r="C80" s="547"/>
      <c r="D80" s="547"/>
      <c r="E80" s="547"/>
      <c r="F80" s="547">
        <f>F79</f>
        <v>51.07241974559733</v>
      </c>
      <c r="G80" s="547">
        <f>F80+G79</f>
        <v>126.52026661881483</v>
      </c>
      <c r="H80" s="547">
        <f t="shared" ref="H80:T80" si="36">G80+H79</f>
        <v>195.9218690875079</v>
      </c>
      <c r="I80" s="547">
        <f t="shared" si="36"/>
        <v>254.8048359716459</v>
      </c>
      <c r="J80" s="547">
        <f t="shared" si="36"/>
        <v>313.13726942426285</v>
      </c>
      <c r="K80" s="547">
        <f t="shared" si="36"/>
        <v>370.96068299137806</v>
      </c>
      <c r="L80" s="547">
        <f t="shared" si="36"/>
        <v>428.4950306383322</v>
      </c>
      <c r="M80" s="547">
        <f t="shared" si="36"/>
        <v>485.82777734432301</v>
      </c>
      <c r="N80" s="547">
        <f t="shared" si="36"/>
        <v>542.85328886406182</v>
      </c>
      <c r="O80" s="547">
        <f t="shared" si="36"/>
        <v>600.35820989433921</v>
      </c>
      <c r="P80" s="547">
        <f t="shared" si="36"/>
        <v>655.27247114111731</v>
      </c>
      <c r="Q80" s="547">
        <f t="shared" si="36"/>
        <v>707.61837790942639</v>
      </c>
      <c r="R80" s="547">
        <f t="shared" si="36"/>
        <v>757.60637950596708</v>
      </c>
      <c r="S80" s="547">
        <f t="shared" si="36"/>
        <v>805.31348801158208</v>
      </c>
      <c r="T80" s="547">
        <f t="shared" si="36"/>
        <v>850.79160364903532</v>
      </c>
    </row>
    <row r="81" spans="1:20" s="543" customFormat="1" ht="12">
      <c r="A81" s="544"/>
      <c r="B81" s="553" t="s">
        <v>512</v>
      </c>
      <c r="C81" s="554"/>
      <c r="D81" s="554"/>
      <c r="E81" s="554"/>
      <c r="F81" s="554">
        <f t="shared" ref="F81:T81" si="37">F71/F10</f>
        <v>0.38055567914889887</v>
      </c>
      <c r="G81" s="554">
        <f t="shared" si="37"/>
        <v>0.37172414501020401</v>
      </c>
      <c r="H81" s="554">
        <f t="shared" si="37"/>
        <v>0.36202750860674915</v>
      </c>
      <c r="I81" s="554">
        <f t="shared" si="37"/>
        <v>0.35267800750583739</v>
      </c>
      <c r="J81" s="554">
        <f t="shared" si="37"/>
        <v>0.34470716333901003</v>
      </c>
      <c r="K81" s="554">
        <f t="shared" si="37"/>
        <v>0.33592623932775273</v>
      </c>
      <c r="L81" s="554">
        <f t="shared" si="37"/>
        <v>0.32720444222245743</v>
      </c>
      <c r="M81" s="554">
        <f t="shared" si="37"/>
        <v>0.31812927933037766</v>
      </c>
      <c r="N81" s="554">
        <f t="shared" si="37"/>
        <v>0.30802407726537734</v>
      </c>
      <c r="O81" s="554">
        <f t="shared" si="37"/>
        <v>0.30059408069601051</v>
      </c>
      <c r="P81" s="554">
        <f t="shared" si="37"/>
        <v>0.29258724594740565</v>
      </c>
      <c r="Q81" s="554">
        <f t="shared" si="37"/>
        <v>0.28430016060509244</v>
      </c>
      <c r="R81" s="554">
        <f t="shared" si="37"/>
        <v>0.27655045303049952</v>
      </c>
      <c r="S81" s="554">
        <f t="shared" si="37"/>
        <v>0.26884450208890909</v>
      </c>
      <c r="T81" s="554">
        <f t="shared" si="37"/>
        <v>0.26112056907452641</v>
      </c>
    </row>
    <row r="82" spans="1:20" s="543" customFormat="1" ht="12">
      <c r="C82" s="555"/>
      <c r="D82" s="555"/>
      <c r="E82" s="555"/>
      <c r="F82" s="555"/>
      <c r="G82" s="555"/>
      <c r="H82" s="556"/>
      <c r="I82" s="555"/>
      <c r="J82" s="555"/>
      <c r="K82" s="556"/>
      <c r="L82" s="555"/>
    </row>
    <row r="83" spans="1:20" s="543" customFormat="1" ht="12">
      <c r="A83" s="858" t="s">
        <v>513</v>
      </c>
      <c r="B83" s="859"/>
      <c r="C83" s="859"/>
      <c r="D83" s="859"/>
      <c r="E83" s="859"/>
      <c r="F83" s="859"/>
      <c r="G83" s="859"/>
      <c r="H83" s="859"/>
      <c r="I83" s="859"/>
      <c r="J83" s="859"/>
      <c r="K83" s="859"/>
      <c r="L83" s="859"/>
      <c r="M83" s="859"/>
      <c r="N83" s="859"/>
      <c r="O83" s="859"/>
      <c r="P83" s="859"/>
      <c r="Q83" s="859"/>
      <c r="R83" s="859"/>
      <c r="S83" s="860"/>
    </row>
    <row r="84" spans="1:20" s="543" customFormat="1" ht="12">
      <c r="C84" s="861" t="s">
        <v>514</v>
      </c>
      <c r="D84" s="862"/>
      <c r="S84" s="557"/>
      <c r="T84" s="557"/>
    </row>
    <row r="85" spans="1:20" s="543" customFormat="1" ht="12">
      <c r="A85" s="558" t="s">
        <v>515</v>
      </c>
      <c r="B85" s="559" t="s">
        <v>464</v>
      </c>
      <c r="C85" s="560">
        <v>-2</v>
      </c>
      <c r="D85" s="560">
        <v>-1</v>
      </c>
      <c r="E85" s="561" t="s">
        <v>516</v>
      </c>
      <c r="F85" s="561" t="s">
        <v>465</v>
      </c>
      <c r="G85" s="561" t="s">
        <v>466</v>
      </c>
      <c r="H85" s="561" t="s">
        <v>467</v>
      </c>
      <c r="I85" s="561" t="s">
        <v>468</v>
      </c>
      <c r="J85" s="561" t="s">
        <v>469</v>
      </c>
      <c r="K85" s="561" t="s">
        <v>470</v>
      </c>
      <c r="L85" s="561" t="s">
        <v>471</v>
      </c>
      <c r="M85" s="561" t="s">
        <v>472</v>
      </c>
      <c r="N85" s="561" t="s">
        <v>473</v>
      </c>
      <c r="O85" s="561" t="s">
        <v>474</v>
      </c>
      <c r="P85" s="561" t="s">
        <v>475</v>
      </c>
      <c r="Q85" s="561" t="s">
        <v>476</v>
      </c>
      <c r="R85" s="561" t="s">
        <v>477</v>
      </c>
      <c r="S85" s="561" t="s">
        <v>478</v>
      </c>
      <c r="T85" s="557">
        <f>+S85+1</f>
        <v>16</v>
      </c>
    </row>
    <row r="86" spans="1:20" s="543" customFormat="1" ht="12">
      <c r="B86" s="562" t="s">
        <v>517</v>
      </c>
      <c r="C86" s="538"/>
      <c r="D86" s="538"/>
      <c r="E86" s="563"/>
      <c r="F86" s="563"/>
      <c r="G86" s="563"/>
      <c r="H86" s="563"/>
      <c r="I86" s="563"/>
      <c r="J86" s="563"/>
      <c r="K86" s="563"/>
      <c r="L86" s="563"/>
      <c r="M86" s="563"/>
      <c r="N86" s="563"/>
      <c r="O86" s="563"/>
      <c r="P86" s="563"/>
      <c r="Q86" s="563"/>
      <c r="R86" s="563"/>
      <c r="S86" s="563"/>
    </row>
    <row r="87" spans="1:20" s="543" customFormat="1" ht="12">
      <c r="A87" s="564">
        <v>1.1000000000000001</v>
      </c>
      <c r="B87" s="565" t="s">
        <v>506</v>
      </c>
      <c r="C87" s="564">
        <v>0</v>
      </c>
      <c r="D87" s="564">
        <v>0</v>
      </c>
      <c r="E87" s="566">
        <f t="shared" ref="E87:S87" si="38">F71</f>
        <v>106.37938983780032</v>
      </c>
      <c r="F87" s="566">
        <f t="shared" si="38"/>
        <v>133.59940630704546</v>
      </c>
      <c r="G87" s="566">
        <f t="shared" si="38"/>
        <v>137.34296676903648</v>
      </c>
      <c r="H87" s="566">
        <f t="shared" si="38"/>
        <v>133.7960312779978</v>
      </c>
      <c r="I87" s="566">
        <f t="shared" si="38"/>
        <v>130.77211911801081</v>
      </c>
      <c r="J87" s="566">
        <f t="shared" si="38"/>
        <v>127.44088564539214</v>
      </c>
      <c r="K87" s="566">
        <f t="shared" si="38"/>
        <v>124.13208324358339</v>
      </c>
      <c r="L87" s="566">
        <f t="shared" si="38"/>
        <v>120.68922388654926</v>
      </c>
      <c r="M87" s="566">
        <f t="shared" si="38"/>
        <v>116.85559688746031</v>
      </c>
      <c r="N87" s="566">
        <f t="shared" si="38"/>
        <v>114.03686696318522</v>
      </c>
      <c r="O87" s="566">
        <f t="shared" si="38"/>
        <v>110.99930099745268</v>
      </c>
      <c r="P87" s="566">
        <f t="shared" si="38"/>
        <v>107.85541590661603</v>
      </c>
      <c r="Q87" s="566">
        <f t="shared" si="38"/>
        <v>104.91539669651996</v>
      </c>
      <c r="R87" s="566">
        <f t="shared" si="38"/>
        <v>101.99197751169686</v>
      </c>
      <c r="S87" s="566">
        <f t="shared" si="38"/>
        <v>99.061736438571813</v>
      </c>
      <c r="T87" s="547">
        <f>R71</f>
        <v>104.91539669651996</v>
      </c>
    </row>
    <row r="88" spans="1:20" s="543" customFormat="1" ht="12">
      <c r="A88" s="567">
        <v>2</v>
      </c>
      <c r="B88" s="568" t="s">
        <v>518</v>
      </c>
      <c r="C88" s="564">
        <v>0</v>
      </c>
      <c r="D88" s="564">
        <v>0</v>
      </c>
      <c r="E88" s="566">
        <f>-E112</f>
        <v>18.938129948192362</v>
      </c>
      <c r="F88" s="547">
        <f t="shared" ref="F88:T88" si="39">-F112</f>
        <v>0</v>
      </c>
      <c r="G88" s="547">
        <f t="shared" si="39"/>
        <v>0</v>
      </c>
      <c r="H88" s="547">
        <f t="shared" si="39"/>
        <v>0</v>
      </c>
      <c r="I88" s="547">
        <f t="shared" si="39"/>
        <v>0</v>
      </c>
      <c r="J88" s="547">
        <f t="shared" si="39"/>
        <v>2.9839552751287695</v>
      </c>
      <c r="K88" s="547">
        <f t="shared" si="39"/>
        <v>15.879722200299454</v>
      </c>
      <c r="L88" s="547">
        <f t="shared" si="39"/>
        <v>18.809157456239433</v>
      </c>
      <c r="M88" s="547">
        <f t="shared" si="39"/>
        <v>0</v>
      </c>
      <c r="N88" s="547">
        <f t="shared" si="39"/>
        <v>0</v>
      </c>
      <c r="O88" s="547">
        <f t="shared" si="39"/>
        <v>0</v>
      </c>
      <c r="P88" s="547">
        <f t="shared" si="39"/>
        <v>0</v>
      </c>
      <c r="Q88" s="547">
        <f t="shared" si="39"/>
        <v>0</v>
      </c>
      <c r="R88" s="547">
        <f t="shared" si="39"/>
        <v>0</v>
      </c>
      <c r="S88" s="547">
        <f t="shared" si="39"/>
        <v>0</v>
      </c>
      <c r="T88" s="547" t="e">
        <f t="shared" si="39"/>
        <v>#REF!</v>
      </c>
    </row>
    <row r="89" spans="1:20" s="543" customFormat="1" ht="12">
      <c r="A89" s="569">
        <v>3</v>
      </c>
      <c r="B89" s="570" t="s">
        <v>519</v>
      </c>
      <c r="C89" s="564">
        <v>0</v>
      </c>
      <c r="D89" s="571">
        <f>'Bal sheet'!D45+Capex!B32*0</f>
        <v>140.06154751394772</v>
      </c>
      <c r="E89" s="572">
        <f>Capex!B30</f>
        <v>10.829202970611577</v>
      </c>
      <c r="F89" s="564">
        <v>0</v>
      </c>
      <c r="G89" s="564">
        <v>0</v>
      </c>
      <c r="H89" s="564">
        <v>0</v>
      </c>
      <c r="I89" s="564">
        <v>0</v>
      </c>
      <c r="J89" s="564">
        <v>0</v>
      </c>
      <c r="K89" s="564">
        <v>0</v>
      </c>
      <c r="L89" s="564">
        <v>0</v>
      </c>
      <c r="M89" s="564">
        <v>0</v>
      </c>
      <c r="N89" s="564">
        <v>0</v>
      </c>
      <c r="O89" s="564">
        <v>0</v>
      </c>
      <c r="P89" s="564">
        <v>0</v>
      </c>
      <c r="Q89" s="564">
        <v>0</v>
      </c>
      <c r="R89" s="564">
        <v>0</v>
      </c>
      <c r="S89" s="564">
        <v>0</v>
      </c>
      <c r="T89" s="564">
        <v>0</v>
      </c>
    </row>
    <row r="90" spans="1:20" s="543" customFormat="1" ht="12">
      <c r="A90" s="569">
        <v>4</v>
      </c>
      <c r="B90" s="570" t="s">
        <v>520</v>
      </c>
      <c r="C90" s="551">
        <f>'Bal sheet'!C46</f>
        <v>113.10442469454674</v>
      </c>
      <c r="D90" s="564">
        <v>0</v>
      </c>
      <c r="E90" s="566">
        <v>0</v>
      </c>
      <c r="F90" s="566">
        <v>0</v>
      </c>
      <c r="G90" s="566">
        <v>0</v>
      </c>
      <c r="H90" s="566">
        <v>0</v>
      </c>
      <c r="I90" s="566">
        <v>0</v>
      </c>
      <c r="J90" s="566">
        <v>0</v>
      </c>
      <c r="K90" s="566">
        <v>0</v>
      </c>
      <c r="L90" s="566">
        <v>0</v>
      </c>
      <c r="M90" s="566">
        <v>0</v>
      </c>
      <c r="N90" s="566">
        <v>0</v>
      </c>
      <c r="O90" s="566">
        <v>0</v>
      </c>
      <c r="P90" s="566">
        <v>0</v>
      </c>
      <c r="Q90" s="566">
        <v>0</v>
      </c>
      <c r="R90" s="566">
        <v>0</v>
      </c>
      <c r="S90" s="566">
        <v>0</v>
      </c>
      <c r="T90" s="566">
        <v>0</v>
      </c>
    </row>
    <row r="91" spans="1:20" s="543" customFormat="1" ht="12">
      <c r="A91" s="569">
        <v>5</v>
      </c>
      <c r="B91" s="573" t="s">
        <v>521</v>
      </c>
      <c r="C91" s="574">
        <f>'Bal sheet'!C43</f>
        <v>0.15526647259781082</v>
      </c>
      <c r="D91" s="574">
        <f>'Bal sheet'!D43</f>
        <v>0.22183840643454694</v>
      </c>
      <c r="E91" s="574">
        <f>'Bal sheet'!E43</f>
        <v>6.3527326012499996</v>
      </c>
      <c r="F91" s="574">
        <f>'Bal sheet'!F43</f>
        <v>8.1677990587500009</v>
      </c>
      <c r="G91" s="574">
        <f>'Bal sheet'!G43</f>
        <v>8.6215656731249997</v>
      </c>
      <c r="H91" s="574">
        <f>'Bal sheet'!H43</f>
        <v>8.6215656731249997</v>
      </c>
      <c r="I91" s="574">
        <f>'Bal sheet'!I43</f>
        <v>8.6215656731249997</v>
      </c>
      <c r="J91" s="574">
        <f>'Bal sheet'!J43</f>
        <v>8.6215656731249997</v>
      </c>
      <c r="K91" s="574">
        <f>'Bal sheet'!K43</f>
        <v>8.6215656731249997</v>
      </c>
      <c r="L91" s="574">
        <f>'Bal sheet'!L43</f>
        <v>8.6215656731249997</v>
      </c>
      <c r="M91" s="574">
        <f>'Bal sheet'!M43</f>
        <v>8.6215656731249997</v>
      </c>
      <c r="N91" s="574">
        <f>'Bal sheet'!N43</f>
        <v>8.6215656731249997</v>
      </c>
      <c r="O91" s="574">
        <f>'Bal sheet'!O43</f>
        <v>8.6215656731249997</v>
      </c>
      <c r="P91" s="574">
        <f>'Bal sheet'!P43</f>
        <v>8.6215656731249997</v>
      </c>
      <c r="Q91" s="574">
        <f>'Bal sheet'!Q43</f>
        <v>8.6215656731249997</v>
      </c>
      <c r="R91" s="574">
        <f>'Bal sheet'!R43</f>
        <v>8.6215656731249997</v>
      </c>
      <c r="S91" s="574">
        <f>'Bal sheet'!S43</f>
        <v>8.6215656731249997</v>
      </c>
      <c r="T91" s="547" t="e">
        <f>+IF('[6]bal sheet'!#REF!-'[6]bal sheet'!#REF!&lt;0,0,'[6]bal sheet'!#REF!-'[6]bal sheet'!#REF!)</f>
        <v>#REF!</v>
      </c>
    </row>
    <row r="92" spans="1:20" s="543" customFormat="1" ht="12">
      <c r="A92" s="569">
        <v>6</v>
      </c>
      <c r="B92" s="575" t="s">
        <v>522</v>
      </c>
      <c r="C92" s="564">
        <v>0</v>
      </c>
      <c r="D92" s="564">
        <v>0</v>
      </c>
      <c r="E92" s="576">
        <v>0</v>
      </c>
      <c r="F92" s="564">
        <f>+IF('Bal sheet'!F32-'Bal sheet'!E32&gt;0,0,-('Bal sheet'!F32-'Bal sheet'!E32))</f>
        <v>0</v>
      </c>
      <c r="G92" s="564">
        <f>+IF('Bal sheet'!G32-'Bal sheet'!F32&gt;0,0,-('Bal sheet'!G32-'Bal sheet'!F32))</f>
        <v>0</v>
      </c>
      <c r="H92" s="564">
        <f>+IF('Bal sheet'!H32-'Bal sheet'!G32&gt;0,0,-('Bal sheet'!H32-'Bal sheet'!G32))</f>
        <v>0</v>
      </c>
      <c r="I92" s="564">
        <f>+IF('Bal sheet'!I32-'Bal sheet'!H32&gt;0,0,-('Bal sheet'!I32-'Bal sheet'!H32))</f>
        <v>0</v>
      </c>
      <c r="J92" s="564">
        <f>+IF('Bal sheet'!J32-'Bal sheet'!I32&gt;0,0,-('Bal sheet'!J32-'Bal sheet'!I32))</f>
        <v>0</v>
      </c>
      <c r="K92" s="564">
        <f>+IF('Bal sheet'!K32-'Bal sheet'!J32&gt;0,0,-('Bal sheet'!K32-'Bal sheet'!J32))</f>
        <v>0</v>
      </c>
      <c r="L92" s="564">
        <f>+IF('Bal sheet'!L32-'Bal sheet'!K32&gt;0,0,-('Bal sheet'!L32-'Bal sheet'!K32))</f>
        <v>0</v>
      </c>
      <c r="M92" s="564">
        <f>+IF('Bal sheet'!M32-'Bal sheet'!L32&gt;0,0,-('Bal sheet'!M32-'Bal sheet'!L32))</f>
        <v>0</v>
      </c>
      <c r="N92" s="564">
        <f>+IF('Bal sheet'!N32-'Bal sheet'!M32&gt;0,0,-('Bal sheet'!N32-'Bal sheet'!M32))</f>
        <v>0</v>
      </c>
      <c r="O92" s="564">
        <f>+IF('Bal sheet'!O32-'Bal sheet'!N32&gt;0,0,-('Bal sheet'!O32-'Bal sheet'!N32))</f>
        <v>0</v>
      </c>
      <c r="P92" s="564">
        <f>+IF('Bal sheet'!P32-'Bal sheet'!O32&gt;0,0,-('Bal sheet'!P32-'Bal sheet'!O32))</f>
        <v>0</v>
      </c>
      <c r="Q92" s="564">
        <f>+IF('Bal sheet'!Q32-'Bal sheet'!P32&gt;0,0,-('Bal sheet'!Q32-'Bal sheet'!P32))</f>
        <v>0</v>
      </c>
      <c r="R92" s="564">
        <f>+IF('Bal sheet'!R32-'Bal sheet'!Q32&gt;0,0,-('Bal sheet'!R32-'Bal sheet'!Q32))</f>
        <v>0</v>
      </c>
      <c r="S92" s="564">
        <f>+IF('Bal sheet'!S32-'Bal sheet'!R32&gt;0,0,-('Bal sheet'!S32-'Bal sheet'!R32))</f>
        <v>0</v>
      </c>
      <c r="T92" s="564">
        <f>+IF('Bal sheet'!T32-'Bal sheet'!S32&gt;0,0,-('Bal sheet'!T32-'Bal sheet'!S32))</f>
        <v>74.382653342938738</v>
      </c>
    </row>
    <row r="93" spans="1:20" s="543" customFormat="1" ht="12">
      <c r="A93" s="569"/>
      <c r="B93" s="577" t="s">
        <v>523</v>
      </c>
      <c r="C93" s="566">
        <f>SUM(C87:C92)</f>
        <v>113.25969116714455</v>
      </c>
      <c r="D93" s="566">
        <f t="shared" ref="D93" si="40">SUM(D87:D92)</f>
        <v>140.28338592038227</v>
      </c>
      <c r="E93" s="566">
        <f>SUM(E87:E92)</f>
        <v>142.49945535785429</v>
      </c>
      <c r="F93" s="547">
        <f>SUM(F87:F92)</f>
        <v>141.76720536579546</v>
      </c>
      <c r="G93" s="547">
        <f t="shared" ref="G93:T93" si="41">SUM(G87:G92)</f>
        <v>145.96453244216147</v>
      </c>
      <c r="H93" s="547">
        <f t="shared" si="41"/>
        <v>142.41759695112279</v>
      </c>
      <c r="I93" s="547">
        <f t="shared" si="41"/>
        <v>139.3936847911358</v>
      </c>
      <c r="J93" s="547">
        <f t="shared" si="41"/>
        <v>139.04640659364591</v>
      </c>
      <c r="K93" s="547">
        <f t="shared" si="41"/>
        <v>148.63337111700784</v>
      </c>
      <c r="L93" s="547">
        <f t="shared" si="41"/>
        <v>148.11994701591368</v>
      </c>
      <c r="M93" s="547">
        <f t="shared" si="41"/>
        <v>125.47716256058531</v>
      </c>
      <c r="N93" s="547">
        <f t="shared" si="41"/>
        <v>122.65843263631022</v>
      </c>
      <c r="O93" s="547">
        <f t="shared" si="41"/>
        <v>119.62086667057768</v>
      </c>
      <c r="P93" s="547">
        <f t="shared" si="41"/>
        <v>116.47698157974104</v>
      </c>
      <c r="Q93" s="547">
        <f t="shared" si="41"/>
        <v>113.53696236964497</v>
      </c>
      <c r="R93" s="547">
        <f t="shared" si="41"/>
        <v>110.61354318482186</v>
      </c>
      <c r="S93" s="547">
        <f t="shared" si="41"/>
        <v>107.68330211169682</v>
      </c>
      <c r="T93" s="547" t="e">
        <f t="shared" si="41"/>
        <v>#REF!</v>
      </c>
    </row>
    <row r="94" spans="1:20" s="543" customFormat="1" ht="12">
      <c r="A94" s="569"/>
      <c r="B94" s="578" t="s">
        <v>524</v>
      </c>
      <c r="C94" s="564"/>
      <c r="D94" s="564"/>
      <c r="E94" s="566">
        <f>SUM(E87,E90:E92)</f>
        <v>112.73212243905031</v>
      </c>
      <c r="F94" s="566">
        <f t="shared" ref="F94:T94" si="42">SUM(F87,F90:F92)</f>
        <v>141.76720536579546</v>
      </c>
      <c r="G94" s="566">
        <f t="shared" si="42"/>
        <v>145.96453244216147</v>
      </c>
      <c r="H94" s="566">
        <f t="shared" si="42"/>
        <v>142.41759695112279</v>
      </c>
      <c r="I94" s="566">
        <f t="shared" si="42"/>
        <v>139.3936847911358</v>
      </c>
      <c r="J94" s="566">
        <f t="shared" si="42"/>
        <v>136.06245131851713</v>
      </c>
      <c r="K94" s="566">
        <f t="shared" si="42"/>
        <v>132.75364891670839</v>
      </c>
      <c r="L94" s="566">
        <f t="shared" si="42"/>
        <v>129.31078955967425</v>
      </c>
      <c r="M94" s="566">
        <f t="shared" si="42"/>
        <v>125.47716256058531</v>
      </c>
      <c r="N94" s="566">
        <f t="shared" si="42"/>
        <v>122.65843263631022</v>
      </c>
      <c r="O94" s="566">
        <f t="shared" si="42"/>
        <v>119.62086667057768</v>
      </c>
      <c r="P94" s="566">
        <f t="shared" si="42"/>
        <v>116.47698157974104</v>
      </c>
      <c r="Q94" s="566">
        <f t="shared" si="42"/>
        <v>113.53696236964497</v>
      </c>
      <c r="R94" s="566">
        <f t="shared" si="42"/>
        <v>110.61354318482186</v>
      </c>
      <c r="S94" s="566">
        <f t="shared" si="42"/>
        <v>107.68330211169682</v>
      </c>
      <c r="T94" s="566" t="e">
        <f t="shared" si="42"/>
        <v>#REF!</v>
      </c>
    </row>
    <row r="95" spans="1:20" s="543" customFormat="1" ht="12">
      <c r="A95" s="579" t="s">
        <v>44</v>
      </c>
      <c r="B95" s="580" t="s">
        <v>525</v>
      </c>
      <c r="C95" s="564"/>
      <c r="D95" s="564"/>
      <c r="E95" s="576"/>
      <c r="F95" s="564"/>
      <c r="G95" s="564"/>
      <c r="H95" s="564"/>
      <c r="I95" s="564"/>
      <c r="J95" s="564"/>
      <c r="K95" s="564"/>
      <c r="L95" s="564"/>
      <c r="M95" s="564"/>
      <c r="N95" s="564"/>
      <c r="O95" s="564"/>
      <c r="P95" s="564"/>
      <c r="Q95" s="564"/>
      <c r="R95" s="564"/>
      <c r="S95" s="564"/>
      <c r="T95" s="564"/>
    </row>
    <row r="96" spans="1:20" s="543" customFormat="1" ht="12">
      <c r="A96" s="569">
        <v>1</v>
      </c>
      <c r="B96" s="570" t="s">
        <v>526</v>
      </c>
      <c r="C96" s="551">
        <f>+'Bal sheet'!C35</f>
        <v>113.10442469454674</v>
      </c>
      <c r="D96" s="571">
        <f>'Bal sheet'!D45+Capex!B32</f>
        <v>174.54141832152317</v>
      </c>
      <c r="E96" s="576">
        <v>0</v>
      </c>
      <c r="F96" s="564">
        <v>0</v>
      </c>
      <c r="G96" s="564">
        <v>0</v>
      </c>
      <c r="H96" s="564">
        <v>0</v>
      </c>
      <c r="I96" s="564">
        <v>0</v>
      </c>
      <c r="J96" s="564">
        <v>0</v>
      </c>
      <c r="K96" s="564">
        <v>0</v>
      </c>
      <c r="L96" s="564">
        <v>0</v>
      </c>
      <c r="M96" s="564">
        <v>0</v>
      </c>
      <c r="N96" s="564">
        <v>0</v>
      </c>
      <c r="O96" s="564">
        <v>0</v>
      </c>
      <c r="P96" s="564">
        <v>0</v>
      </c>
      <c r="Q96" s="564">
        <v>0</v>
      </c>
      <c r="R96" s="564">
        <v>0</v>
      </c>
      <c r="S96" s="564">
        <v>0</v>
      </c>
      <c r="T96" s="564">
        <v>1</v>
      </c>
    </row>
    <row r="97" spans="1:20" s="543" customFormat="1" ht="12">
      <c r="A97" s="569">
        <v>2</v>
      </c>
      <c r="B97" s="575" t="s">
        <v>527</v>
      </c>
      <c r="C97" s="564">
        <v>0</v>
      </c>
      <c r="D97" s="564">
        <v>0</v>
      </c>
      <c r="E97" s="576">
        <v>0</v>
      </c>
      <c r="F97" s="547">
        <f>+IF('Bal sheet'!F32-'Bal sheet'!E32&gt;0,0,-('Bal sheet'!F32-'Bal sheet'!E32))</f>
        <v>0</v>
      </c>
      <c r="G97" s="547">
        <f>+IF('Bal sheet'!G32-'Bal sheet'!F32&gt;0,0,-('Bal sheet'!G32-'Bal sheet'!F32))</f>
        <v>0</v>
      </c>
      <c r="H97" s="547">
        <f>+IF('Bal sheet'!H32-'Bal sheet'!G32&gt;0,0,-('Bal sheet'!H32-'Bal sheet'!G32))</f>
        <v>0</v>
      </c>
      <c r="I97" s="547">
        <f>+IF('Bal sheet'!I32-'Bal sheet'!H32&gt;0,0,-('Bal sheet'!I32-'Bal sheet'!H32))</f>
        <v>0</v>
      </c>
      <c r="J97" s="547">
        <f>+IF('Bal sheet'!J32-'Bal sheet'!I32&gt;0,0,-('Bal sheet'!J32-'Bal sheet'!I32))</f>
        <v>0</v>
      </c>
      <c r="K97" s="547">
        <f>+IF('Bal sheet'!K32-'Bal sheet'!J32&gt;0,0,-('Bal sheet'!K32-'Bal sheet'!J32))</f>
        <v>0</v>
      </c>
      <c r="L97" s="547">
        <f>+IF('Bal sheet'!L32-'Bal sheet'!K32&gt;0,0,-('Bal sheet'!L32-'Bal sheet'!K32))</f>
        <v>0</v>
      </c>
      <c r="M97" s="547">
        <f>+IF('Bal sheet'!M32-'Bal sheet'!L32&gt;0,0,-('Bal sheet'!M32-'Bal sheet'!L32))</f>
        <v>0</v>
      </c>
      <c r="N97" s="547">
        <f>+IF('Bal sheet'!N32-'Bal sheet'!M32&gt;0,0,-('Bal sheet'!N32-'Bal sheet'!M32))</f>
        <v>0</v>
      </c>
      <c r="O97" s="547">
        <f>+IF('Bal sheet'!O32-'Bal sheet'!N32&gt;0,0,-('Bal sheet'!O32-'Bal sheet'!N32))</f>
        <v>0</v>
      </c>
      <c r="P97" s="547">
        <f>+IF('Bal sheet'!P32-'Bal sheet'!O32&gt;0,0,-('Bal sheet'!P32-'Bal sheet'!O32))</f>
        <v>0</v>
      </c>
      <c r="Q97" s="547">
        <f>+IF('Bal sheet'!Q32-'Bal sheet'!P32&gt;0,0,-('Bal sheet'!Q32-'Bal sheet'!P32))</f>
        <v>0</v>
      </c>
      <c r="R97" s="547">
        <f>+IF('Bal sheet'!R32-'Bal sheet'!Q32&gt;0,0,-('Bal sheet'!R32-'Bal sheet'!Q32))</f>
        <v>0</v>
      </c>
      <c r="S97" s="547">
        <f>+IF('Bal sheet'!S32-'Bal sheet'!R32&gt;0,0,-('Bal sheet'!S32-'Bal sheet'!R32))</f>
        <v>0</v>
      </c>
      <c r="T97" s="547">
        <f>+IF('Bal sheet'!T32-'Bal sheet'!S32&gt;0,0,-('Bal sheet'!T32-'Bal sheet'!S32))</f>
        <v>74.382653342938738</v>
      </c>
    </row>
    <row r="98" spans="1:20" s="543" customFormat="1" ht="12">
      <c r="A98" s="569">
        <v>3</v>
      </c>
      <c r="B98" s="575" t="s">
        <v>528</v>
      </c>
      <c r="C98" s="566">
        <f>'Bal sheet'!C32</f>
        <v>0.15526647259781082</v>
      </c>
      <c r="D98" s="566">
        <f>'Bal sheet'!D32</f>
        <v>0.22183840643454694</v>
      </c>
      <c r="E98" s="566">
        <f>'Bal sheet'!E32</f>
        <v>49.669544483696306</v>
      </c>
      <c r="F98" s="566">
        <f>'Bal sheet'!F32</f>
        <v>64.349478959624349</v>
      </c>
      <c r="G98" s="566">
        <f>'Bal sheet'!G32</f>
        <v>68.491378333515044</v>
      </c>
      <c r="H98" s="566">
        <f>'Bal sheet'!H32</f>
        <v>69.03837120467378</v>
      </c>
      <c r="I98" s="566">
        <f>'Bal sheet'!I32</f>
        <v>69.503507179424361</v>
      </c>
      <c r="J98" s="566">
        <f>'Bal sheet'!J32</f>
        <v>70.01702569326153</v>
      </c>
      <c r="K98" s="566">
        <f>'Bal sheet'!K32</f>
        <v>70.526920847159161</v>
      </c>
      <c r="L98" s="566">
        <f>'Bal sheet'!L32</f>
        <v>71.057700476503996</v>
      </c>
      <c r="M98" s="566">
        <f>'Bal sheet'!M32</f>
        <v>71.6495693707122</v>
      </c>
      <c r="N98" s="566">
        <f>'Bal sheet'!N32</f>
        <v>72.082369393456958</v>
      </c>
      <c r="O98" s="566">
        <f>'Bal sheet'!O32</f>
        <v>72.549327528169471</v>
      </c>
      <c r="P98" s="566">
        <f>'Bal sheet'!P32</f>
        <v>73.032819705183513</v>
      </c>
      <c r="Q98" s="566">
        <f>'Bal sheet'!Q32</f>
        <v>73.484262859219513</v>
      </c>
      <c r="R98" s="566">
        <f>'Bal sheet'!R32</f>
        <v>73.932985157472999</v>
      </c>
      <c r="S98" s="566">
        <f>'Bal sheet'!S32</f>
        <v>74.382653342938738</v>
      </c>
      <c r="T98" s="547" t="e">
        <f>+IF('[6]bal sheet'!#REF!-'[6]bal sheet'!#REF!&lt;0,0,'[6]bal sheet'!#REF!-'[6]bal sheet'!#REF!)</f>
        <v>#REF!</v>
      </c>
    </row>
    <row r="99" spans="1:20" s="543" customFormat="1" ht="12">
      <c r="A99" s="567">
        <v>4</v>
      </c>
      <c r="B99" s="568" t="s">
        <v>529</v>
      </c>
      <c r="C99" s="564">
        <v>0</v>
      </c>
      <c r="D99" s="564">
        <v>0</v>
      </c>
      <c r="E99" s="566">
        <v>0</v>
      </c>
      <c r="F99" s="547">
        <f>E115*$C$69</f>
        <v>1.7044316953373124</v>
      </c>
      <c r="G99" s="547">
        <f t="shared" ref="G99:S99" si="43">F115*$C$69</f>
        <v>1.6468107415527553</v>
      </c>
      <c r="H99" s="547">
        <f t="shared" si="43"/>
        <v>1.1591152320263052</v>
      </c>
      <c r="I99" s="547">
        <f t="shared" si="43"/>
        <v>0.57608050256173648</v>
      </c>
      <c r="J99" s="547">
        <f t="shared" si="43"/>
        <v>0</v>
      </c>
      <c r="K99" s="547">
        <f t="shared" si="43"/>
        <v>0.26855597476158927</v>
      </c>
      <c r="L99" s="547">
        <f t="shared" si="43"/>
        <v>1.6977309727885403</v>
      </c>
      <c r="M99" s="547">
        <f t="shared" si="43"/>
        <v>3.3905551438500892</v>
      </c>
      <c r="N99" s="547">
        <f t="shared" si="43"/>
        <v>1.562754564422445</v>
      </c>
      <c r="O99" s="547">
        <f t="shared" si="43"/>
        <v>1.1213521408314121E-2</v>
      </c>
      <c r="P99" s="547">
        <f t="shared" si="43"/>
        <v>0</v>
      </c>
      <c r="Q99" s="547">
        <f t="shared" si="43"/>
        <v>0</v>
      </c>
      <c r="R99" s="547">
        <f t="shared" si="43"/>
        <v>0</v>
      </c>
      <c r="S99" s="547">
        <f t="shared" si="43"/>
        <v>0</v>
      </c>
      <c r="T99" s="547">
        <f t="shared" ref="T99" si="44">S115*$C$90</f>
        <v>0</v>
      </c>
    </row>
    <row r="100" spans="1:20" s="543" customFormat="1" ht="12">
      <c r="A100" s="569">
        <v>5</v>
      </c>
      <c r="B100" s="570" t="s">
        <v>530</v>
      </c>
      <c r="C100" s="564">
        <v>0</v>
      </c>
      <c r="D100" s="547">
        <f>+D132</f>
        <v>34.479870807575452</v>
      </c>
      <c r="E100" s="566">
        <f t="shared" ref="E100:T100" si="45">E132</f>
        <v>37.324460149200419</v>
      </c>
      <c r="F100" s="547">
        <f t="shared" si="45"/>
        <v>32.658902630550372</v>
      </c>
      <c r="G100" s="547">
        <f t="shared" si="45"/>
        <v>27.993345111900318</v>
      </c>
      <c r="H100" s="547">
        <f t="shared" si="45"/>
        <v>23.327787593250267</v>
      </c>
      <c r="I100" s="547">
        <f t="shared" si="45"/>
        <v>18.662230074600213</v>
      </c>
      <c r="J100" s="547">
        <f t="shared" si="45"/>
        <v>13.996672555950161</v>
      </c>
      <c r="K100" s="547">
        <f t="shared" si="45"/>
        <v>9.3311150373001084</v>
      </c>
      <c r="L100" s="547">
        <f t="shared" si="45"/>
        <v>4.665557518650056</v>
      </c>
      <c r="M100" s="547">
        <f t="shared" si="45"/>
        <v>0</v>
      </c>
      <c r="N100" s="547">
        <f t="shared" si="45"/>
        <v>0</v>
      </c>
      <c r="O100" s="547">
        <f t="shared" si="45"/>
        <v>0</v>
      </c>
      <c r="P100" s="547">
        <f t="shared" si="45"/>
        <v>0</v>
      </c>
      <c r="Q100" s="547">
        <f t="shared" si="45"/>
        <v>0</v>
      </c>
      <c r="R100" s="547">
        <f t="shared" si="45"/>
        <v>0</v>
      </c>
      <c r="S100" s="547">
        <f t="shared" si="45"/>
        <v>0</v>
      </c>
      <c r="T100" s="547">
        <f t="shared" si="45"/>
        <v>0</v>
      </c>
    </row>
    <row r="101" spans="1:20" s="543" customFormat="1" ht="12">
      <c r="A101" s="567">
        <v>6</v>
      </c>
      <c r="B101" s="581" t="s">
        <v>531</v>
      </c>
      <c r="C101" s="564">
        <v>0</v>
      </c>
      <c r="D101" s="564">
        <v>0</v>
      </c>
      <c r="E101" s="566">
        <f>E113</f>
        <v>0</v>
      </c>
      <c r="F101" s="547">
        <f t="shared" ref="F101:T101" si="46">F113</f>
        <v>0.64023281982841329</v>
      </c>
      <c r="G101" s="547">
        <f t="shared" si="46"/>
        <v>5.4188389947383371</v>
      </c>
      <c r="H101" s="547">
        <f t="shared" si="46"/>
        <v>6.4781636607174287</v>
      </c>
      <c r="I101" s="547">
        <f t="shared" si="46"/>
        <v>6.4008944729081838</v>
      </c>
      <c r="J101" s="547">
        <f t="shared" si="46"/>
        <v>0</v>
      </c>
      <c r="K101" s="547">
        <f t="shared" si="46"/>
        <v>0</v>
      </c>
      <c r="L101" s="547">
        <f t="shared" si="46"/>
        <v>0</v>
      </c>
      <c r="M101" s="547">
        <f t="shared" si="46"/>
        <v>20.308895326973825</v>
      </c>
      <c r="N101" s="547">
        <f t="shared" si="46"/>
        <v>17.239344922379232</v>
      </c>
      <c r="O101" s="547">
        <f t="shared" si="46"/>
        <v>0.12459468231460136</v>
      </c>
      <c r="P101" s="547">
        <f t="shared" si="46"/>
        <v>0</v>
      </c>
      <c r="Q101" s="547">
        <f t="shared" si="46"/>
        <v>0</v>
      </c>
      <c r="R101" s="547">
        <f t="shared" si="46"/>
        <v>0</v>
      </c>
      <c r="S101" s="547">
        <f t="shared" si="46"/>
        <v>0</v>
      </c>
      <c r="T101" s="547" t="e">
        <f t="shared" si="46"/>
        <v>#REF!</v>
      </c>
    </row>
    <row r="102" spans="1:20" s="543" customFormat="1" ht="12">
      <c r="A102" s="569">
        <v>7</v>
      </c>
      <c r="B102" s="570" t="s">
        <v>532</v>
      </c>
      <c r="C102" s="564">
        <v>0</v>
      </c>
      <c r="D102" s="564">
        <v>0</v>
      </c>
      <c r="E102" s="566">
        <f t="shared" ref="E102:T102" si="47">E130</f>
        <v>42.414159260455023</v>
      </c>
      <c r="F102" s="547">
        <f t="shared" si="47"/>
        <v>42.414159260455023</v>
      </c>
      <c r="G102" s="547">
        <f t="shared" si="47"/>
        <v>42.414159260455023</v>
      </c>
      <c r="H102" s="547">
        <f t="shared" si="47"/>
        <v>42.414159260455023</v>
      </c>
      <c r="I102" s="547">
        <f t="shared" si="47"/>
        <v>42.414159260455023</v>
      </c>
      <c r="J102" s="547">
        <f t="shared" si="47"/>
        <v>42.414159260455023</v>
      </c>
      <c r="K102" s="547">
        <f t="shared" si="47"/>
        <v>42.414159260455023</v>
      </c>
      <c r="L102" s="547">
        <f t="shared" si="47"/>
        <v>42.414159260455023</v>
      </c>
      <c r="M102" s="547">
        <f t="shared" si="47"/>
        <v>0</v>
      </c>
      <c r="N102" s="547">
        <f t="shared" si="47"/>
        <v>0</v>
      </c>
      <c r="O102" s="547">
        <f t="shared" si="47"/>
        <v>0</v>
      </c>
      <c r="P102" s="547">
        <f t="shared" si="47"/>
        <v>0</v>
      </c>
      <c r="Q102" s="547">
        <f t="shared" si="47"/>
        <v>0</v>
      </c>
      <c r="R102" s="547">
        <f t="shared" si="47"/>
        <v>0</v>
      </c>
      <c r="S102" s="547">
        <f t="shared" si="47"/>
        <v>0</v>
      </c>
      <c r="T102" s="547">
        <f t="shared" si="47"/>
        <v>0</v>
      </c>
    </row>
    <row r="103" spans="1:20" s="543" customFormat="1" ht="12">
      <c r="A103" s="569">
        <v>8</v>
      </c>
      <c r="B103" s="570" t="s">
        <v>510</v>
      </c>
      <c r="C103" s="564">
        <v>0</v>
      </c>
      <c r="D103" s="564">
        <v>0</v>
      </c>
      <c r="E103" s="574">
        <f t="shared" ref="E103:T103" si="48">C78</f>
        <v>0</v>
      </c>
      <c r="F103" s="551">
        <f t="shared" si="48"/>
        <v>0</v>
      </c>
      <c r="G103" s="551">
        <f t="shared" si="48"/>
        <v>0</v>
      </c>
      <c r="H103" s="551">
        <f t="shared" si="48"/>
        <v>0</v>
      </c>
      <c r="I103" s="551">
        <f t="shared" si="48"/>
        <v>0</v>
      </c>
      <c r="J103" s="551">
        <f t="shared" si="48"/>
        <v>14.45536238516549</v>
      </c>
      <c r="K103" s="551">
        <f t="shared" si="48"/>
        <v>26.092619997331965</v>
      </c>
      <c r="L103" s="551">
        <f t="shared" si="48"/>
        <v>28.284798787516078</v>
      </c>
      <c r="M103" s="551">
        <f t="shared" si="48"/>
        <v>30.128142719049194</v>
      </c>
      <c r="N103" s="551">
        <f t="shared" si="48"/>
        <v>31.773963756051593</v>
      </c>
      <c r="O103" s="551">
        <f t="shared" si="48"/>
        <v>33.198262858630812</v>
      </c>
      <c r="P103" s="551">
        <f t="shared" si="48"/>
        <v>34.337428564443883</v>
      </c>
      <c r="Q103" s="551">
        <f t="shared" si="48"/>
        <v>35.704846648280267</v>
      </c>
      <c r="R103" s="551">
        <f t="shared" si="48"/>
        <v>35.257940466047074</v>
      </c>
      <c r="S103" s="551">
        <f t="shared" si="48"/>
        <v>34.682409853679445</v>
      </c>
      <c r="T103" s="551">
        <f t="shared" si="48"/>
        <v>34.100295815351757</v>
      </c>
    </row>
    <row r="104" spans="1:20" s="543" customFormat="1" ht="12">
      <c r="A104" s="569"/>
      <c r="B104" s="582" t="s">
        <v>533</v>
      </c>
      <c r="C104" s="566">
        <f>SUM(C96:C103)</f>
        <v>113.25969116714455</v>
      </c>
      <c r="D104" s="566">
        <f t="shared" ref="D104" si="49">SUM(D96:D103)</f>
        <v>209.24312753553318</v>
      </c>
      <c r="E104" s="566">
        <f>SUM(E96:E103)</f>
        <v>129.40816389335174</v>
      </c>
      <c r="F104" s="547">
        <f t="shared" ref="F104:T104" si="50">SUM(F96:F103)</f>
        <v>141.76720536579546</v>
      </c>
      <c r="G104" s="547">
        <f t="shared" si="50"/>
        <v>145.96453244216147</v>
      </c>
      <c r="H104" s="547">
        <f t="shared" si="50"/>
        <v>142.41759695112279</v>
      </c>
      <c r="I104" s="547">
        <f t="shared" si="50"/>
        <v>137.55687148994951</v>
      </c>
      <c r="J104" s="547">
        <f t="shared" si="50"/>
        <v>140.88321989483219</v>
      </c>
      <c r="K104" s="547">
        <f t="shared" si="50"/>
        <v>148.63337111700784</v>
      </c>
      <c r="L104" s="547">
        <f t="shared" si="50"/>
        <v>148.11994701591368</v>
      </c>
      <c r="M104" s="547">
        <f t="shared" si="50"/>
        <v>125.47716256058531</v>
      </c>
      <c r="N104" s="547">
        <f t="shared" si="50"/>
        <v>122.65843263631024</v>
      </c>
      <c r="O104" s="547">
        <f t="shared" si="50"/>
        <v>105.8833985905232</v>
      </c>
      <c r="P104" s="547">
        <f t="shared" si="50"/>
        <v>107.3702482696274</v>
      </c>
      <c r="Q104" s="547">
        <f t="shared" si="50"/>
        <v>109.18910950749978</v>
      </c>
      <c r="R104" s="547">
        <f t="shared" si="50"/>
        <v>109.19092562352007</v>
      </c>
      <c r="S104" s="547">
        <f t="shared" si="50"/>
        <v>109.06506319661818</v>
      </c>
      <c r="T104" s="547" t="e">
        <f t="shared" si="50"/>
        <v>#REF!</v>
      </c>
    </row>
    <row r="105" spans="1:20" s="543" customFormat="1" ht="12">
      <c r="A105" s="569"/>
      <c r="B105" s="578" t="s">
        <v>534</v>
      </c>
      <c r="C105" s="564"/>
      <c r="D105" s="564"/>
      <c r="E105" s="566">
        <f>SUM(E96:E100,E102:E103)</f>
        <v>129.40816389335174</v>
      </c>
      <c r="F105" s="547">
        <f t="shared" ref="F105:T105" si="51">SUM(F96:F100,F102:F103)</f>
        <v>141.12697254596705</v>
      </c>
      <c r="G105" s="547">
        <f t="shared" si="51"/>
        <v>140.54569344742313</v>
      </c>
      <c r="H105" s="547">
        <f t="shared" si="51"/>
        <v>135.93943329040536</v>
      </c>
      <c r="I105" s="547">
        <f t="shared" si="51"/>
        <v>131.15597701704132</v>
      </c>
      <c r="J105" s="547">
        <f t="shared" si="51"/>
        <v>140.88321989483219</v>
      </c>
      <c r="K105" s="547">
        <f t="shared" si="51"/>
        <v>148.63337111700784</v>
      </c>
      <c r="L105" s="547">
        <f t="shared" si="51"/>
        <v>148.11994701591368</v>
      </c>
      <c r="M105" s="547">
        <f t="shared" si="51"/>
        <v>105.16826723361149</v>
      </c>
      <c r="N105" s="547">
        <f t="shared" si="51"/>
        <v>105.41908771393099</v>
      </c>
      <c r="O105" s="547">
        <f t="shared" si="51"/>
        <v>105.75880390820859</v>
      </c>
      <c r="P105" s="547">
        <f t="shared" si="51"/>
        <v>107.3702482696274</v>
      </c>
      <c r="Q105" s="547">
        <f t="shared" si="51"/>
        <v>109.18910950749978</v>
      </c>
      <c r="R105" s="547">
        <f t="shared" si="51"/>
        <v>109.19092562352007</v>
      </c>
      <c r="S105" s="547">
        <f t="shared" si="51"/>
        <v>109.06506319661818</v>
      </c>
      <c r="T105" s="547" t="e">
        <f t="shared" si="51"/>
        <v>#REF!</v>
      </c>
    </row>
    <row r="106" spans="1:20" s="543" customFormat="1" ht="12">
      <c r="A106" s="569"/>
      <c r="B106" s="578" t="s">
        <v>535</v>
      </c>
      <c r="C106" s="564"/>
      <c r="D106" s="564"/>
      <c r="E106" s="583"/>
      <c r="F106" s="538"/>
      <c r="G106" s="538"/>
      <c r="H106" s="538"/>
      <c r="I106" s="538"/>
      <c r="J106" s="538"/>
      <c r="K106" s="538"/>
      <c r="L106" s="538"/>
      <c r="M106" s="538"/>
      <c r="N106" s="538"/>
      <c r="O106" s="538"/>
      <c r="P106" s="538"/>
      <c r="Q106" s="538"/>
      <c r="R106" s="538"/>
      <c r="S106" s="538"/>
      <c r="T106" s="538"/>
    </row>
    <row r="107" spans="1:20" s="543" customFormat="1" ht="12">
      <c r="A107" s="569"/>
      <c r="B107" s="578" t="s">
        <v>536</v>
      </c>
      <c r="C107" s="564"/>
      <c r="D107" s="564"/>
      <c r="E107" s="566">
        <f>E94-E105-E106</f>
        <v>-16.676041454301426</v>
      </c>
      <c r="F107" s="547">
        <f>F94-F105-F106-E112</f>
        <v>19.578362768020774</v>
      </c>
      <c r="G107" s="547">
        <f t="shared" ref="G107:T107" si="52">G94-G105-G106-F112</f>
        <v>5.4188389947383371</v>
      </c>
      <c r="H107" s="547">
        <f t="shared" si="52"/>
        <v>6.4781636607174278</v>
      </c>
      <c r="I107" s="547">
        <f t="shared" si="52"/>
        <v>8.2377077740944742</v>
      </c>
      <c r="J107" s="547">
        <f t="shared" si="52"/>
        <v>-4.8207685763150607</v>
      </c>
      <c r="K107" s="547">
        <f t="shared" si="52"/>
        <v>-12.895766925170685</v>
      </c>
      <c r="L107" s="547">
        <f t="shared" si="52"/>
        <v>-2.9294352559399783</v>
      </c>
      <c r="M107" s="547">
        <f t="shared" si="52"/>
        <v>39.118052783213258</v>
      </c>
      <c r="N107" s="547">
        <f t="shared" si="52"/>
        <v>17.239344922379232</v>
      </c>
      <c r="O107" s="547">
        <f t="shared" si="52"/>
        <v>13.862062762369092</v>
      </c>
      <c r="P107" s="547">
        <f t="shared" si="52"/>
        <v>9.1067333101136398</v>
      </c>
      <c r="Q107" s="547">
        <f t="shared" si="52"/>
        <v>4.3478528621451886</v>
      </c>
      <c r="R107" s="547">
        <f t="shared" si="52"/>
        <v>1.4226175613017915</v>
      </c>
      <c r="S107" s="547">
        <f t="shared" si="52"/>
        <v>-1.3817610849213651</v>
      </c>
      <c r="T107" s="547" t="e">
        <f t="shared" si="52"/>
        <v>#REF!</v>
      </c>
    </row>
    <row r="108" spans="1:20" s="543" customFormat="1" ht="12">
      <c r="A108" s="569"/>
      <c r="B108" s="578" t="s">
        <v>537</v>
      </c>
      <c r="C108" s="564"/>
      <c r="D108" s="564"/>
      <c r="E108" s="566">
        <f>0+E107-0</f>
        <v>-16.676041454301426</v>
      </c>
      <c r="F108" s="547">
        <f>E108+F107-E113</f>
        <v>2.902321313719348</v>
      </c>
      <c r="G108" s="547">
        <f t="shared" ref="G108:T108" si="53">F108+G107-F113</f>
        <v>7.6809274886292718</v>
      </c>
      <c r="H108" s="547">
        <f t="shared" si="53"/>
        <v>8.7402521546083634</v>
      </c>
      <c r="I108" s="547">
        <f t="shared" si="53"/>
        <v>10.49979626798541</v>
      </c>
      <c r="J108" s="547">
        <f t="shared" si="53"/>
        <v>-0.72186678123783476</v>
      </c>
      <c r="K108" s="547">
        <f t="shared" si="53"/>
        <v>-13.617633706408519</v>
      </c>
      <c r="L108" s="547">
        <f t="shared" si="53"/>
        <v>-16.547068962348497</v>
      </c>
      <c r="M108" s="547">
        <f t="shared" si="53"/>
        <v>22.570983820864761</v>
      </c>
      <c r="N108" s="547">
        <f t="shared" si="53"/>
        <v>19.501433416270167</v>
      </c>
      <c r="O108" s="547">
        <f t="shared" si="53"/>
        <v>16.124151256260028</v>
      </c>
      <c r="P108" s="547">
        <f t="shared" si="53"/>
        <v>25.106289884059066</v>
      </c>
      <c r="Q108" s="547">
        <f t="shared" si="53"/>
        <v>29.454142746204255</v>
      </c>
      <c r="R108" s="547">
        <f t="shared" si="53"/>
        <v>30.876760307506046</v>
      </c>
      <c r="S108" s="547">
        <f t="shared" si="53"/>
        <v>29.494999222584681</v>
      </c>
      <c r="T108" s="547" t="e">
        <f t="shared" si="53"/>
        <v>#REF!</v>
      </c>
    </row>
    <row r="109" spans="1:20" s="543" customFormat="1" ht="12">
      <c r="A109" s="569"/>
      <c r="B109" s="578" t="s">
        <v>538</v>
      </c>
      <c r="C109" s="564"/>
      <c r="D109" s="564"/>
      <c r="E109" s="566">
        <f>+$C$59</f>
        <v>2.2620884938909347</v>
      </c>
      <c r="F109" s="566">
        <f t="shared" ref="F109:S109" si="54">+$C$59</f>
        <v>2.2620884938909347</v>
      </c>
      <c r="G109" s="566">
        <f t="shared" si="54"/>
        <v>2.2620884938909347</v>
      </c>
      <c r="H109" s="566">
        <f t="shared" si="54"/>
        <v>2.2620884938909347</v>
      </c>
      <c r="I109" s="566">
        <f t="shared" si="54"/>
        <v>2.2620884938909347</v>
      </c>
      <c r="J109" s="566">
        <f t="shared" si="54"/>
        <v>2.2620884938909347</v>
      </c>
      <c r="K109" s="566">
        <f t="shared" si="54"/>
        <v>2.2620884938909347</v>
      </c>
      <c r="L109" s="566">
        <f t="shared" si="54"/>
        <v>2.2620884938909347</v>
      </c>
      <c r="M109" s="566">
        <f t="shared" si="54"/>
        <v>2.2620884938909347</v>
      </c>
      <c r="N109" s="566">
        <f t="shared" si="54"/>
        <v>2.2620884938909347</v>
      </c>
      <c r="O109" s="566">
        <f t="shared" si="54"/>
        <v>2.2620884938909347</v>
      </c>
      <c r="P109" s="566">
        <f t="shared" si="54"/>
        <v>2.2620884938909347</v>
      </c>
      <c r="Q109" s="566">
        <f t="shared" si="54"/>
        <v>2.2620884938909347</v>
      </c>
      <c r="R109" s="566">
        <f t="shared" si="54"/>
        <v>2.2620884938909347</v>
      </c>
      <c r="S109" s="566">
        <f t="shared" si="54"/>
        <v>2.2620884938909347</v>
      </c>
      <c r="T109" s="566">
        <f t="shared" ref="T109" si="55">+$C$93</f>
        <v>113.25969116714455</v>
      </c>
    </row>
    <row r="110" spans="1:20" s="543" customFormat="1" ht="12">
      <c r="A110" s="569"/>
      <c r="B110" s="578" t="s">
        <v>539</v>
      </c>
      <c r="C110" s="564"/>
      <c r="D110" s="564"/>
      <c r="E110" s="566">
        <f>E108-E109</f>
        <v>-18.938129948192362</v>
      </c>
      <c r="F110" s="547">
        <f t="shared" ref="F110:T110" si="56">F108-F109</f>
        <v>0.64023281982841329</v>
      </c>
      <c r="G110" s="547">
        <f t="shared" si="56"/>
        <v>5.4188389947383371</v>
      </c>
      <c r="H110" s="547">
        <f t="shared" si="56"/>
        <v>6.4781636607174287</v>
      </c>
      <c r="I110" s="547">
        <f t="shared" si="56"/>
        <v>8.2377077740944742</v>
      </c>
      <c r="J110" s="547">
        <f t="shared" si="56"/>
        <v>-2.9839552751287695</v>
      </c>
      <c r="K110" s="547">
        <f t="shared" si="56"/>
        <v>-15.879722200299454</v>
      </c>
      <c r="L110" s="547">
        <f t="shared" si="56"/>
        <v>-18.809157456239433</v>
      </c>
      <c r="M110" s="547">
        <f t="shared" si="56"/>
        <v>20.308895326973825</v>
      </c>
      <c r="N110" s="547">
        <f t="shared" si="56"/>
        <v>17.239344922379232</v>
      </c>
      <c r="O110" s="547">
        <f t="shared" si="56"/>
        <v>13.862062762369092</v>
      </c>
      <c r="P110" s="547">
        <f t="shared" si="56"/>
        <v>22.844201390168131</v>
      </c>
      <c r="Q110" s="547">
        <f t="shared" si="56"/>
        <v>27.192054252313319</v>
      </c>
      <c r="R110" s="547">
        <f t="shared" si="56"/>
        <v>28.614671813615111</v>
      </c>
      <c r="S110" s="547">
        <f t="shared" si="56"/>
        <v>27.232910728693746</v>
      </c>
      <c r="T110" s="547" t="e">
        <f t="shared" si="56"/>
        <v>#REF!</v>
      </c>
    </row>
    <row r="111" spans="1:20" s="543" customFormat="1" ht="12">
      <c r="A111" s="569"/>
      <c r="B111" s="578"/>
      <c r="C111" s="564"/>
      <c r="D111" s="564"/>
      <c r="E111" s="576"/>
      <c r="F111" s="564"/>
      <c r="G111" s="564"/>
      <c r="H111" s="564"/>
      <c r="I111" s="564"/>
      <c r="J111" s="564"/>
      <c r="K111" s="564"/>
      <c r="L111" s="564"/>
      <c r="M111" s="564"/>
      <c r="N111" s="564"/>
      <c r="O111" s="564"/>
      <c r="P111" s="564"/>
      <c r="Q111" s="564"/>
      <c r="R111" s="564"/>
      <c r="S111" s="564"/>
      <c r="T111" s="564"/>
    </row>
    <row r="112" spans="1:20" s="543" customFormat="1" ht="12">
      <c r="A112" s="569"/>
      <c r="B112" s="578" t="s">
        <v>518</v>
      </c>
      <c r="C112" s="564"/>
      <c r="D112" s="564"/>
      <c r="E112" s="566">
        <f>MIN(E110,0)</f>
        <v>-18.938129948192362</v>
      </c>
      <c r="F112" s="547">
        <f t="shared" ref="F112:T112" si="57">MIN(F110,0)</f>
        <v>0</v>
      </c>
      <c r="G112" s="547">
        <f t="shared" si="57"/>
        <v>0</v>
      </c>
      <c r="H112" s="547">
        <f t="shared" si="57"/>
        <v>0</v>
      </c>
      <c r="I112" s="547">
        <f t="shared" si="57"/>
        <v>0</v>
      </c>
      <c r="J112" s="547">
        <f t="shared" si="57"/>
        <v>-2.9839552751287695</v>
      </c>
      <c r="K112" s="547">
        <f t="shared" si="57"/>
        <v>-15.879722200299454</v>
      </c>
      <c r="L112" s="547">
        <f t="shared" si="57"/>
        <v>-18.809157456239433</v>
      </c>
      <c r="M112" s="547">
        <f t="shared" si="57"/>
        <v>0</v>
      </c>
      <c r="N112" s="547">
        <f t="shared" si="57"/>
        <v>0</v>
      </c>
      <c r="O112" s="547">
        <f t="shared" si="57"/>
        <v>0</v>
      </c>
      <c r="P112" s="547">
        <f t="shared" si="57"/>
        <v>0</v>
      </c>
      <c r="Q112" s="547">
        <f t="shared" si="57"/>
        <v>0</v>
      </c>
      <c r="R112" s="547">
        <f t="shared" si="57"/>
        <v>0</v>
      </c>
      <c r="S112" s="547">
        <f t="shared" si="57"/>
        <v>0</v>
      </c>
      <c r="T112" s="547" t="e">
        <f t="shared" si="57"/>
        <v>#REF!</v>
      </c>
    </row>
    <row r="113" spans="1:20" s="543" customFormat="1" ht="12">
      <c r="A113" s="569"/>
      <c r="B113" s="578" t="s">
        <v>540</v>
      </c>
      <c r="C113" s="564"/>
      <c r="D113" s="564"/>
      <c r="E113" s="566">
        <f>IF(E110&gt;0,MIN(E110,B115),0)</f>
        <v>0</v>
      </c>
      <c r="F113" s="547">
        <f t="shared" ref="F113:T113" si="58">IF(F110&gt;0,MIN(F110,E115),0)</f>
        <v>0.64023281982841329</v>
      </c>
      <c r="G113" s="547">
        <f t="shared" si="58"/>
        <v>5.4188389947383371</v>
      </c>
      <c r="H113" s="547">
        <f t="shared" si="58"/>
        <v>6.4781636607174287</v>
      </c>
      <c r="I113" s="547">
        <f t="shared" si="58"/>
        <v>6.4008944729081838</v>
      </c>
      <c r="J113" s="547">
        <f t="shared" si="58"/>
        <v>0</v>
      </c>
      <c r="K113" s="547">
        <f t="shared" si="58"/>
        <v>0</v>
      </c>
      <c r="L113" s="547">
        <f t="shared" si="58"/>
        <v>0</v>
      </c>
      <c r="M113" s="547">
        <f t="shared" si="58"/>
        <v>20.308895326973825</v>
      </c>
      <c r="N113" s="547">
        <f t="shared" si="58"/>
        <v>17.239344922379232</v>
      </c>
      <c r="O113" s="547">
        <f t="shared" si="58"/>
        <v>0.12459468231460136</v>
      </c>
      <c r="P113" s="547">
        <f t="shared" si="58"/>
        <v>0</v>
      </c>
      <c r="Q113" s="547">
        <f t="shared" si="58"/>
        <v>0</v>
      </c>
      <c r="R113" s="547">
        <f t="shared" si="58"/>
        <v>0</v>
      </c>
      <c r="S113" s="547">
        <f t="shared" si="58"/>
        <v>0</v>
      </c>
      <c r="T113" s="547" t="e">
        <f t="shared" si="58"/>
        <v>#REF!</v>
      </c>
    </row>
    <row r="114" spans="1:20" s="543" customFormat="1" ht="12">
      <c r="A114" s="569"/>
      <c r="B114" s="584" t="s">
        <v>541</v>
      </c>
      <c r="C114" s="564"/>
      <c r="D114" s="564"/>
      <c r="E114" s="576"/>
      <c r="F114" s="564"/>
      <c r="G114" s="564"/>
      <c r="H114" s="564"/>
      <c r="I114" s="564"/>
      <c r="J114" s="564"/>
      <c r="K114" s="564"/>
      <c r="L114" s="564"/>
      <c r="M114" s="564"/>
      <c r="N114" s="564"/>
      <c r="O114" s="564"/>
      <c r="P114" s="564"/>
      <c r="Q114" s="564"/>
      <c r="R114" s="564"/>
      <c r="S114" s="564"/>
      <c r="T114" s="564"/>
    </row>
    <row r="115" spans="1:20" s="543" customFormat="1" ht="12">
      <c r="A115" s="569"/>
      <c r="B115" s="578" t="s">
        <v>542</v>
      </c>
      <c r="C115" s="564"/>
      <c r="D115" s="564"/>
      <c r="E115" s="566">
        <f>-E113-E112</f>
        <v>18.938129948192362</v>
      </c>
      <c r="F115" s="547">
        <f>E115-F112-F113</f>
        <v>18.29789712836395</v>
      </c>
      <c r="G115" s="547">
        <f t="shared" ref="G115:T115" si="59">F115-G112-G113</f>
        <v>12.879058133625612</v>
      </c>
      <c r="H115" s="547">
        <f t="shared" si="59"/>
        <v>6.4008944729081838</v>
      </c>
      <c r="I115" s="547">
        <f t="shared" si="59"/>
        <v>0</v>
      </c>
      <c r="J115" s="547">
        <f t="shared" si="59"/>
        <v>2.9839552751287695</v>
      </c>
      <c r="K115" s="547">
        <f t="shared" si="59"/>
        <v>18.863677475428226</v>
      </c>
      <c r="L115" s="547">
        <f t="shared" si="59"/>
        <v>37.672834931667659</v>
      </c>
      <c r="M115" s="547">
        <f t="shared" si="59"/>
        <v>17.363939604693833</v>
      </c>
      <c r="N115" s="547">
        <f t="shared" si="59"/>
        <v>0.12459468231460136</v>
      </c>
      <c r="O115" s="547">
        <f t="shared" si="59"/>
        <v>0</v>
      </c>
      <c r="P115" s="547">
        <f t="shared" si="59"/>
        <v>0</v>
      </c>
      <c r="Q115" s="547">
        <f t="shared" si="59"/>
        <v>0</v>
      </c>
      <c r="R115" s="547">
        <f t="shared" si="59"/>
        <v>0</v>
      </c>
      <c r="S115" s="547">
        <f t="shared" si="59"/>
        <v>0</v>
      </c>
      <c r="T115" s="547" t="e">
        <f t="shared" si="59"/>
        <v>#REF!</v>
      </c>
    </row>
    <row r="116" spans="1:20" s="543" customFormat="1" ht="12">
      <c r="A116" s="569"/>
      <c r="B116" s="578"/>
      <c r="C116" s="564"/>
      <c r="D116" s="564"/>
      <c r="E116" s="576"/>
      <c r="F116" s="564"/>
      <c r="G116" s="564"/>
      <c r="H116" s="564"/>
      <c r="I116" s="564"/>
      <c r="J116" s="564"/>
      <c r="K116" s="564"/>
      <c r="L116" s="564"/>
      <c r="M116" s="564"/>
      <c r="N116" s="564"/>
      <c r="O116" s="564"/>
      <c r="P116" s="564"/>
      <c r="Q116" s="564"/>
      <c r="R116" s="564"/>
      <c r="S116" s="564"/>
      <c r="T116" s="564"/>
    </row>
    <row r="117" spans="1:20" s="543" customFormat="1" ht="12">
      <c r="A117" s="579" t="s">
        <v>543</v>
      </c>
      <c r="B117" s="582" t="s">
        <v>544</v>
      </c>
      <c r="C117" s="564"/>
      <c r="D117" s="564"/>
      <c r="E117" s="566">
        <f>E93-E104-E89</f>
        <v>2.2620884938909693</v>
      </c>
      <c r="F117" s="566">
        <f t="shared" ref="F117:T117" si="60">F93-F104-F89</f>
        <v>0</v>
      </c>
      <c r="G117" s="566">
        <f t="shared" si="60"/>
        <v>0</v>
      </c>
      <c r="H117" s="566">
        <f t="shared" si="60"/>
        <v>0</v>
      </c>
      <c r="I117" s="566">
        <f t="shared" si="60"/>
        <v>1.8368133011862824</v>
      </c>
      <c r="J117" s="566">
        <f t="shared" si="60"/>
        <v>-1.8368133011862824</v>
      </c>
      <c r="K117" s="566">
        <f t="shared" si="60"/>
        <v>0</v>
      </c>
      <c r="L117" s="566">
        <f t="shared" si="60"/>
        <v>0</v>
      </c>
      <c r="M117" s="566">
        <f t="shared" si="60"/>
        <v>0</v>
      </c>
      <c r="N117" s="566">
        <f t="shared" si="60"/>
        <v>-1.4210854715202004E-14</v>
      </c>
      <c r="O117" s="566">
        <f t="shared" si="60"/>
        <v>13.737468080054484</v>
      </c>
      <c r="P117" s="566">
        <f t="shared" si="60"/>
        <v>9.1067333101136398</v>
      </c>
      <c r="Q117" s="566">
        <f t="shared" si="60"/>
        <v>4.3478528621451886</v>
      </c>
      <c r="R117" s="566">
        <f t="shared" si="60"/>
        <v>1.4226175613017915</v>
      </c>
      <c r="S117" s="566">
        <f t="shared" si="60"/>
        <v>-1.3817610849213651</v>
      </c>
      <c r="T117" s="566" t="e">
        <f t="shared" si="60"/>
        <v>#REF!</v>
      </c>
    </row>
    <row r="118" spans="1:20" s="543" customFormat="1" ht="12">
      <c r="A118" s="579" t="s">
        <v>545</v>
      </c>
      <c r="B118" s="582" t="s">
        <v>546</v>
      </c>
      <c r="C118" s="564"/>
      <c r="D118" s="564"/>
      <c r="E118" s="566">
        <f>E117</f>
        <v>2.2620884938909693</v>
      </c>
      <c r="F118" s="547">
        <f>F117+E118</f>
        <v>2.2620884938909693</v>
      </c>
      <c r="G118" s="547">
        <f t="shared" ref="G118:T118" si="61">G117+F118</f>
        <v>2.2620884938909693</v>
      </c>
      <c r="H118" s="547">
        <f t="shared" si="61"/>
        <v>2.2620884938909693</v>
      </c>
      <c r="I118" s="547">
        <f t="shared" si="61"/>
        <v>4.0989017950772517</v>
      </c>
      <c r="J118" s="547">
        <f t="shared" si="61"/>
        <v>2.2620884938909693</v>
      </c>
      <c r="K118" s="547">
        <f t="shared" si="61"/>
        <v>2.2620884938909693</v>
      </c>
      <c r="L118" s="547">
        <f t="shared" si="61"/>
        <v>2.2620884938909693</v>
      </c>
      <c r="M118" s="547">
        <f t="shared" si="61"/>
        <v>2.2620884938909693</v>
      </c>
      <c r="N118" s="547">
        <f t="shared" si="61"/>
        <v>2.2620884938909551</v>
      </c>
      <c r="O118" s="547">
        <f t="shared" si="61"/>
        <v>15.999556573945439</v>
      </c>
      <c r="P118" s="547">
        <f t="shared" si="61"/>
        <v>25.10628988405908</v>
      </c>
      <c r="Q118" s="547">
        <f t="shared" si="61"/>
        <v>29.454142746204269</v>
      </c>
      <c r="R118" s="547">
        <f t="shared" si="61"/>
        <v>30.876760307506061</v>
      </c>
      <c r="S118" s="547">
        <f t="shared" si="61"/>
        <v>29.494999222584696</v>
      </c>
      <c r="T118" s="547" t="e">
        <f t="shared" si="61"/>
        <v>#REF!</v>
      </c>
    </row>
    <row r="119" spans="1:20" s="543" customFormat="1" ht="12">
      <c r="E119" s="546">
        <f>+IF(E115-D115&gt;0,E115-D115,0)</f>
        <v>18.938129948192362</v>
      </c>
      <c r="F119" s="546">
        <f t="shared" ref="F119:S119" si="62">+IF(F115-E115&gt;0,F115-E115,0)</f>
        <v>0</v>
      </c>
      <c r="G119" s="546">
        <f t="shared" si="62"/>
        <v>0</v>
      </c>
      <c r="H119" s="546">
        <f t="shared" si="62"/>
        <v>0</v>
      </c>
      <c r="I119" s="546">
        <f t="shared" si="62"/>
        <v>0</v>
      </c>
      <c r="J119" s="546">
        <f t="shared" si="62"/>
        <v>2.9839552751287695</v>
      </c>
      <c r="K119" s="546">
        <f t="shared" si="62"/>
        <v>15.879722200299456</v>
      </c>
      <c r="L119" s="546">
        <f t="shared" si="62"/>
        <v>18.809157456239433</v>
      </c>
      <c r="M119" s="546">
        <f t="shared" si="62"/>
        <v>0</v>
      </c>
      <c r="N119" s="546">
        <f t="shared" si="62"/>
        <v>0</v>
      </c>
      <c r="O119" s="546">
        <f t="shared" si="62"/>
        <v>0</v>
      </c>
      <c r="P119" s="546">
        <f t="shared" si="62"/>
        <v>0</v>
      </c>
      <c r="Q119" s="546">
        <f t="shared" si="62"/>
        <v>0</v>
      </c>
      <c r="R119" s="546">
        <f t="shared" si="62"/>
        <v>0</v>
      </c>
      <c r="S119" s="546">
        <f t="shared" si="62"/>
        <v>0</v>
      </c>
    </row>
    <row r="120" spans="1:20" s="543" customFormat="1" ht="12">
      <c r="F120" s="555"/>
    </row>
    <row r="121" spans="1:20" s="543" customFormat="1" ht="12">
      <c r="A121" s="585" t="s">
        <v>371</v>
      </c>
      <c r="B121" s="586"/>
      <c r="C121" s="587"/>
      <c r="D121" s="587"/>
      <c r="E121" s="587"/>
      <c r="F121" s="587"/>
      <c r="G121" s="587"/>
      <c r="H121" s="587"/>
      <c r="I121" s="587"/>
      <c r="J121" s="587"/>
      <c r="K121" s="587"/>
      <c r="L121" s="587"/>
      <c r="M121" s="587"/>
      <c r="N121" s="587"/>
      <c r="O121" s="587"/>
      <c r="P121" s="587"/>
      <c r="Q121" s="587"/>
      <c r="R121" s="587"/>
    </row>
    <row r="122" spans="1:20" s="543" customFormat="1" ht="12">
      <c r="A122" s="588"/>
      <c r="B122" s="589"/>
      <c r="C122" s="587"/>
      <c r="D122" s="587"/>
      <c r="E122" s="587"/>
      <c r="F122" s="587"/>
      <c r="G122" s="587"/>
      <c r="H122" s="587"/>
      <c r="I122" s="587"/>
      <c r="J122" s="587"/>
      <c r="K122" s="587"/>
      <c r="L122" s="587"/>
      <c r="M122" s="587"/>
      <c r="N122" s="587"/>
      <c r="O122" s="587"/>
      <c r="P122" s="587"/>
      <c r="Q122" s="587"/>
      <c r="R122" s="587"/>
    </row>
    <row r="123" spans="1:20" s="543" customFormat="1" ht="12">
      <c r="A123" s="587"/>
      <c r="B123" s="590" t="s">
        <v>372</v>
      </c>
      <c r="C123" s="591">
        <v>1</v>
      </c>
      <c r="D123" s="587"/>
      <c r="E123" s="587"/>
      <c r="F123" s="587"/>
      <c r="G123" s="587"/>
      <c r="H123" s="587"/>
      <c r="I123" s="587"/>
      <c r="J123" s="587"/>
      <c r="K123" s="587"/>
      <c r="L123" s="587"/>
      <c r="M123" s="587"/>
      <c r="N123" s="587"/>
      <c r="O123" s="587"/>
      <c r="P123" s="587"/>
      <c r="Q123" s="587"/>
      <c r="R123" s="587"/>
    </row>
    <row r="124" spans="1:20" s="543" customFormat="1" ht="12">
      <c r="A124" s="587"/>
      <c r="B124" s="592" t="s">
        <v>373</v>
      </c>
      <c r="C124" s="593">
        <v>8</v>
      </c>
      <c r="D124" s="587"/>
      <c r="E124" s="587"/>
      <c r="F124" s="587"/>
      <c r="G124" s="587"/>
      <c r="H124" s="587"/>
      <c r="I124" s="587"/>
      <c r="J124" s="587"/>
      <c r="K124" s="587"/>
      <c r="L124" s="587"/>
      <c r="M124" s="587"/>
      <c r="N124" s="587"/>
      <c r="O124" s="587"/>
      <c r="P124" s="587"/>
      <c r="Q124" s="587"/>
      <c r="R124" s="587"/>
    </row>
    <row r="125" spans="1:20" s="543" customFormat="1" ht="12">
      <c r="A125" s="587"/>
      <c r="B125" s="592" t="s">
        <v>363</v>
      </c>
      <c r="C125" s="594">
        <v>0.11</v>
      </c>
      <c r="D125" s="587"/>
      <c r="E125" s="587"/>
      <c r="F125" s="587"/>
      <c r="G125" s="587"/>
      <c r="H125" s="587"/>
      <c r="I125" s="587"/>
      <c r="J125" s="587"/>
      <c r="K125" s="587"/>
      <c r="L125" s="587"/>
      <c r="M125" s="587"/>
      <c r="N125" s="587"/>
      <c r="O125" s="587"/>
      <c r="P125" s="587"/>
      <c r="Q125" s="587"/>
      <c r="R125" s="587"/>
    </row>
    <row r="126" spans="1:20" s="543" customFormat="1" ht="12">
      <c r="A126" s="587"/>
      <c r="B126" s="592" t="s">
        <v>374</v>
      </c>
      <c r="C126" s="595">
        <f>D54</f>
        <v>339.31327408364018</v>
      </c>
      <c r="D126" s="596"/>
      <c r="E126" s="587"/>
      <c r="F126" s="587"/>
      <c r="G126" s="587"/>
      <c r="H126" s="587"/>
      <c r="I126" s="587"/>
      <c r="J126" s="587"/>
      <c r="K126" s="587"/>
      <c r="L126" s="587"/>
      <c r="M126" s="587"/>
      <c r="N126" s="587"/>
      <c r="O126" s="587"/>
      <c r="P126" s="587"/>
      <c r="Q126" s="587"/>
      <c r="R126" s="587"/>
    </row>
    <row r="127" spans="1:20" s="543" customFormat="1" ht="12">
      <c r="A127" s="587"/>
      <c r="B127" s="592" t="s">
        <v>375</v>
      </c>
      <c r="C127" s="595">
        <f>C126/C124</f>
        <v>42.414159260455023</v>
      </c>
      <c r="D127" s="587"/>
      <c r="E127" s="587"/>
      <c r="F127" s="587"/>
      <c r="G127" s="587"/>
      <c r="H127" s="587"/>
      <c r="I127" s="587"/>
      <c r="J127" s="587"/>
      <c r="K127" s="587"/>
      <c r="L127" s="587"/>
      <c r="M127" s="587"/>
      <c r="N127" s="587"/>
      <c r="O127" s="587"/>
      <c r="P127" s="587"/>
      <c r="Q127" s="587"/>
      <c r="R127" s="587"/>
    </row>
    <row r="128" spans="1:20" s="543" customFormat="1" ht="12">
      <c r="A128" s="587"/>
      <c r="B128" s="587"/>
      <c r="C128" s="587"/>
      <c r="D128" s="587"/>
      <c r="E128" s="587"/>
      <c r="F128" s="587"/>
      <c r="G128" s="587"/>
      <c r="H128" s="587"/>
      <c r="I128" s="587"/>
      <c r="J128" s="587"/>
      <c r="K128" s="587"/>
      <c r="L128" s="587"/>
      <c r="M128" s="587"/>
      <c r="N128" s="587"/>
      <c r="O128" s="587"/>
      <c r="P128" s="587"/>
      <c r="Q128" s="587"/>
      <c r="R128" s="587"/>
    </row>
    <row r="129" spans="1:20" s="543" customFormat="1" ht="12">
      <c r="A129" s="597"/>
      <c r="B129" s="597"/>
      <c r="C129" s="598" t="s">
        <v>376</v>
      </c>
      <c r="D129" s="599">
        <v>-1</v>
      </c>
      <c r="E129" s="599">
        <v>1</v>
      </c>
      <c r="F129" s="599">
        <v>2</v>
      </c>
      <c r="G129" s="599">
        <v>3</v>
      </c>
      <c r="H129" s="599">
        <v>4</v>
      </c>
      <c r="I129" s="599">
        <v>5</v>
      </c>
      <c r="J129" s="599">
        <v>6</v>
      </c>
      <c r="K129" s="599">
        <v>7</v>
      </c>
      <c r="L129" s="599">
        <v>8</v>
      </c>
      <c r="M129" s="599">
        <v>9</v>
      </c>
      <c r="N129" s="599">
        <v>10</v>
      </c>
      <c r="O129" s="599">
        <v>11</v>
      </c>
      <c r="P129" s="599">
        <v>12</v>
      </c>
      <c r="Q129" s="599">
        <v>13</v>
      </c>
      <c r="R129" s="599">
        <v>14</v>
      </c>
      <c r="S129" s="599">
        <v>15</v>
      </c>
    </row>
    <row r="130" spans="1:20" s="543" customFormat="1" ht="12">
      <c r="A130" s="592"/>
      <c r="B130" s="592" t="s">
        <v>377</v>
      </c>
      <c r="C130" s="591"/>
      <c r="D130" s="591"/>
      <c r="E130" s="593">
        <f>IF(E129&lt;=$C$124,$C$127,0)</f>
        <v>42.414159260455023</v>
      </c>
      <c r="F130" s="593">
        <f t="shared" ref="F130:S130" si="63">IF(F129&lt;=$C$124,$C$127,0)</f>
        <v>42.414159260455023</v>
      </c>
      <c r="G130" s="593">
        <f t="shared" si="63"/>
        <v>42.414159260455023</v>
      </c>
      <c r="H130" s="593">
        <f t="shared" si="63"/>
        <v>42.414159260455023</v>
      </c>
      <c r="I130" s="593">
        <f t="shared" si="63"/>
        <v>42.414159260455023</v>
      </c>
      <c r="J130" s="593">
        <f t="shared" si="63"/>
        <v>42.414159260455023</v>
      </c>
      <c r="K130" s="593">
        <f t="shared" si="63"/>
        <v>42.414159260455023</v>
      </c>
      <c r="L130" s="593">
        <f t="shared" si="63"/>
        <v>42.414159260455023</v>
      </c>
      <c r="M130" s="593">
        <f t="shared" si="63"/>
        <v>0</v>
      </c>
      <c r="N130" s="593">
        <f t="shared" si="63"/>
        <v>0</v>
      </c>
      <c r="O130" s="593">
        <f t="shared" si="63"/>
        <v>0</v>
      </c>
      <c r="P130" s="593">
        <f t="shared" si="63"/>
        <v>0</v>
      </c>
      <c r="Q130" s="593">
        <f t="shared" si="63"/>
        <v>0</v>
      </c>
      <c r="R130" s="593">
        <f t="shared" si="63"/>
        <v>0</v>
      </c>
      <c r="S130" s="593">
        <f t="shared" si="63"/>
        <v>0</v>
      </c>
    </row>
    <row r="131" spans="1:20" s="543" customFormat="1" ht="12">
      <c r="A131" s="592"/>
      <c r="B131" s="592" t="s">
        <v>378</v>
      </c>
      <c r="C131" s="595">
        <v>0</v>
      </c>
      <c r="D131" s="595">
        <f>SUM(Capex!B24:B30)*'Cashflow '!C54</f>
        <v>313.45337097795863</v>
      </c>
      <c r="E131" s="595">
        <f>C126</f>
        <v>339.31327408364018</v>
      </c>
      <c r="F131" s="595">
        <f>E131-E130</f>
        <v>296.89911482318519</v>
      </c>
      <c r="G131" s="595">
        <f t="shared" ref="G131:S131" si="64">F131-F130</f>
        <v>254.48495556273016</v>
      </c>
      <c r="H131" s="595">
        <f t="shared" si="64"/>
        <v>212.07079630227514</v>
      </c>
      <c r="I131" s="595">
        <f t="shared" si="64"/>
        <v>169.65663704182012</v>
      </c>
      <c r="J131" s="595">
        <f t="shared" si="64"/>
        <v>127.2424777813651</v>
      </c>
      <c r="K131" s="595">
        <f t="shared" si="64"/>
        <v>84.828318520910074</v>
      </c>
      <c r="L131" s="595">
        <f t="shared" si="64"/>
        <v>42.414159260455051</v>
      </c>
      <c r="M131" s="595">
        <f t="shared" si="64"/>
        <v>0</v>
      </c>
      <c r="N131" s="595">
        <f t="shared" si="64"/>
        <v>0</v>
      </c>
      <c r="O131" s="595">
        <f t="shared" si="64"/>
        <v>0</v>
      </c>
      <c r="P131" s="595">
        <f t="shared" si="64"/>
        <v>0</v>
      </c>
      <c r="Q131" s="595">
        <f t="shared" si="64"/>
        <v>0</v>
      </c>
      <c r="R131" s="595">
        <f t="shared" si="64"/>
        <v>0</v>
      </c>
      <c r="S131" s="595">
        <f t="shared" si="64"/>
        <v>0</v>
      </c>
    </row>
    <row r="132" spans="1:20" s="543" customFormat="1" ht="12">
      <c r="A132" s="592"/>
      <c r="B132" s="592" t="s">
        <v>363</v>
      </c>
      <c r="C132" s="593">
        <v>0</v>
      </c>
      <c r="D132" s="593">
        <f>D131*$C$125</f>
        <v>34.479870807575452</v>
      </c>
      <c r="E132" s="593">
        <f t="shared" ref="E132:S132" si="65">E131*$C$125</f>
        <v>37.324460149200419</v>
      </c>
      <c r="F132" s="593">
        <f t="shared" si="65"/>
        <v>32.658902630550372</v>
      </c>
      <c r="G132" s="593">
        <f t="shared" si="65"/>
        <v>27.993345111900318</v>
      </c>
      <c r="H132" s="593">
        <f t="shared" si="65"/>
        <v>23.327787593250267</v>
      </c>
      <c r="I132" s="593">
        <f t="shared" si="65"/>
        <v>18.662230074600213</v>
      </c>
      <c r="J132" s="593">
        <f t="shared" si="65"/>
        <v>13.996672555950161</v>
      </c>
      <c r="K132" s="593">
        <f t="shared" si="65"/>
        <v>9.3311150373001084</v>
      </c>
      <c r="L132" s="593">
        <f t="shared" si="65"/>
        <v>4.665557518650056</v>
      </c>
      <c r="M132" s="593">
        <f t="shared" si="65"/>
        <v>0</v>
      </c>
      <c r="N132" s="593">
        <f t="shared" si="65"/>
        <v>0</v>
      </c>
      <c r="O132" s="593">
        <f t="shared" si="65"/>
        <v>0</v>
      </c>
      <c r="P132" s="593">
        <f t="shared" si="65"/>
        <v>0</v>
      </c>
      <c r="Q132" s="593">
        <f t="shared" si="65"/>
        <v>0</v>
      </c>
      <c r="R132" s="593">
        <f t="shared" si="65"/>
        <v>0</v>
      </c>
      <c r="S132" s="593">
        <f t="shared" si="65"/>
        <v>0</v>
      </c>
    </row>
    <row r="133" spans="1:20" s="543" customFormat="1" ht="12"/>
    <row r="134" spans="1:20" s="543" customFormat="1" ht="12"/>
    <row r="135" spans="1:20" s="543" customFormat="1" ht="12">
      <c r="A135" s="863" t="s">
        <v>547</v>
      </c>
      <c r="B135" s="863"/>
      <c r="C135" s="863"/>
      <c r="D135" s="863"/>
      <c r="E135" s="863"/>
      <c r="F135" s="863"/>
      <c r="G135" s="863"/>
      <c r="H135" s="863"/>
      <c r="I135" s="863"/>
      <c r="J135" s="863"/>
      <c r="K135" s="863"/>
      <c r="L135" s="863"/>
      <c r="M135" s="863"/>
      <c r="N135" s="863"/>
      <c r="O135" s="863"/>
      <c r="P135" s="863"/>
      <c r="Q135" s="863"/>
    </row>
    <row r="136" spans="1:20" s="543" customFormat="1" ht="12">
      <c r="A136" s="864" t="s">
        <v>461</v>
      </c>
      <c r="B136" s="864"/>
      <c r="C136" s="864"/>
      <c r="D136" s="864"/>
      <c r="E136" s="864"/>
      <c r="F136" s="864"/>
      <c r="G136" s="864"/>
      <c r="H136" s="864"/>
      <c r="I136" s="864"/>
      <c r="J136" s="864"/>
      <c r="K136" s="864"/>
      <c r="L136" s="864"/>
      <c r="M136" s="864"/>
      <c r="N136" s="864"/>
      <c r="O136" s="864"/>
      <c r="P136" s="864"/>
      <c r="Q136" s="864"/>
    </row>
    <row r="137" spans="1:20" s="543" customFormat="1" ht="12">
      <c r="A137" s="600"/>
      <c r="B137" s="601"/>
      <c r="C137" s="530"/>
      <c r="D137" s="530"/>
      <c r="E137" s="530"/>
      <c r="F137" s="530"/>
      <c r="G137" s="530"/>
      <c r="H137" s="530"/>
      <c r="I137" s="530"/>
      <c r="J137" s="530"/>
      <c r="K137" s="530"/>
      <c r="L137" s="530"/>
      <c r="M137" s="530"/>
      <c r="N137" s="530"/>
      <c r="O137" s="530"/>
      <c r="P137" s="530"/>
      <c r="Q137" s="602"/>
    </row>
    <row r="138" spans="1:20" s="543" customFormat="1" ht="12">
      <c r="A138" s="603" t="s">
        <v>463</v>
      </c>
      <c r="B138" s="604" t="s">
        <v>464</v>
      </c>
      <c r="C138" s="605" t="s">
        <v>516</v>
      </c>
      <c r="D138" s="605" t="s">
        <v>465</v>
      </c>
      <c r="E138" s="605" t="s">
        <v>466</v>
      </c>
      <c r="F138" s="605" t="s">
        <v>467</v>
      </c>
      <c r="G138" s="605" t="s">
        <v>468</v>
      </c>
      <c r="H138" s="605" t="s">
        <v>469</v>
      </c>
      <c r="I138" s="605" t="s">
        <v>470</v>
      </c>
      <c r="J138" s="605" t="s">
        <v>471</v>
      </c>
      <c r="K138" s="605" t="s">
        <v>472</v>
      </c>
      <c r="L138" s="605" t="s">
        <v>473</v>
      </c>
      <c r="M138" s="605">
        <v>11</v>
      </c>
      <c r="N138" s="605" t="s">
        <v>475</v>
      </c>
      <c r="O138" s="605" t="s">
        <v>476</v>
      </c>
      <c r="P138" s="605" t="s">
        <v>477</v>
      </c>
      <c r="Q138" s="606" t="s">
        <v>478</v>
      </c>
      <c r="R138" s="606" t="s">
        <v>548</v>
      </c>
      <c r="S138" s="606" t="s">
        <v>549</v>
      </c>
      <c r="T138" s="606" t="s">
        <v>550</v>
      </c>
    </row>
    <row r="139" spans="1:20" s="543" customFormat="1" ht="12">
      <c r="A139" s="607" t="s">
        <v>479</v>
      </c>
      <c r="B139" s="608"/>
      <c r="C139" s="609"/>
      <c r="D139" s="609"/>
      <c r="E139" s="609"/>
      <c r="F139" s="609"/>
      <c r="G139" s="609"/>
      <c r="H139" s="609"/>
      <c r="I139" s="609"/>
      <c r="J139" s="609"/>
      <c r="K139" s="609"/>
      <c r="L139" s="609"/>
      <c r="M139" s="609"/>
      <c r="N139" s="609"/>
      <c r="O139" s="609"/>
      <c r="P139" s="609"/>
      <c r="Q139" s="610"/>
      <c r="R139" s="610"/>
      <c r="S139" s="610"/>
      <c r="T139" s="610"/>
    </row>
    <row r="140" spans="1:20" s="543" customFormat="1" ht="12">
      <c r="A140" s="611">
        <v>1</v>
      </c>
      <c r="B140" s="612" t="s">
        <v>551</v>
      </c>
      <c r="C140" s="613">
        <f>F77</f>
        <v>51.07241974559733</v>
      </c>
      <c r="D140" s="613">
        <f t="shared" ref="D140:Q140" si="66">G77</f>
        <v>75.4478468732175</v>
      </c>
      <c r="E140" s="613">
        <f t="shared" si="66"/>
        <v>83.856964853858571</v>
      </c>
      <c r="F140" s="613">
        <f t="shared" si="66"/>
        <v>84.975586881469951</v>
      </c>
      <c r="G140" s="613">
        <f t="shared" si="66"/>
        <v>86.617232240133006</v>
      </c>
      <c r="H140" s="613">
        <f t="shared" si="66"/>
        <v>87.95155628616439</v>
      </c>
      <c r="I140" s="613">
        <f t="shared" si="66"/>
        <v>89.308311403005703</v>
      </c>
      <c r="J140" s="613">
        <f t="shared" si="66"/>
        <v>90.531009564621613</v>
      </c>
      <c r="K140" s="613">
        <f t="shared" si="66"/>
        <v>91.362940084182711</v>
      </c>
      <c r="L140" s="613">
        <f t="shared" si="66"/>
        <v>93.209767678557682</v>
      </c>
      <c r="M140" s="613">
        <f t="shared" si="66"/>
        <v>90.172201712825142</v>
      </c>
      <c r="N140" s="613">
        <f t="shared" si="66"/>
        <v>87.028316621988495</v>
      </c>
      <c r="O140" s="613">
        <f t="shared" si="66"/>
        <v>84.088297411892427</v>
      </c>
      <c r="P140" s="613">
        <f t="shared" si="66"/>
        <v>81.164878227069323</v>
      </c>
      <c r="Q140" s="613">
        <f t="shared" si="66"/>
        <v>78.234637153944277</v>
      </c>
      <c r="R140" s="614">
        <f t="shared" ref="R140:T140" si="67">R77</f>
        <v>84.088297411892427</v>
      </c>
      <c r="S140" s="614">
        <f t="shared" si="67"/>
        <v>81.164878227069323</v>
      </c>
      <c r="T140" s="614">
        <f t="shared" si="67"/>
        <v>78.234637153944277</v>
      </c>
    </row>
    <row r="141" spans="1:20" s="543" customFormat="1" ht="12">
      <c r="A141" s="611">
        <v>2</v>
      </c>
      <c r="B141" s="612" t="s">
        <v>552</v>
      </c>
      <c r="C141" s="613">
        <f>F76</f>
        <v>20.827099284627533</v>
      </c>
      <c r="D141" s="613">
        <f t="shared" ref="D141:Q141" si="68">G76</f>
        <v>20.827099284627533</v>
      </c>
      <c r="E141" s="613">
        <f t="shared" si="68"/>
        <v>20.827099284627533</v>
      </c>
      <c r="F141" s="613">
        <f t="shared" si="68"/>
        <v>20.827099284627533</v>
      </c>
      <c r="G141" s="613">
        <f t="shared" si="68"/>
        <v>20.827099284627533</v>
      </c>
      <c r="H141" s="613">
        <f t="shared" si="68"/>
        <v>20.827099284627533</v>
      </c>
      <c r="I141" s="613">
        <f t="shared" si="68"/>
        <v>20.827099284627533</v>
      </c>
      <c r="J141" s="613">
        <f t="shared" si="68"/>
        <v>20.827099284627533</v>
      </c>
      <c r="K141" s="613">
        <f t="shared" si="68"/>
        <v>20.827099284627533</v>
      </c>
      <c r="L141" s="613">
        <f t="shared" si="68"/>
        <v>20.827099284627533</v>
      </c>
      <c r="M141" s="613">
        <f t="shared" si="68"/>
        <v>20.827099284627533</v>
      </c>
      <c r="N141" s="613">
        <f t="shared" si="68"/>
        <v>20.827099284627533</v>
      </c>
      <c r="O141" s="613">
        <f t="shared" si="68"/>
        <v>20.827099284627533</v>
      </c>
      <c r="P141" s="613">
        <f t="shared" si="68"/>
        <v>20.827099284627533</v>
      </c>
      <c r="Q141" s="613">
        <f t="shared" si="68"/>
        <v>20.827099284627533</v>
      </c>
      <c r="R141" s="614">
        <f t="shared" ref="R141:T141" si="69">R76</f>
        <v>20.827099284627533</v>
      </c>
      <c r="S141" s="614">
        <f t="shared" si="69"/>
        <v>20.827099284627533</v>
      </c>
      <c r="T141" s="614">
        <f t="shared" si="69"/>
        <v>20.827099284627533</v>
      </c>
    </row>
    <row r="142" spans="1:20" s="543" customFormat="1" ht="12">
      <c r="A142" s="611">
        <v>3</v>
      </c>
      <c r="B142" s="615" t="s">
        <v>553</v>
      </c>
      <c r="C142" s="613">
        <f>E169</f>
        <v>151.93795706972847</v>
      </c>
      <c r="D142" s="613">
        <f t="shared" ref="D142:R142" si="70">F169</f>
        <v>42.976337847350912</v>
      </c>
      <c r="E142" s="613">
        <f t="shared" si="70"/>
        <v>36.577011466580885</v>
      </c>
      <c r="F142" s="613">
        <f t="shared" si="70"/>
        <v>31.132871613293101</v>
      </c>
      <c r="G142" s="613">
        <f t="shared" si="70"/>
        <v>26.501111551328549</v>
      </c>
      <c r="H142" s="613">
        <f t="shared" si="70"/>
        <v>22.560298430655742</v>
      </c>
      <c r="I142" s="613">
        <f t="shared" si="70"/>
        <v>19.207171916881205</v>
      </c>
      <c r="J142" s="613">
        <f t="shared" si="70"/>
        <v>16.35392255509047</v>
      </c>
      <c r="K142" s="613">
        <f t="shared" si="70"/>
        <v>13.925877954994197</v>
      </c>
      <c r="L142" s="613">
        <f t="shared" si="70"/>
        <v>11.859535666595638</v>
      </c>
      <c r="M142" s="613">
        <f t="shared" si="70"/>
        <v>10.100890780971804</v>
      </c>
      <c r="N142" s="613">
        <f t="shared" si="70"/>
        <v>8.604014081754995</v>
      </c>
      <c r="O142" s="613">
        <f t="shared" si="70"/>
        <v>7.3298431956278112</v>
      </c>
      <c r="P142" s="613">
        <f t="shared" si="70"/>
        <v>6.245154819806098</v>
      </c>
      <c r="Q142" s="614">
        <f t="shared" si="70"/>
        <v>5.3216908900053959</v>
      </c>
      <c r="R142" s="614">
        <f t="shared" si="70"/>
        <v>4.535415620357778</v>
      </c>
      <c r="S142" s="614" t="e">
        <f>#REF!</f>
        <v>#REF!</v>
      </c>
      <c r="T142" s="614" t="e">
        <f>#REF!</f>
        <v>#REF!</v>
      </c>
    </row>
    <row r="143" spans="1:20" s="543" customFormat="1" ht="12">
      <c r="A143" s="611">
        <v>4</v>
      </c>
      <c r="B143" s="612" t="s">
        <v>554</v>
      </c>
      <c r="C143" s="613">
        <f>C140+C141-C142</f>
        <v>-80.038438039503603</v>
      </c>
      <c r="D143" s="613">
        <f t="shared" ref="D143:T143" si="71">D140+D141-D142</f>
        <v>53.298608310494124</v>
      </c>
      <c r="E143" s="613">
        <f t="shared" si="71"/>
        <v>68.107052671905222</v>
      </c>
      <c r="F143" s="613">
        <f t="shared" si="71"/>
        <v>74.669814552804382</v>
      </c>
      <c r="G143" s="613">
        <f t="shared" si="71"/>
        <v>80.943219973431994</v>
      </c>
      <c r="H143" s="613">
        <f t="shared" si="71"/>
        <v>86.218357140136192</v>
      </c>
      <c r="I143" s="613">
        <f t="shared" si="71"/>
        <v>90.928238770752031</v>
      </c>
      <c r="J143" s="613">
        <f t="shared" si="71"/>
        <v>95.004186294158671</v>
      </c>
      <c r="K143" s="613">
        <f t="shared" si="71"/>
        <v>98.264161413816055</v>
      </c>
      <c r="L143" s="613">
        <f t="shared" si="71"/>
        <v>102.17733129658959</v>
      </c>
      <c r="M143" s="613">
        <f t="shared" si="71"/>
        <v>100.89841021648087</v>
      </c>
      <c r="N143" s="613">
        <f t="shared" si="71"/>
        <v>99.251401824861034</v>
      </c>
      <c r="O143" s="613">
        <f t="shared" si="71"/>
        <v>97.585553500892146</v>
      </c>
      <c r="P143" s="613">
        <f t="shared" si="71"/>
        <v>95.746822691890756</v>
      </c>
      <c r="Q143" s="614">
        <f t="shared" si="71"/>
        <v>93.740045548566414</v>
      </c>
      <c r="R143" s="614">
        <f t="shared" si="71"/>
        <v>100.37998107616218</v>
      </c>
      <c r="S143" s="614" t="e">
        <f t="shared" si="71"/>
        <v>#REF!</v>
      </c>
      <c r="T143" s="614" t="e">
        <f t="shared" si="71"/>
        <v>#REF!</v>
      </c>
    </row>
    <row r="144" spans="1:20" s="543" customFormat="1" ht="12">
      <c r="A144" s="611">
        <v>5</v>
      </c>
      <c r="B144" s="612" t="s">
        <v>555</v>
      </c>
      <c r="C144" s="613">
        <v>0</v>
      </c>
      <c r="D144" s="613">
        <f>IF(C145&gt;0,0,C145)</f>
        <v>-80.038438039503603</v>
      </c>
      <c r="E144" s="613">
        <f t="shared" ref="E144:T144" si="72">IF(D145&gt;0,0,D145)</f>
        <v>-26.739829729009479</v>
      </c>
      <c r="F144" s="613">
        <f t="shared" si="72"/>
        <v>0</v>
      </c>
      <c r="G144" s="613">
        <f t="shared" si="72"/>
        <v>0</v>
      </c>
      <c r="H144" s="613">
        <f t="shared" si="72"/>
        <v>0</v>
      </c>
      <c r="I144" s="613">
        <f t="shared" si="72"/>
        <v>0</v>
      </c>
      <c r="J144" s="613">
        <f t="shared" si="72"/>
        <v>0</v>
      </c>
      <c r="K144" s="613">
        <f t="shared" si="72"/>
        <v>0</v>
      </c>
      <c r="L144" s="613">
        <f t="shared" si="72"/>
        <v>0</v>
      </c>
      <c r="M144" s="613">
        <f t="shared" si="72"/>
        <v>0</v>
      </c>
      <c r="N144" s="613">
        <f t="shared" si="72"/>
        <v>0</v>
      </c>
      <c r="O144" s="613">
        <f t="shared" si="72"/>
        <v>0</v>
      </c>
      <c r="P144" s="613">
        <f t="shared" si="72"/>
        <v>0</v>
      </c>
      <c r="Q144" s="614">
        <f t="shared" si="72"/>
        <v>0</v>
      </c>
      <c r="R144" s="614">
        <f t="shared" si="72"/>
        <v>0</v>
      </c>
      <c r="S144" s="614">
        <f t="shared" si="72"/>
        <v>0</v>
      </c>
      <c r="T144" s="614" t="e">
        <f t="shared" si="72"/>
        <v>#REF!</v>
      </c>
    </row>
    <row r="145" spans="1:21" s="543" customFormat="1" ht="12">
      <c r="A145" s="611">
        <v>6</v>
      </c>
      <c r="B145" s="612" t="s">
        <v>556</v>
      </c>
      <c r="C145" s="613">
        <f>C143+C144</f>
        <v>-80.038438039503603</v>
      </c>
      <c r="D145" s="613">
        <f t="shared" ref="D145:T145" si="73">D143+D144</f>
        <v>-26.739829729009479</v>
      </c>
      <c r="E145" s="613">
        <f t="shared" si="73"/>
        <v>41.367222942895744</v>
      </c>
      <c r="F145" s="613">
        <f t="shared" si="73"/>
        <v>74.669814552804382</v>
      </c>
      <c r="G145" s="613">
        <f t="shared" si="73"/>
        <v>80.943219973431994</v>
      </c>
      <c r="H145" s="613">
        <f t="shared" si="73"/>
        <v>86.218357140136192</v>
      </c>
      <c r="I145" s="613">
        <f t="shared" si="73"/>
        <v>90.928238770752031</v>
      </c>
      <c r="J145" s="613">
        <f t="shared" si="73"/>
        <v>95.004186294158671</v>
      </c>
      <c r="K145" s="613">
        <f t="shared" si="73"/>
        <v>98.264161413816055</v>
      </c>
      <c r="L145" s="613">
        <f t="shared" si="73"/>
        <v>102.17733129658959</v>
      </c>
      <c r="M145" s="613">
        <f t="shared" si="73"/>
        <v>100.89841021648087</v>
      </c>
      <c r="N145" s="613">
        <f t="shared" si="73"/>
        <v>99.251401824861034</v>
      </c>
      <c r="O145" s="613">
        <f t="shared" si="73"/>
        <v>97.585553500892146</v>
      </c>
      <c r="P145" s="613">
        <f t="shared" si="73"/>
        <v>95.746822691890756</v>
      </c>
      <c r="Q145" s="614">
        <f t="shared" si="73"/>
        <v>93.740045548566414</v>
      </c>
      <c r="R145" s="614">
        <f t="shared" si="73"/>
        <v>100.37998107616218</v>
      </c>
      <c r="S145" s="614" t="e">
        <f t="shared" si="73"/>
        <v>#REF!</v>
      </c>
      <c r="T145" s="614" t="e">
        <f t="shared" si="73"/>
        <v>#REF!</v>
      </c>
    </row>
    <row r="146" spans="1:21" s="543" customFormat="1" ht="12">
      <c r="A146" s="611">
        <v>7</v>
      </c>
      <c r="B146" s="612" t="s">
        <v>557</v>
      </c>
      <c r="C146" s="613">
        <f>IF(C145&gt;0,C145*$C$65,0)</f>
        <v>0</v>
      </c>
      <c r="D146" s="613">
        <f t="shared" ref="D146:R146" si="74">IF(D145&gt;0,D145*$C$65,0)</f>
        <v>0</v>
      </c>
      <c r="E146" s="613">
        <f t="shared" si="74"/>
        <v>14.45536238516549</v>
      </c>
      <c r="F146" s="613">
        <f t="shared" si="74"/>
        <v>26.092619997331965</v>
      </c>
      <c r="G146" s="613">
        <f t="shared" si="74"/>
        <v>28.284798787516078</v>
      </c>
      <c r="H146" s="613">
        <f t="shared" si="74"/>
        <v>30.128142719049194</v>
      </c>
      <c r="I146" s="613">
        <f t="shared" si="74"/>
        <v>31.773963756051593</v>
      </c>
      <c r="J146" s="613">
        <f t="shared" si="74"/>
        <v>33.198262858630812</v>
      </c>
      <c r="K146" s="613">
        <f t="shared" si="74"/>
        <v>34.337428564443883</v>
      </c>
      <c r="L146" s="613">
        <f t="shared" si="74"/>
        <v>35.704846648280267</v>
      </c>
      <c r="M146" s="613">
        <f t="shared" si="74"/>
        <v>35.257940466047074</v>
      </c>
      <c r="N146" s="613">
        <f t="shared" si="74"/>
        <v>34.682409853679445</v>
      </c>
      <c r="O146" s="613">
        <f t="shared" si="74"/>
        <v>34.100295815351757</v>
      </c>
      <c r="P146" s="613">
        <f t="shared" si="74"/>
        <v>33.457769721454305</v>
      </c>
      <c r="Q146" s="613">
        <f t="shared" si="74"/>
        <v>32.756521516491048</v>
      </c>
      <c r="R146" s="613">
        <f t="shared" si="74"/>
        <v>35.076780587254113</v>
      </c>
      <c r="S146" s="613" t="e">
        <f>IF(S145&gt;0,S145*$C$125,0)</f>
        <v>#REF!</v>
      </c>
      <c r="T146" s="613" t="e">
        <f>IF(T145&gt;0,T145*$C$125,0)</f>
        <v>#REF!</v>
      </c>
    </row>
    <row r="147" spans="1:21" s="543" customFormat="1" ht="12">
      <c r="A147" s="611">
        <v>8</v>
      </c>
      <c r="B147" s="612" t="s">
        <v>558</v>
      </c>
      <c r="C147" s="613">
        <f>IF(C77&gt;0,C77*$D$65,0)</f>
        <v>0</v>
      </c>
      <c r="D147" s="613">
        <f t="shared" ref="D147:S147" si="75">IF(D77&gt;0,D77*$D$65,0)</f>
        <v>0</v>
      </c>
      <c r="E147" s="613">
        <f t="shared" si="75"/>
        <v>0</v>
      </c>
      <c r="F147" s="613">
        <f t="shared" si="75"/>
        <v>8.9233731779507668</v>
      </c>
      <c r="G147" s="613">
        <f t="shared" si="75"/>
        <v>13.182247805688563</v>
      </c>
      <c r="H147" s="613">
        <f t="shared" si="75"/>
        <v>14.651488899266171</v>
      </c>
      <c r="I147" s="613">
        <f t="shared" si="75"/>
        <v>14.84693453993043</v>
      </c>
      <c r="J147" s="613">
        <f t="shared" si="75"/>
        <v>15.13376281699604</v>
      </c>
      <c r="K147" s="613">
        <f t="shared" si="75"/>
        <v>15.366895914318643</v>
      </c>
      <c r="L147" s="613">
        <f t="shared" si="75"/>
        <v>15.603948168333158</v>
      </c>
      <c r="M147" s="613">
        <f t="shared" si="75"/>
        <v>15.817577991130689</v>
      </c>
      <c r="N147" s="613">
        <f t="shared" si="75"/>
        <v>15.962932891508405</v>
      </c>
      <c r="O147" s="613">
        <f t="shared" si="75"/>
        <v>16.285610608797601</v>
      </c>
      <c r="P147" s="613">
        <f t="shared" si="75"/>
        <v>15.75488708326481</v>
      </c>
      <c r="Q147" s="613">
        <f t="shared" si="75"/>
        <v>15.205587480193831</v>
      </c>
      <c r="R147" s="613">
        <f t="shared" si="75"/>
        <v>14.691907323805847</v>
      </c>
      <c r="S147" s="613">
        <f t="shared" si="75"/>
        <v>14.181127523833553</v>
      </c>
      <c r="T147" s="613">
        <f>IF(T77&gt;0,T77*$D$125,0)</f>
        <v>0</v>
      </c>
    </row>
    <row r="148" spans="1:21" s="543" customFormat="1" ht="12">
      <c r="A148" s="611">
        <v>9</v>
      </c>
      <c r="B148" s="612" t="s">
        <v>559</v>
      </c>
      <c r="C148" s="616">
        <f>IF(C146&gt;C147,C146,C147)</f>
        <v>0</v>
      </c>
      <c r="D148" s="616">
        <f t="shared" ref="D148:T148" si="76">IF(D146&gt;D147,D146,D147)</f>
        <v>0</v>
      </c>
      <c r="E148" s="616">
        <f t="shared" si="76"/>
        <v>14.45536238516549</v>
      </c>
      <c r="F148" s="616">
        <f t="shared" si="76"/>
        <v>26.092619997331965</v>
      </c>
      <c r="G148" s="616">
        <f t="shared" si="76"/>
        <v>28.284798787516078</v>
      </c>
      <c r="H148" s="616">
        <f t="shared" si="76"/>
        <v>30.128142719049194</v>
      </c>
      <c r="I148" s="616">
        <f t="shared" si="76"/>
        <v>31.773963756051593</v>
      </c>
      <c r="J148" s="616">
        <f t="shared" si="76"/>
        <v>33.198262858630812</v>
      </c>
      <c r="K148" s="616">
        <f t="shared" si="76"/>
        <v>34.337428564443883</v>
      </c>
      <c r="L148" s="616">
        <f t="shared" si="76"/>
        <v>35.704846648280267</v>
      </c>
      <c r="M148" s="616">
        <f t="shared" si="76"/>
        <v>35.257940466047074</v>
      </c>
      <c r="N148" s="616">
        <f t="shared" si="76"/>
        <v>34.682409853679445</v>
      </c>
      <c r="O148" s="616">
        <f t="shared" si="76"/>
        <v>34.100295815351757</v>
      </c>
      <c r="P148" s="616">
        <f t="shared" si="76"/>
        <v>33.457769721454305</v>
      </c>
      <c r="Q148" s="616">
        <f t="shared" si="76"/>
        <v>32.756521516491048</v>
      </c>
      <c r="R148" s="616">
        <f t="shared" si="76"/>
        <v>35.076780587254113</v>
      </c>
      <c r="S148" s="616" t="e">
        <f t="shared" si="76"/>
        <v>#REF!</v>
      </c>
      <c r="T148" s="616" t="e">
        <f t="shared" si="76"/>
        <v>#REF!</v>
      </c>
    </row>
    <row r="149" spans="1:21" s="543" customFormat="1" ht="12">
      <c r="A149" s="611">
        <v>10</v>
      </c>
      <c r="B149" s="617" t="s">
        <v>560</v>
      </c>
      <c r="C149" s="618">
        <f>IF(C147&gt;C146,SUM($C$147:C147),0)</f>
        <v>0</v>
      </c>
      <c r="D149" s="618">
        <f>IF(D147&gt;D146,SUM($C$147:D147),0)</f>
        <v>0</v>
      </c>
      <c r="E149" s="618">
        <f>IF(E147&gt;E146,SUM($C$147:E147),0)</f>
        <v>0</v>
      </c>
      <c r="F149" s="618">
        <f>IF(F147&gt;F146,SUM($C$147:F147),0)</f>
        <v>0</v>
      </c>
      <c r="G149" s="618">
        <f>IF(G147&gt;G146,SUM($C$147:G147),0)</f>
        <v>0</v>
      </c>
      <c r="H149" s="618">
        <f>IF(H147&gt;H146,SUM($C$147:H147),0)</f>
        <v>0</v>
      </c>
      <c r="I149" s="618">
        <f>IF(I147&gt;I146,SUM($C$147:I147),0)</f>
        <v>0</v>
      </c>
      <c r="J149" s="618">
        <f>IF(J147&gt;J146,SUM($C$147:J147),0)</f>
        <v>0</v>
      </c>
      <c r="K149" s="618">
        <f>IF(K147&gt;K146,SUM($C$147:K147),0)</f>
        <v>0</v>
      </c>
      <c r="L149" s="618">
        <f>IF(L147&gt;L146,SUM($C$147:L147),0)</f>
        <v>0</v>
      </c>
      <c r="M149" s="618">
        <f>IF(M147&gt;M146,SUM($C$147:M147),0)</f>
        <v>0</v>
      </c>
      <c r="N149" s="618">
        <f>IF(N147&gt;N146,SUM($C$147:N147),0)</f>
        <v>0</v>
      </c>
      <c r="O149" s="618">
        <f>IF(O147&gt;O146,SUM($C$147:O147),0)</f>
        <v>0</v>
      </c>
      <c r="P149" s="618">
        <f>IF(P147&gt;P146,SUM($C$147:P147),0)</f>
        <v>0</v>
      </c>
      <c r="Q149" s="618">
        <f>IF(Q147&gt;Q146,SUM($C$147:Q147),0)</f>
        <v>0</v>
      </c>
      <c r="R149" s="618">
        <f>IF(R147&gt;R146,SUM($C$147:R147),0)</f>
        <v>0</v>
      </c>
      <c r="S149" s="618" t="e">
        <f>IF(S147&gt;S146,SUM($C147:S$264),0)</f>
        <v>#REF!</v>
      </c>
      <c r="T149" s="618" t="e">
        <f>IF(T147&gt;T146,SUM($C147:T$264),0)</f>
        <v>#REF!</v>
      </c>
    </row>
    <row r="150" spans="1:21" s="543" customFormat="1" ht="12">
      <c r="A150" s="611">
        <v>11</v>
      </c>
      <c r="B150" s="612" t="s">
        <v>561</v>
      </c>
      <c r="C150" s="619">
        <f>IF(C156&gt;0,C156,0)</f>
        <v>0</v>
      </c>
      <c r="D150" s="619">
        <f t="shared" ref="D150:T150" si="77">IF(D156&gt;0,D156,0)</f>
        <v>0</v>
      </c>
      <c r="E150" s="619">
        <f t="shared" si="77"/>
        <v>0</v>
      </c>
      <c r="F150" s="619">
        <f t="shared" si="77"/>
        <v>0</v>
      </c>
      <c r="G150" s="619">
        <f t="shared" si="77"/>
        <v>0</v>
      </c>
      <c r="H150" s="619">
        <f t="shared" si="77"/>
        <v>0</v>
      </c>
      <c r="I150" s="619">
        <f t="shared" si="77"/>
        <v>0</v>
      </c>
      <c r="J150" s="619">
        <f t="shared" si="77"/>
        <v>0</v>
      </c>
      <c r="K150" s="619">
        <f t="shared" si="77"/>
        <v>0</v>
      </c>
      <c r="L150" s="619">
        <f t="shared" si="77"/>
        <v>0</v>
      </c>
      <c r="M150" s="619">
        <f t="shared" si="77"/>
        <v>0</v>
      </c>
      <c r="N150" s="619">
        <f t="shared" si="77"/>
        <v>0</v>
      </c>
      <c r="O150" s="619">
        <f t="shared" si="77"/>
        <v>0</v>
      </c>
      <c r="P150" s="619">
        <f t="shared" si="77"/>
        <v>0</v>
      </c>
      <c r="Q150" s="619">
        <f t="shared" si="77"/>
        <v>0</v>
      </c>
      <c r="R150" s="619">
        <f t="shared" si="77"/>
        <v>0</v>
      </c>
      <c r="S150" s="619" t="e">
        <f t="shared" si="77"/>
        <v>#REF!</v>
      </c>
      <c r="T150" s="619" t="e">
        <f t="shared" si="77"/>
        <v>#REF!</v>
      </c>
    </row>
    <row r="151" spans="1:21" s="543" customFormat="1" ht="12">
      <c r="A151" s="620">
        <v>12</v>
      </c>
      <c r="B151" s="608" t="s">
        <v>562</v>
      </c>
      <c r="C151" s="621">
        <f>IF(C147&gt;C146,C147,C146)-C150</f>
        <v>0</v>
      </c>
      <c r="D151" s="621">
        <f t="shared" ref="D151:T151" si="78">IF(D147&gt;D146,D147,D146)-D150</f>
        <v>0</v>
      </c>
      <c r="E151" s="621">
        <f t="shared" si="78"/>
        <v>14.45536238516549</v>
      </c>
      <c r="F151" s="621">
        <f t="shared" si="78"/>
        <v>26.092619997331965</v>
      </c>
      <c r="G151" s="621">
        <f t="shared" si="78"/>
        <v>28.284798787516078</v>
      </c>
      <c r="H151" s="621">
        <f t="shared" si="78"/>
        <v>30.128142719049194</v>
      </c>
      <c r="I151" s="621">
        <f>IF(I147&gt;I146,I147,I146)-I150</f>
        <v>31.773963756051593</v>
      </c>
      <c r="J151" s="621">
        <f t="shared" si="78"/>
        <v>33.198262858630812</v>
      </c>
      <c r="K151" s="621">
        <f t="shared" si="78"/>
        <v>34.337428564443883</v>
      </c>
      <c r="L151" s="621">
        <f t="shared" si="78"/>
        <v>35.704846648280267</v>
      </c>
      <c r="M151" s="621">
        <f t="shared" si="78"/>
        <v>35.257940466047074</v>
      </c>
      <c r="N151" s="621">
        <f t="shared" si="78"/>
        <v>34.682409853679445</v>
      </c>
      <c r="O151" s="621">
        <f t="shared" si="78"/>
        <v>34.100295815351757</v>
      </c>
      <c r="P151" s="621">
        <f t="shared" si="78"/>
        <v>33.457769721454305</v>
      </c>
      <c r="Q151" s="621">
        <f t="shared" si="78"/>
        <v>32.756521516491048</v>
      </c>
      <c r="R151" s="621">
        <f t="shared" si="78"/>
        <v>35.076780587254113</v>
      </c>
      <c r="S151" s="621" t="e">
        <f t="shared" si="78"/>
        <v>#REF!</v>
      </c>
      <c r="T151" s="621" t="e">
        <f t="shared" si="78"/>
        <v>#REF!</v>
      </c>
    </row>
    <row r="152" spans="1:21" s="543" customFormat="1" ht="12">
      <c r="A152" s="622"/>
      <c r="B152" s="622"/>
      <c r="C152" s="613"/>
      <c r="D152" s="613"/>
      <c r="E152" s="613"/>
      <c r="F152" s="613"/>
      <c r="G152" s="613"/>
      <c r="H152" s="613"/>
      <c r="I152" s="613"/>
      <c r="J152" s="613"/>
      <c r="K152" s="613"/>
      <c r="L152" s="613"/>
      <c r="M152" s="613"/>
      <c r="N152" s="613"/>
      <c r="O152" s="613"/>
      <c r="P152" s="613"/>
      <c r="Q152" s="613"/>
      <c r="R152" s="613"/>
      <c r="S152" s="613"/>
      <c r="T152" s="613"/>
    </row>
    <row r="153" spans="1:21" s="543" customFormat="1" ht="12">
      <c r="A153" s="623"/>
      <c r="B153" s="624" t="s">
        <v>563</v>
      </c>
      <c r="C153" s="625">
        <f>IF((C146-C147)&lt;0,0,(C146-C147))</f>
        <v>0</v>
      </c>
      <c r="D153" s="625">
        <f t="shared" ref="D153:T153" si="79">IF((D146-D147)&lt;0,0,(D146-D147))</f>
        <v>0</v>
      </c>
      <c r="E153" s="625">
        <f t="shared" si="79"/>
        <v>14.45536238516549</v>
      </c>
      <c r="F153" s="625">
        <f t="shared" si="79"/>
        <v>17.1692468193812</v>
      </c>
      <c r="G153" s="625">
        <f t="shared" si="79"/>
        <v>15.102550981827514</v>
      </c>
      <c r="H153" s="625">
        <f t="shared" si="79"/>
        <v>15.476653819783023</v>
      </c>
      <c r="I153" s="625">
        <f t="shared" si="79"/>
        <v>16.927029216121163</v>
      </c>
      <c r="J153" s="625">
        <f>IF((J146-J147)&lt;0,0,(J146-J147))</f>
        <v>18.064500041634773</v>
      </c>
      <c r="K153" s="625">
        <f t="shared" si="79"/>
        <v>18.970532650125239</v>
      </c>
      <c r="L153" s="625">
        <f t="shared" si="79"/>
        <v>20.100898479947109</v>
      </c>
      <c r="M153" s="625">
        <f t="shared" si="79"/>
        <v>19.440362474916384</v>
      </c>
      <c r="N153" s="625">
        <f t="shared" si="79"/>
        <v>18.71947696217104</v>
      </c>
      <c r="O153" s="625">
        <f t="shared" si="79"/>
        <v>17.814685206554156</v>
      </c>
      <c r="P153" s="625">
        <f t="shared" si="79"/>
        <v>17.702882638189493</v>
      </c>
      <c r="Q153" s="625">
        <f t="shared" si="79"/>
        <v>17.550934036297217</v>
      </c>
      <c r="R153" s="625">
        <f t="shared" si="79"/>
        <v>20.384873263448267</v>
      </c>
      <c r="S153" s="625" t="e">
        <f t="shared" si="79"/>
        <v>#REF!</v>
      </c>
      <c r="T153" s="625" t="e">
        <f t="shared" si="79"/>
        <v>#REF!</v>
      </c>
    </row>
    <row r="154" spans="1:21" s="543" customFormat="1" ht="12">
      <c r="A154" s="623"/>
      <c r="B154" s="624" t="s">
        <v>564</v>
      </c>
      <c r="C154" s="625">
        <f>C153</f>
        <v>0</v>
      </c>
      <c r="D154" s="625">
        <f>C154+D153</f>
        <v>0</v>
      </c>
      <c r="E154" s="625">
        <f t="shared" ref="E154:T154" si="80">D154+E153</f>
        <v>14.45536238516549</v>
      </c>
      <c r="F154" s="625">
        <f t="shared" si="80"/>
        <v>31.62460920454669</v>
      </c>
      <c r="G154" s="625">
        <f t="shared" si="80"/>
        <v>46.727160186374206</v>
      </c>
      <c r="H154" s="625">
        <f t="shared" si="80"/>
        <v>62.203814006157231</v>
      </c>
      <c r="I154" s="625">
        <f t="shared" si="80"/>
        <v>79.130843222278401</v>
      </c>
      <c r="J154" s="625">
        <f t="shared" si="80"/>
        <v>97.195343263913173</v>
      </c>
      <c r="K154" s="625">
        <f t="shared" si="80"/>
        <v>116.16587591403841</v>
      </c>
      <c r="L154" s="625">
        <f t="shared" si="80"/>
        <v>136.26677439398551</v>
      </c>
      <c r="M154" s="625">
        <f t="shared" si="80"/>
        <v>155.7071368689019</v>
      </c>
      <c r="N154" s="625">
        <f t="shared" si="80"/>
        <v>174.42661383107293</v>
      </c>
      <c r="O154" s="625">
        <f t="shared" si="80"/>
        <v>192.24129903762707</v>
      </c>
      <c r="P154" s="625">
        <f t="shared" si="80"/>
        <v>209.94418167581657</v>
      </c>
      <c r="Q154" s="625">
        <f t="shared" si="80"/>
        <v>227.49511571211377</v>
      </c>
      <c r="R154" s="625">
        <f t="shared" si="80"/>
        <v>247.87998897556204</v>
      </c>
      <c r="S154" s="625" t="e">
        <f t="shared" si="80"/>
        <v>#REF!</v>
      </c>
      <c r="T154" s="625" t="e">
        <f t="shared" si="80"/>
        <v>#REF!</v>
      </c>
    </row>
    <row r="155" spans="1:21" s="543" customFormat="1" ht="12">
      <c r="A155" s="623"/>
      <c r="B155" s="624" t="s">
        <v>565</v>
      </c>
      <c r="C155" s="625">
        <f>IF(C147&gt;C146,C147,0)</f>
        <v>0</v>
      </c>
      <c r="D155" s="625">
        <f t="shared" ref="D155:T155" si="81">IF(D147&gt;D146,D147,0)</f>
        <v>0</v>
      </c>
      <c r="E155" s="625">
        <f t="shared" si="81"/>
        <v>0</v>
      </c>
      <c r="F155" s="625">
        <f t="shared" si="81"/>
        <v>0</v>
      </c>
      <c r="G155" s="625">
        <f t="shared" si="81"/>
        <v>0</v>
      </c>
      <c r="H155" s="625">
        <f t="shared" si="81"/>
        <v>0</v>
      </c>
      <c r="I155" s="625">
        <f t="shared" si="81"/>
        <v>0</v>
      </c>
      <c r="J155" s="625">
        <f t="shared" si="81"/>
        <v>0</v>
      </c>
      <c r="K155" s="625">
        <f t="shared" si="81"/>
        <v>0</v>
      </c>
      <c r="L155" s="625">
        <f t="shared" si="81"/>
        <v>0</v>
      </c>
      <c r="M155" s="625">
        <f t="shared" si="81"/>
        <v>0</v>
      </c>
      <c r="N155" s="625">
        <f t="shared" si="81"/>
        <v>0</v>
      </c>
      <c r="O155" s="625">
        <f t="shared" si="81"/>
        <v>0</v>
      </c>
      <c r="P155" s="625">
        <f t="shared" si="81"/>
        <v>0</v>
      </c>
      <c r="Q155" s="625">
        <f t="shared" si="81"/>
        <v>0</v>
      </c>
      <c r="R155" s="625">
        <f t="shared" si="81"/>
        <v>0</v>
      </c>
      <c r="S155" s="625" t="e">
        <f t="shared" si="81"/>
        <v>#REF!</v>
      </c>
      <c r="T155" s="625" t="e">
        <f t="shared" si="81"/>
        <v>#REF!</v>
      </c>
      <c r="U155" s="626">
        <f>SUM(C155:R155)</f>
        <v>0</v>
      </c>
    </row>
    <row r="156" spans="1:21" s="543" customFormat="1" ht="12">
      <c r="A156" s="627"/>
      <c r="B156" s="624" t="s">
        <v>566</v>
      </c>
      <c r="C156" s="531">
        <f>IF(C154&lt;$U$155,C153,C153-(C154-$U$155))</f>
        <v>0</v>
      </c>
      <c r="D156" s="531">
        <f t="shared" ref="D156:R156" si="82">IF(D154&lt;$U$155,D153,D153-(D154-$U$155))</f>
        <v>0</v>
      </c>
      <c r="E156" s="531">
        <f t="shared" si="82"/>
        <v>0</v>
      </c>
      <c r="F156" s="531">
        <f t="shared" si="82"/>
        <v>-14.45536238516549</v>
      </c>
      <c r="G156" s="531">
        <f t="shared" si="82"/>
        <v>-31.624609204546694</v>
      </c>
      <c r="H156" s="531">
        <f t="shared" si="82"/>
        <v>-46.727160186374206</v>
      </c>
      <c r="I156" s="531">
        <f t="shared" si="82"/>
        <v>-62.203814006157238</v>
      </c>
      <c r="J156" s="531">
        <f t="shared" si="82"/>
        <v>-79.130843222278401</v>
      </c>
      <c r="K156" s="531">
        <f t="shared" si="82"/>
        <v>-97.195343263913173</v>
      </c>
      <c r="L156" s="531">
        <f t="shared" si="82"/>
        <v>-116.16587591403841</v>
      </c>
      <c r="M156" s="531">
        <f t="shared" si="82"/>
        <v>-136.26677439398551</v>
      </c>
      <c r="N156" s="531">
        <f t="shared" si="82"/>
        <v>-155.7071368689019</v>
      </c>
      <c r="O156" s="531">
        <f t="shared" si="82"/>
        <v>-174.42661383107293</v>
      </c>
      <c r="P156" s="531">
        <f t="shared" si="82"/>
        <v>-192.24129903762707</v>
      </c>
      <c r="Q156" s="531">
        <f t="shared" si="82"/>
        <v>-209.94418167581657</v>
      </c>
      <c r="R156" s="531">
        <f t="shared" si="82"/>
        <v>-227.49511571211377</v>
      </c>
      <c r="S156" s="531" t="e">
        <f>IF(S154&lt;#REF!,S153,S153-(S154-#REF!))</f>
        <v>#REF!</v>
      </c>
      <c r="T156" s="531" t="e">
        <f>IF(T154&lt;#REF!,T153,T153-(T154-#REF!))</f>
        <v>#REF!</v>
      </c>
    </row>
    <row r="157" spans="1:21" s="543" customFormat="1" ht="12"/>
    <row r="158" spans="1:21" s="543" customFormat="1" ht="12"/>
    <row r="159" spans="1:21" s="543" customFormat="1" ht="12"/>
    <row r="160" spans="1:21" s="543" customFormat="1" ht="12">
      <c r="A160" s="865" t="s">
        <v>567</v>
      </c>
      <c r="B160" s="865"/>
      <c r="C160" s="865"/>
      <c r="D160" s="865"/>
      <c r="E160" s="865"/>
      <c r="F160" s="865"/>
      <c r="G160" s="865"/>
      <c r="H160" s="865"/>
      <c r="I160" s="865"/>
      <c r="J160" s="865"/>
      <c r="K160" s="865"/>
      <c r="L160" s="865"/>
      <c r="M160" s="865"/>
      <c r="N160" s="865"/>
      <c r="O160" s="865"/>
      <c r="P160" s="865"/>
      <c r="Q160" s="865"/>
      <c r="R160" s="865"/>
      <c r="S160" s="865"/>
    </row>
    <row r="161" spans="1:20" s="543" customFormat="1" ht="2.25" customHeight="1">
      <c r="A161" s="628"/>
      <c r="B161" s="629"/>
      <c r="C161" s="630"/>
      <c r="D161" s="628"/>
      <c r="E161" s="631"/>
      <c r="F161" s="631"/>
      <c r="G161" s="631"/>
      <c r="H161" s="631"/>
      <c r="I161" s="631"/>
      <c r="J161" s="631"/>
      <c r="K161" s="630"/>
      <c r="L161" s="630"/>
      <c r="M161" s="630"/>
      <c r="N161" s="630"/>
      <c r="O161" s="630"/>
      <c r="P161" s="630"/>
      <c r="Q161" s="630"/>
      <c r="R161" s="630"/>
      <c r="S161" s="630"/>
    </row>
    <row r="162" spans="1:20" s="543" customFormat="1" ht="12">
      <c r="A162" s="632" t="s">
        <v>463</v>
      </c>
      <c r="B162" s="633" t="s">
        <v>568</v>
      </c>
      <c r="C162" s="633" t="s">
        <v>569</v>
      </c>
      <c r="D162" s="632" t="s">
        <v>570</v>
      </c>
      <c r="E162" s="634" t="s">
        <v>516</v>
      </c>
      <c r="F162" s="634" t="s">
        <v>465</v>
      </c>
      <c r="G162" s="634" t="s">
        <v>466</v>
      </c>
      <c r="H162" s="634" t="s">
        <v>467</v>
      </c>
      <c r="I162" s="634" t="s">
        <v>468</v>
      </c>
      <c r="J162" s="634" t="s">
        <v>469</v>
      </c>
      <c r="K162" s="634" t="s">
        <v>470</v>
      </c>
      <c r="L162" s="634" t="s">
        <v>471</v>
      </c>
      <c r="M162" s="634" t="s">
        <v>472</v>
      </c>
      <c r="N162" s="634" t="s">
        <v>473</v>
      </c>
      <c r="O162" s="634" t="s">
        <v>474</v>
      </c>
      <c r="P162" s="634" t="s">
        <v>475</v>
      </c>
      <c r="Q162" s="634" t="s">
        <v>476</v>
      </c>
      <c r="R162" s="634" t="s">
        <v>477</v>
      </c>
      <c r="S162" s="634" t="s">
        <v>478</v>
      </c>
      <c r="T162" s="634" t="s">
        <v>548</v>
      </c>
    </row>
    <row r="163" spans="1:20" s="543" customFormat="1" ht="12">
      <c r="A163" s="632" t="s">
        <v>479</v>
      </c>
      <c r="B163" s="633"/>
      <c r="C163" s="635"/>
      <c r="D163" s="632" t="s">
        <v>571</v>
      </c>
      <c r="E163" s="634" t="s">
        <v>312</v>
      </c>
      <c r="F163" s="634"/>
      <c r="G163" s="634"/>
      <c r="H163" s="634"/>
      <c r="I163" s="634"/>
      <c r="J163" s="635"/>
      <c r="K163" s="635"/>
      <c r="L163" s="635"/>
      <c r="M163" s="635"/>
      <c r="N163" s="635"/>
      <c r="O163" s="635"/>
      <c r="P163" s="635"/>
      <c r="Q163" s="635"/>
      <c r="R163" s="635"/>
      <c r="S163" s="635"/>
      <c r="T163" s="635"/>
    </row>
    <row r="164" spans="1:20" s="543" customFormat="1" ht="12">
      <c r="A164" s="636"/>
      <c r="B164" s="637"/>
      <c r="C164" s="638"/>
      <c r="D164" s="636"/>
      <c r="E164" s="639"/>
      <c r="F164" s="639"/>
      <c r="G164" s="639"/>
      <c r="H164" s="639"/>
      <c r="I164" s="639"/>
      <c r="J164" s="638"/>
      <c r="K164" s="638"/>
      <c r="L164" s="638"/>
      <c r="M164" s="638"/>
      <c r="N164" s="638"/>
      <c r="O164" s="638"/>
      <c r="P164" s="638"/>
      <c r="Q164" s="638"/>
      <c r="R164" s="638"/>
      <c r="S164" s="638"/>
      <c r="T164" s="638"/>
    </row>
    <row r="165" spans="1:20" s="543" customFormat="1" ht="12">
      <c r="A165" s="632">
        <v>1</v>
      </c>
      <c r="B165" s="640" t="s">
        <v>572</v>
      </c>
      <c r="C165" s="641"/>
      <c r="D165" s="642">
        <f>Depreciation!F9</f>
        <v>10.47206585169161</v>
      </c>
      <c r="E165" s="643">
        <f>+D165*0.1</f>
        <v>1.047206585169161</v>
      </c>
      <c r="F165" s="643">
        <f>+E165*0.9</f>
        <v>0.94248592665224495</v>
      </c>
      <c r="G165" s="643">
        <f t="shared" ref="G165:T165" si="83">+F165*0.9</f>
        <v>0.8482373339870205</v>
      </c>
      <c r="H165" s="643">
        <f t="shared" si="83"/>
        <v>0.76341360058831842</v>
      </c>
      <c r="I165" s="643">
        <f t="shared" si="83"/>
        <v>0.68707224052948657</v>
      </c>
      <c r="J165" s="643">
        <f t="shared" si="83"/>
        <v>0.61836501647653797</v>
      </c>
      <c r="K165" s="643">
        <f t="shared" si="83"/>
        <v>0.55652851482888421</v>
      </c>
      <c r="L165" s="643">
        <f t="shared" si="83"/>
        <v>0.50087566334599576</v>
      </c>
      <c r="M165" s="643">
        <f t="shared" si="83"/>
        <v>0.45078809701139622</v>
      </c>
      <c r="N165" s="643">
        <f t="shared" si="83"/>
        <v>0.40570928731025663</v>
      </c>
      <c r="O165" s="643">
        <f t="shared" si="83"/>
        <v>0.36513835857923099</v>
      </c>
      <c r="P165" s="643">
        <f t="shared" si="83"/>
        <v>0.32862452272130788</v>
      </c>
      <c r="Q165" s="643">
        <f t="shared" si="83"/>
        <v>0.29576207044917707</v>
      </c>
      <c r="R165" s="643">
        <f t="shared" si="83"/>
        <v>0.26618586340425937</v>
      </c>
      <c r="S165" s="643">
        <f t="shared" si="83"/>
        <v>0.23956727706383343</v>
      </c>
      <c r="T165" s="643">
        <f t="shared" si="83"/>
        <v>0.21561054935745008</v>
      </c>
    </row>
    <row r="166" spans="1:20" s="543" customFormat="1" ht="12">
      <c r="A166" s="632">
        <v>2</v>
      </c>
      <c r="B166" s="640" t="s">
        <v>573</v>
      </c>
      <c r="C166" s="644"/>
      <c r="D166" s="642">
        <f>Depreciation!F10</f>
        <v>431.11642995588375</v>
      </c>
      <c r="E166" s="643">
        <f>+D166*0.35</f>
        <v>150.89075048455931</v>
      </c>
      <c r="F166" s="643">
        <f>(D166-E166)*0.15</f>
        <v>42.033851920698666</v>
      </c>
      <c r="G166" s="643">
        <f>+F166*0.85</f>
        <v>35.728774132593863</v>
      </c>
      <c r="H166" s="643">
        <f t="shared" ref="H166:T166" si="84">+G166*0.85</f>
        <v>30.369458012704783</v>
      </c>
      <c r="I166" s="643">
        <f t="shared" si="84"/>
        <v>25.814039310799064</v>
      </c>
      <c r="J166" s="643">
        <f t="shared" si="84"/>
        <v>21.941933414179204</v>
      </c>
      <c r="K166" s="643">
        <f t="shared" si="84"/>
        <v>18.650643402052321</v>
      </c>
      <c r="L166" s="643">
        <f t="shared" si="84"/>
        <v>15.853046891744473</v>
      </c>
      <c r="M166" s="643">
        <f t="shared" si="84"/>
        <v>13.475089857982802</v>
      </c>
      <c r="N166" s="643">
        <f t="shared" si="84"/>
        <v>11.453826379285381</v>
      </c>
      <c r="O166" s="643">
        <f t="shared" si="84"/>
        <v>9.735752422392574</v>
      </c>
      <c r="P166" s="643">
        <f t="shared" si="84"/>
        <v>8.2753895590336874</v>
      </c>
      <c r="Q166" s="643">
        <f t="shared" si="84"/>
        <v>7.0340811251786342</v>
      </c>
      <c r="R166" s="643">
        <f t="shared" si="84"/>
        <v>5.9789689564018387</v>
      </c>
      <c r="S166" s="643">
        <f t="shared" si="84"/>
        <v>5.0821236129415626</v>
      </c>
      <c r="T166" s="643">
        <f t="shared" si="84"/>
        <v>4.319805071000328</v>
      </c>
    </row>
    <row r="167" spans="1:20" s="543" customFormat="1" ht="12">
      <c r="A167" s="632"/>
      <c r="B167" s="640"/>
      <c r="C167" s="644"/>
      <c r="D167" s="645"/>
      <c r="E167" s="634"/>
      <c r="F167" s="634"/>
      <c r="G167" s="634"/>
      <c r="H167" s="634"/>
      <c r="I167" s="634"/>
      <c r="J167" s="635"/>
      <c r="K167" s="635"/>
      <c r="L167" s="635"/>
      <c r="M167" s="635"/>
      <c r="N167" s="635"/>
      <c r="O167" s="635"/>
      <c r="P167" s="635"/>
      <c r="Q167" s="635"/>
      <c r="R167" s="635"/>
      <c r="S167" s="635"/>
      <c r="T167" s="635"/>
    </row>
    <row r="168" spans="1:20" s="543" customFormat="1" ht="12">
      <c r="A168" s="632"/>
      <c r="B168" s="635"/>
      <c r="C168" s="641"/>
      <c r="D168" s="645"/>
      <c r="E168" s="634"/>
      <c r="F168" s="634"/>
      <c r="G168" s="634"/>
      <c r="H168" s="634"/>
      <c r="I168" s="634"/>
      <c r="J168" s="635"/>
      <c r="K168" s="635"/>
      <c r="L168" s="635"/>
      <c r="M168" s="635"/>
      <c r="N168" s="635"/>
      <c r="O168" s="635"/>
      <c r="P168" s="635"/>
      <c r="Q168" s="635"/>
      <c r="R168" s="635"/>
      <c r="S168" s="635"/>
      <c r="T168" s="635"/>
    </row>
    <row r="169" spans="1:20" s="543" customFormat="1" ht="12">
      <c r="A169" s="632"/>
      <c r="B169" s="646" t="s">
        <v>574</v>
      </c>
      <c r="C169" s="641"/>
      <c r="D169" s="632"/>
      <c r="E169" s="647">
        <f>SUM(E165:E168)</f>
        <v>151.93795706972847</v>
      </c>
      <c r="F169" s="647">
        <f t="shared" ref="F169:T169" si="85">SUM(F165:F168)</f>
        <v>42.976337847350912</v>
      </c>
      <c r="G169" s="647">
        <f t="shared" si="85"/>
        <v>36.577011466580885</v>
      </c>
      <c r="H169" s="647">
        <f t="shared" si="85"/>
        <v>31.132871613293101</v>
      </c>
      <c r="I169" s="647">
        <f t="shared" si="85"/>
        <v>26.501111551328549</v>
      </c>
      <c r="J169" s="647">
        <f t="shared" si="85"/>
        <v>22.560298430655742</v>
      </c>
      <c r="K169" s="647">
        <f t="shared" si="85"/>
        <v>19.207171916881205</v>
      </c>
      <c r="L169" s="647">
        <f t="shared" si="85"/>
        <v>16.35392255509047</v>
      </c>
      <c r="M169" s="647">
        <f t="shared" si="85"/>
        <v>13.925877954994197</v>
      </c>
      <c r="N169" s="647">
        <f t="shared" si="85"/>
        <v>11.859535666595638</v>
      </c>
      <c r="O169" s="647">
        <f t="shared" si="85"/>
        <v>10.100890780971804</v>
      </c>
      <c r="P169" s="647">
        <f t="shared" si="85"/>
        <v>8.604014081754995</v>
      </c>
      <c r="Q169" s="647">
        <f t="shared" si="85"/>
        <v>7.3298431956278112</v>
      </c>
      <c r="R169" s="647">
        <f t="shared" si="85"/>
        <v>6.245154819806098</v>
      </c>
      <c r="S169" s="647">
        <f t="shared" si="85"/>
        <v>5.3216908900053959</v>
      </c>
      <c r="T169" s="647">
        <f t="shared" si="85"/>
        <v>4.535415620357778</v>
      </c>
    </row>
    <row r="170" spans="1:20" s="534" customFormat="1" ht="12">
      <c r="A170" s="532"/>
      <c r="B170" s="533"/>
      <c r="C170" s="533"/>
      <c r="D170" s="533"/>
      <c r="E170" s="533"/>
      <c r="F170" s="533"/>
      <c r="G170" s="533"/>
      <c r="H170" s="533"/>
      <c r="I170" s="533"/>
      <c r="J170" s="533"/>
      <c r="K170" s="533"/>
      <c r="L170" s="533"/>
      <c r="M170" s="533"/>
      <c r="N170" s="533"/>
      <c r="O170" s="533"/>
      <c r="P170" s="533"/>
      <c r="Q170" s="533"/>
      <c r="R170" s="533"/>
      <c r="S170" s="533"/>
      <c r="T170" s="533"/>
    </row>
    <row r="171" spans="1:20" s="534" customFormat="1" ht="12">
      <c r="A171" s="533"/>
      <c r="B171" s="533"/>
      <c r="C171" s="533"/>
      <c r="D171" s="533"/>
      <c r="E171" s="533"/>
      <c r="F171" s="533"/>
      <c r="G171" s="533"/>
      <c r="H171" s="533"/>
      <c r="I171" s="533"/>
      <c r="J171" s="533"/>
      <c r="K171" s="533"/>
      <c r="L171" s="533"/>
      <c r="M171" s="533"/>
      <c r="N171" s="533"/>
      <c r="O171" s="533"/>
      <c r="P171" s="533"/>
      <c r="Q171" s="533"/>
      <c r="R171" s="533"/>
      <c r="S171" s="533"/>
      <c r="T171" s="533"/>
    </row>
    <row r="172" spans="1:20" s="534" customFormat="1" ht="12">
      <c r="A172" s="533"/>
      <c r="B172" s="533"/>
      <c r="C172" s="533"/>
      <c r="D172" s="533"/>
      <c r="E172" s="533"/>
      <c r="F172" s="648"/>
      <c r="G172" s="649"/>
      <c r="H172" s="851"/>
      <c r="I172" s="851"/>
      <c r="J172" s="851"/>
      <c r="K172" s="851"/>
      <c r="L172" s="851"/>
      <c r="M172" s="648"/>
      <c r="N172" s="648"/>
      <c r="O172" s="648"/>
      <c r="P172" s="648"/>
      <c r="Q172" s="648"/>
      <c r="R172" s="648"/>
      <c r="S172" s="648"/>
      <c r="T172" s="648"/>
    </row>
    <row r="173" spans="1:20" s="534" customFormat="1" ht="12">
      <c r="A173" s="533"/>
      <c r="B173" s="650" t="s">
        <v>169</v>
      </c>
      <c r="C173" s="651">
        <v>0</v>
      </c>
      <c r="D173" s="652"/>
      <c r="E173" s="533"/>
      <c r="F173" s="648"/>
      <c r="G173" s="648"/>
      <c r="H173" s="648"/>
      <c r="I173" s="648"/>
      <c r="J173" s="648"/>
      <c r="K173" s="648"/>
      <c r="L173" s="648"/>
      <c r="M173" s="648"/>
      <c r="N173" s="648"/>
      <c r="O173" s="648"/>
      <c r="P173" s="648"/>
      <c r="Q173" s="648"/>
      <c r="R173" s="648"/>
      <c r="S173" s="648"/>
      <c r="T173" s="648"/>
    </row>
    <row r="174" spans="1:20" s="534" customFormat="1" ht="12">
      <c r="A174" s="533"/>
      <c r="B174" s="650" t="s">
        <v>152</v>
      </c>
      <c r="C174" s="725">
        <v>2</v>
      </c>
      <c r="D174" s="652"/>
      <c r="E174" s="533"/>
      <c r="F174" s="648"/>
      <c r="G174" s="648"/>
      <c r="H174" s="648"/>
      <c r="I174" s="648"/>
      <c r="J174" s="653"/>
      <c r="K174" s="653"/>
      <c r="L174" s="653"/>
      <c r="M174" s="653"/>
      <c r="N174" s="653"/>
      <c r="O174" s="653"/>
      <c r="P174" s="648"/>
      <c r="Q174" s="648"/>
      <c r="R174" s="648"/>
      <c r="S174" s="648"/>
      <c r="T174" s="648"/>
    </row>
    <row r="175" spans="1:20" s="534" customFormat="1" ht="12" hidden="1">
      <c r="A175" s="533"/>
      <c r="B175" s="533"/>
      <c r="C175" s="533"/>
      <c r="D175" s="533"/>
      <c r="E175" s="533"/>
      <c r="F175" s="648"/>
      <c r="G175" s="648"/>
      <c r="H175" s="648"/>
      <c r="I175" s="648"/>
      <c r="J175" s="648"/>
      <c r="K175" s="648"/>
      <c r="L175" s="648"/>
      <c r="M175" s="648"/>
      <c r="N175" s="648"/>
      <c r="O175" s="648"/>
      <c r="P175" s="648"/>
      <c r="Q175" s="648"/>
      <c r="R175" s="648"/>
      <c r="S175" s="648"/>
      <c r="T175" s="648"/>
    </row>
    <row r="176" spans="1:20" s="534" customFormat="1" ht="12" hidden="1">
      <c r="A176" s="532"/>
      <c r="B176" s="654" t="s">
        <v>270</v>
      </c>
      <c r="C176" s="654"/>
      <c r="D176" s="654"/>
      <c r="E176" s="654"/>
      <c r="F176" s="655">
        <f t="shared" ref="F176:T176" si="86">F10/(350000*F3)*10^7</f>
        <v>11409.673142857144</v>
      </c>
      <c r="G176" s="655">
        <f t="shared" si="86"/>
        <v>11409.673142857144</v>
      </c>
      <c r="H176" s="655">
        <f t="shared" si="86"/>
        <v>11409.673142857144</v>
      </c>
      <c r="I176" s="655">
        <f t="shared" si="86"/>
        <v>11409.673142857144</v>
      </c>
      <c r="J176" s="655">
        <f t="shared" si="86"/>
        <v>11409.673142857144</v>
      </c>
      <c r="K176" s="655">
        <f t="shared" si="86"/>
        <v>11409.673142857144</v>
      </c>
      <c r="L176" s="655">
        <f t="shared" si="86"/>
        <v>11409.673142857144</v>
      </c>
      <c r="M176" s="655">
        <f t="shared" si="86"/>
        <v>11409.673142857144</v>
      </c>
      <c r="N176" s="655">
        <f t="shared" si="86"/>
        <v>11409.673142857144</v>
      </c>
      <c r="O176" s="655">
        <f t="shared" si="86"/>
        <v>11409.673142857144</v>
      </c>
      <c r="P176" s="655">
        <f t="shared" si="86"/>
        <v>11409.673142857144</v>
      </c>
      <c r="Q176" s="655">
        <f t="shared" si="86"/>
        <v>11409.673142857144</v>
      </c>
      <c r="R176" s="655">
        <f t="shared" si="86"/>
        <v>11409.673142857144</v>
      </c>
      <c r="S176" s="655">
        <f t="shared" si="86"/>
        <v>11409.673142857144</v>
      </c>
      <c r="T176" s="655">
        <f t="shared" si="86"/>
        <v>11409.673142857144</v>
      </c>
    </row>
    <row r="177" spans="1:20" s="534" customFormat="1" ht="12" hidden="1">
      <c r="A177" s="532"/>
      <c r="B177" s="533" t="s">
        <v>271</v>
      </c>
      <c r="C177" s="533"/>
      <c r="D177" s="533"/>
      <c r="E177" s="533"/>
      <c r="F177" s="656">
        <f>F21/((350000*F3))*10^7</f>
        <v>7067.6572311101927</v>
      </c>
      <c r="G177" s="656">
        <f>G21/((350000*G3))*10^7</f>
        <v>7168.422148982685</v>
      </c>
      <c r="H177" s="656">
        <f>H21/((350000*H3))*10^7</f>
        <v>7279.0576009312344</v>
      </c>
      <c r="I177" s="656">
        <f t="shared" ref="I177:T177" si="87">I21/((350000))*10^7</f>
        <v>7016.4457349143495</v>
      </c>
      <c r="J177" s="656">
        <f t="shared" si="87"/>
        <v>7102.8432251996919</v>
      </c>
      <c r="K177" s="656">
        <f t="shared" si="87"/>
        <v>7198.0213244173683</v>
      </c>
      <c r="L177" s="656">
        <f t="shared" si="87"/>
        <v>7292.5585358976186</v>
      </c>
      <c r="M177" s="656">
        <f t="shared" si="87"/>
        <v>7390.9259460985941</v>
      </c>
      <c r="N177" s="656">
        <f t="shared" si="87"/>
        <v>7500.458146072564</v>
      </c>
      <c r="O177" s="656">
        <f t="shared" si="87"/>
        <v>7580.9932867661373</v>
      </c>
      <c r="P177" s="656">
        <f t="shared" si="87"/>
        <v>7667.7808857870677</v>
      </c>
      <c r="Q177" s="656">
        <f t="shared" si="87"/>
        <v>7757.6061740966852</v>
      </c>
      <c r="R177" s="656">
        <f t="shared" si="87"/>
        <v>7841.6067229565733</v>
      </c>
      <c r="S177" s="656">
        <f t="shared" si="87"/>
        <v>7925.1329853800908</v>
      </c>
      <c r="T177" s="656">
        <f t="shared" si="87"/>
        <v>8008.8541588979488</v>
      </c>
    </row>
    <row r="178" spans="1:20" s="534" customFormat="1" ht="12" hidden="1">
      <c r="A178" s="532"/>
      <c r="B178" s="657" t="s">
        <v>167</v>
      </c>
      <c r="C178" s="657"/>
      <c r="D178" s="657"/>
      <c r="E178" s="657"/>
      <c r="F178" s="658">
        <f>F176-F177</f>
        <v>4342.0159117469511</v>
      </c>
      <c r="G178" s="658">
        <f t="shared" ref="G178:R178" si="88">G176-G177</f>
        <v>4241.2509938744588</v>
      </c>
      <c r="H178" s="658">
        <f t="shared" si="88"/>
        <v>4130.6155419259094</v>
      </c>
      <c r="I178" s="658">
        <f t="shared" si="88"/>
        <v>4393.2274079427943</v>
      </c>
      <c r="J178" s="658">
        <f t="shared" si="88"/>
        <v>4306.8299176574519</v>
      </c>
      <c r="K178" s="658">
        <f t="shared" si="88"/>
        <v>4211.6518184397755</v>
      </c>
      <c r="L178" s="658">
        <f t="shared" si="88"/>
        <v>4117.1146069595252</v>
      </c>
      <c r="M178" s="658">
        <f t="shared" si="88"/>
        <v>4018.7471967585498</v>
      </c>
      <c r="N178" s="658">
        <f t="shared" si="88"/>
        <v>3909.2149967845799</v>
      </c>
      <c r="O178" s="658">
        <f t="shared" si="88"/>
        <v>3828.6798560910065</v>
      </c>
      <c r="P178" s="658">
        <f t="shared" si="88"/>
        <v>3741.8922570700761</v>
      </c>
      <c r="Q178" s="658">
        <f t="shared" si="88"/>
        <v>3652.0669687604586</v>
      </c>
      <c r="R178" s="658">
        <f t="shared" si="88"/>
        <v>3568.0664199005705</v>
      </c>
      <c r="S178" s="658">
        <f t="shared" ref="S178:T178" si="89">S176-S177</f>
        <v>3484.5401574770531</v>
      </c>
      <c r="T178" s="658">
        <f t="shared" si="89"/>
        <v>3400.8189839591951</v>
      </c>
    </row>
    <row r="179" spans="1:20" s="534" customFormat="1" ht="12" hidden="1">
      <c r="A179" s="532"/>
      <c r="B179" s="652" t="s">
        <v>342</v>
      </c>
      <c r="C179" s="533"/>
      <c r="D179" s="533"/>
      <c r="E179" s="533"/>
      <c r="F179" s="648"/>
      <c r="G179" s="653"/>
      <c r="H179" s="653"/>
      <c r="I179" s="653"/>
      <c r="J179" s="653"/>
      <c r="K179" s="653"/>
      <c r="L179" s="653"/>
      <c r="M179" s="648"/>
      <c r="N179" s="653"/>
      <c r="O179" s="648"/>
      <c r="P179" s="648"/>
      <c r="Q179" s="648"/>
      <c r="R179" s="648"/>
      <c r="S179" s="648"/>
      <c r="T179" s="648"/>
    </row>
    <row r="180" spans="1:20" s="534" customFormat="1" ht="12" hidden="1">
      <c r="A180" s="659"/>
      <c r="B180" s="660" t="s">
        <v>343</v>
      </c>
      <c r="F180" s="661"/>
      <c r="G180" s="661"/>
      <c r="H180" s="661"/>
      <c r="I180" s="661"/>
      <c r="J180" s="661"/>
      <c r="K180" s="661"/>
      <c r="L180" s="661"/>
      <c r="M180" s="661"/>
      <c r="N180" s="661"/>
      <c r="O180" s="661"/>
      <c r="P180" s="661"/>
      <c r="Q180" s="648"/>
      <c r="R180" s="648"/>
    </row>
    <row r="181" spans="1:20" s="534" customFormat="1" ht="12" hidden="1">
      <c r="A181" s="659"/>
      <c r="B181" s="660" t="s">
        <v>344</v>
      </c>
      <c r="F181" s="662"/>
      <c r="G181" s="662"/>
      <c r="H181" s="662"/>
      <c r="I181" s="662"/>
      <c r="J181" s="662"/>
      <c r="K181" s="662"/>
      <c r="L181" s="661"/>
      <c r="M181" s="661"/>
      <c r="N181" s="661"/>
      <c r="O181" s="661"/>
      <c r="P181" s="661"/>
      <c r="Q181" s="648"/>
      <c r="R181" s="648"/>
    </row>
    <row r="182" spans="1:20" s="534" customFormat="1" ht="12" hidden="1">
      <c r="A182" s="659"/>
      <c r="F182" s="663"/>
      <c r="G182" s="663"/>
      <c r="H182" s="663"/>
      <c r="I182" s="663"/>
      <c r="J182" s="663"/>
      <c r="K182" s="663"/>
      <c r="L182" s="661"/>
      <c r="M182" s="661"/>
      <c r="N182" s="661"/>
      <c r="O182" s="661"/>
      <c r="P182" s="661"/>
      <c r="Q182" s="648"/>
      <c r="R182" s="648"/>
    </row>
    <row r="183" spans="1:20" hidden="1">
      <c r="F183" s="177"/>
      <c r="G183" s="177"/>
      <c r="H183" s="177"/>
      <c r="I183" s="177"/>
      <c r="J183" s="177"/>
      <c r="K183" s="177"/>
    </row>
  </sheetData>
  <mergeCells count="14">
    <mergeCell ref="F4:T4"/>
    <mergeCell ref="A1:D1"/>
    <mergeCell ref="B5:B6"/>
    <mergeCell ref="H172:L172"/>
    <mergeCell ref="A7:E7"/>
    <mergeCell ref="A4:B4"/>
    <mergeCell ref="A2:B2"/>
    <mergeCell ref="A3:B3"/>
    <mergeCell ref="A83:S83"/>
    <mergeCell ref="C84:D84"/>
    <mergeCell ref="A135:Q135"/>
    <mergeCell ref="A136:Q136"/>
    <mergeCell ref="A160:S160"/>
    <mergeCell ref="B67:C67"/>
  </mergeCells>
  <hyperlinks>
    <hyperlink ref="B34" r:id="rId1" display="NPV@12%" xr:uid="{4C50BE4B-43D2-4EB7-A9AC-72D47A5A55A5}"/>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C487-671F-441C-B12A-B90A4B9DEB8D}">
  <dimension ref="A2:S62"/>
  <sheetViews>
    <sheetView showGridLines="0" topLeftCell="A12" zoomScale="85" zoomScaleNormal="85" workbookViewId="0">
      <selection activeCell="E19" sqref="E19"/>
    </sheetView>
  </sheetViews>
  <sheetFormatPr defaultRowHeight="12.75"/>
  <cols>
    <col min="1" max="1" width="9.140625" style="1"/>
    <col min="2" max="2" width="30.140625" style="1" customWidth="1"/>
    <col min="3" max="3" width="14.140625" style="1" customWidth="1"/>
    <col min="4" max="9" width="10" style="1" bestFit="1" customWidth="1"/>
    <col min="10" max="10" width="9.7109375" style="1" bestFit="1" customWidth="1"/>
    <col min="11" max="18" width="10.7109375" style="1" bestFit="1" customWidth="1"/>
    <col min="19" max="16384" width="9.140625" style="1"/>
  </cols>
  <sheetData>
    <row r="2" spans="1:19">
      <c r="A2" s="732"/>
      <c r="B2" s="670" t="s">
        <v>628</v>
      </c>
      <c r="C2" s="732"/>
      <c r="D2" s="732"/>
      <c r="E2" s="732"/>
      <c r="F2" s="732"/>
      <c r="G2" s="732"/>
      <c r="H2" s="732"/>
      <c r="I2" s="732"/>
      <c r="J2" s="732"/>
      <c r="K2" s="732"/>
      <c r="L2" s="732"/>
      <c r="M2" s="732"/>
      <c r="N2" s="732"/>
      <c r="O2" s="732"/>
      <c r="P2" s="732"/>
      <c r="Q2" s="732"/>
      <c r="R2" s="732"/>
    </row>
    <row r="3" spans="1:19">
      <c r="A3" s="679" t="s">
        <v>585</v>
      </c>
      <c r="B3" s="679" t="s">
        <v>464</v>
      </c>
      <c r="C3" s="679" t="s">
        <v>627</v>
      </c>
      <c r="D3" s="679">
        <v>1</v>
      </c>
      <c r="E3" s="679">
        <v>2</v>
      </c>
      <c r="F3" s="679">
        <v>3</v>
      </c>
      <c r="G3" s="679">
        <v>4</v>
      </c>
      <c r="H3" s="679">
        <v>5</v>
      </c>
      <c r="I3" s="679">
        <v>6</v>
      </c>
      <c r="J3" s="679">
        <v>7</v>
      </c>
      <c r="K3" s="679">
        <v>8</v>
      </c>
      <c r="L3" s="679">
        <v>9</v>
      </c>
      <c r="M3" s="679">
        <v>10</v>
      </c>
      <c r="N3" s="679">
        <v>11</v>
      </c>
      <c r="O3" s="679">
        <v>12</v>
      </c>
      <c r="P3" s="679">
        <v>13</v>
      </c>
      <c r="Q3" s="679">
        <v>14</v>
      </c>
      <c r="R3" s="679">
        <v>15</v>
      </c>
    </row>
    <row r="4" spans="1:19">
      <c r="A4" s="675">
        <v>1</v>
      </c>
      <c r="B4" s="674" t="s">
        <v>639</v>
      </c>
      <c r="C4" s="686"/>
      <c r="D4" s="690">
        <f>'Cashflow '!F10</f>
        <v>279.536992</v>
      </c>
      <c r="E4" s="690">
        <f>'Cashflow '!G10</f>
        <v>359.40470400000004</v>
      </c>
      <c r="F4" s="690">
        <f>'Cashflow '!H10</f>
        <v>379.37163200000003</v>
      </c>
      <c r="G4" s="690">
        <f>'Cashflow '!I10</f>
        <v>379.37163200000003</v>
      </c>
      <c r="H4" s="690">
        <f>'Cashflow '!J10</f>
        <v>379.37163200000003</v>
      </c>
      <c r="I4" s="690">
        <f>'Cashflow '!K10</f>
        <v>379.37163200000003</v>
      </c>
      <c r="J4" s="690">
        <f>'Cashflow '!L10</f>
        <v>379.37163200000003</v>
      </c>
      <c r="K4" s="690">
        <f>'Cashflow '!M10</f>
        <v>379.37163200000003</v>
      </c>
      <c r="L4" s="690">
        <f>'Cashflow '!N10</f>
        <v>379.37163200000003</v>
      </c>
      <c r="M4" s="690">
        <f>'Cashflow '!O10</f>
        <v>379.37163200000003</v>
      </c>
      <c r="N4" s="690">
        <f>'Cashflow '!P10</f>
        <v>379.37163200000003</v>
      </c>
      <c r="O4" s="690">
        <f>'Cashflow '!Q10</f>
        <v>379.37163200000003</v>
      </c>
      <c r="P4" s="690">
        <f>'Cashflow '!R10</f>
        <v>379.37163200000003</v>
      </c>
      <c r="Q4" s="690">
        <f>'Cashflow '!S10</f>
        <v>379.37163200000003</v>
      </c>
      <c r="R4" s="690">
        <f>'Cashflow '!T10</f>
        <v>379.37163200000003</v>
      </c>
    </row>
    <row r="5" spans="1:19">
      <c r="A5" s="675">
        <v>2</v>
      </c>
      <c r="B5" s="674" t="s">
        <v>638</v>
      </c>
      <c r="C5" s="686"/>
      <c r="D5" s="690">
        <f>'Cashflow '!F15</f>
        <v>153.71596116999086</v>
      </c>
      <c r="E5" s="690">
        <f>'Cashflow '!G15</f>
        <v>200.42145800034137</v>
      </c>
      <c r="F5" s="690">
        <f>'Cashflow '!H15</f>
        <v>214.8139455898548</v>
      </c>
      <c r="G5" s="690">
        <f>'Cashflow '!I15</f>
        <v>217.97171059002562</v>
      </c>
      <c r="H5" s="690">
        <f>'Cashflow '!J15</f>
        <v>220.60916828816494</v>
      </c>
      <c r="I5" s="690">
        <f>'Cashflow '!K15</f>
        <v>223.56533114322636</v>
      </c>
      <c r="J5" s="690">
        <f>'Cashflow '!L15</f>
        <v>226.49403698120261</v>
      </c>
      <c r="K5" s="690">
        <f>'Cashflow '!M15</f>
        <v>229.55170648044887</v>
      </c>
      <c r="L5" s="690">
        <f>'Cashflow '!N15</f>
        <v>232.99498207765561</v>
      </c>
      <c r="M5" s="690">
        <f>'Cashflow '!O15</f>
        <v>235.41812989126325</v>
      </c>
      <c r="N5" s="690">
        <f>'Cashflow '!P15</f>
        <v>238.05481294604539</v>
      </c>
      <c r="O5" s="690">
        <f>'Cashflow '!Q15</f>
        <v>240.79244329492491</v>
      </c>
      <c r="P5" s="690">
        <f>'Cashflow '!R15</f>
        <v>243.32076394952162</v>
      </c>
      <c r="Q5" s="690">
        <f>'Cashflow '!S15</f>
        <v>245.82696781820169</v>
      </c>
      <c r="R5" s="690">
        <f>'Cashflow '!T15</f>
        <v>248.33440288994734</v>
      </c>
    </row>
    <row r="6" spans="1:19">
      <c r="A6" s="675">
        <v>3</v>
      </c>
      <c r="B6" s="674" t="s">
        <v>637</v>
      </c>
      <c r="C6" s="686"/>
      <c r="D6" s="690">
        <f>'Cashflow '!F16</f>
        <v>19.441640992208814</v>
      </c>
      <c r="E6" s="690">
        <f>'Cashflow '!G16</f>
        <v>25.383839692613211</v>
      </c>
      <c r="F6" s="690">
        <f>'Cashflow '!H16</f>
        <v>27.214719641108754</v>
      </c>
      <c r="G6" s="690">
        <f>'Cashflow '!I16</f>
        <v>27.603890131976605</v>
      </c>
      <c r="H6" s="690">
        <f>'Cashflow '!J16</f>
        <v>27.990344593824283</v>
      </c>
      <c r="I6" s="690">
        <f>'Cashflow '!K16</f>
        <v>28.365415211381521</v>
      </c>
      <c r="J6" s="690">
        <f>'Cashflow '!L16</f>
        <v>28.745511775214037</v>
      </c>
      <c r="K6" s="690">
        <f>'Cashflow '!M16</f>
        <v>29.130701633001905</v>
      </c>
      <c r="L6" s="690">
        <f>'Cashflow '!N16</f>
        <v>29.52105303488413</v>
      </c>
      <c r="M6" s="690">
        <f>'Cashflow '!O16</f>
        <v>29.916635145551581</v>
      </c>
      <c r="N6" s="690">
        <f>'Cashflow '!P16</f>
        <v>30.317518056501967</v>
      </c>
      <c r="O6" s="690">
        <f>'Cashflow '!Q16</f>
        <v>30.723772798459098</v>
      </c>
      <c r="P6" s="690">
        <f>'Cashflow '!R16</f>
        <v>31.135471353958447</v>
      </c>
      <c r="Q6" s="690">
        <f>'Cashflow '!S16</f>
        <v>31.552686670101494</v>
      </c>
      <c r="R6" s="690">
        <f>'Cashflow '!T16</f>
        <v>31.975492671480851</v>
      </c>
    </row>
    <row r="7" spans="1:19">
      <c r="A7" s="675">
        <v>4</v>
      </c>
      <c r="B7" s="674" t="s">
        <v>636</v>
      </c>
      <c r="C7" s="686"/>
      <c r="D7" s="690">
        <f t="shared" ref="D7:R7" si="0">D4-D5-D6</f>
        <v>106.37938983780032</v>
      </c>
      <c r="E7" s="690">
        <f t="shared" si="0"/>
        <v>133.59940630704546</v>
      </c>
      <c r="F7" s="690">
        <f t="shared" si="0"/>
        <v>137.34296676903648</v>
      </c>
      <c r="G7" s="690">
        <f t="shared" si="0"/>
        <v>133.7960312779978</v>
      </c>
      <c r="H7" s="690">
        <f t="shared" si="0"/>
        <v>130.77211911801081</v>
      </c>
      <c r="I7" s="690">
        <f t="shared" si="0"/>
        <v>127.44088564539216</v>
      </c>
      <c r="J7" s="690">
        <f t="shared" si="0"/>
        <v>124.13208324358338</v>
      </c>
      <c r="K7" s="690">
        <f t="shared" si="0"/>
        <v>120.68922388654926</v>
      </c>
      <c r="L7" s="690">
        <f t="shared" si="0"/>
        <v>116.85559688746029</v>
      </c>
      <c r="M7" s="690">
        <f t="shared" si="0"/>
        <v>114.0368669631852</v>
      </c>
      <c r="N7" s="690">
        <f t="shared" si="0"/>
        <v>110.99930099745268</v>
      </c>
      <c r="O7" s="690">
        <f t="shared" si="0"/>
        <v>107.85541590661603</v>
      </c>
      <c r="P7" s="690">
        <f t="shared" si="0"/>
        <v>104.91539669651996</v>
      </c>
      <c r="Q7" s="690">
        <f t="shared" si="0"/>
        <v>101.99197751169685</v>
      </c>
      <c r="R7" s="690">
        <f t="shared" si="0"/>
        <v>99.061736438571842</v>
      </c>
    </row>
    <row r="8" spans="1:19">
      <c r="A8" s="675">
        <v>5</v>
      </c>
      <c r="B8" s="674" t="s">
        <v>13</v>
      </c>
      <c r="C8" s="686"/>
      <c r="D8" s="691">
        <f>'Cashflow '!F76</f>
        <v>20.827099284627533</v>
      </c>
      <c r="E8" s="691">
        <f>'Cashflow '!G76</f>
        <v>20.827099284627533</v>
      </c>
      <c r="F8" s="691">
        <f>'Cashflow '!H76</f>
        <v>20.827099284627533</v>
      </c>
      <c r="G8" s="691">
        <f>'Cashflow '!I76</f>
        <v>20.827099284627533</v>
      </c>
      <c r="H8" s="691">
        <f>'Cashflow '!J76</f>
        <v>20.827099284627533</v>
      </c>
      <c r="I8" s="691">
        <f>'Cashflow '!K76</f>
        <v>20.827099284627533</v>
      </c>
      <c r="J8" s="691">
        <f>'Cashflow '!L76</f>
        <v>20.827099284627533</v>
      </c>
      <c r="K8" s="691">
        <f>'Cashflow '!M76</f>
        <v>20.827099284627533</v>
      </c>
      <c r="L8" s="691">
        <f>'Cashflow '!N76</f>
        <v>20.827099284627533</v>
      </c>
      <c r="M8" s="691">
        <f>'Cashflow '!O76</f>
        <v>20.827099284627533</v>
      </c>
      <c r="N8" s="691">
        <f>'Cashflow '!P76</f>
        <v>20.827099284627533</v>
      </c>
      <c r="O8" s="691">
        <f>'Cashflow '!Q76</f>
        <v>20.827099284627533</v>
      </c>
      <c r="P8" s="691">
        <f>'Cashflow '!R76</f>
        <v>20.827099284627533</v>
      </c>
      <c r="Q8" s="691">
        <f>'Cashflow '!S76</f>
        <v>20.827099284627533</v>
      </c>
      <c r="R8" s="691">
        <f>'Cashflow '!T76</f>
        <v>20.827099284627533</v>
      </c>
    </row>
    <row r="9" spans="1:19">
      <c r="A9" s="675">
        <v>6</v>
      </c>
      <c r="B9" s="674" t="s">
        <v>635</v>
      </c>
      <c r="C9" s="686"/>
      <c r="D9" s="691">
        <f t="shared" ref="D9:R9" si="1">+D7-D8</f>
        <v>85.552290553172782</v>
      </c>
      <c r="E9" s="691">
        <f t="shared" si="1"/>
        <v>112.77230702241792</v>
      </c>
      <c r="F9" s="691">
        <f t="shared" si="1"/>
        <v>116.51586748440894</v>
      </c>
      <c r="G9" s="691">
        <f t="shared" si="1"/>
        <v>112.96893199337026</v>
      </c>
      <c r="H9" s="691">
        <f t="shared" si="1"/>
        <v>109.94501983338327</v>
      </c>
      <c r="I9" s="691">
        <f t="shared" si="1"/>
        <v>106.61378636076462</v>
      </c>
      <c r="J9" s="691">
        <f t="shared" si="1"/>
        <v>103.30498395895584</v>
      </c>
      <c r="K9" s="691">
        <f t="shared" si="1"/>
        <v>99.862124601921721</v>
      </c>
      <c r="L9" s="691">
        <f t="shared" si="1"/>
        <v>96.028497602832758</v>
      </c>
      <c r="M9" s="691">
        <f t="shared" si="1"/>
        <v>93.209767678557668</v>
      </c>
      <c r="N9" s="691">
        <f t="shared" si="1"/>
        <v>90.172201712825142</v>
      </c>
      <c r="O9" s="691">
        <f t="shared" si="1"/>
        <v>87.028316621988495</v>
      </c>
      <c r="P9" s="691">
        <f t="shared" si="1"/>
        <v>84.088297411892427</v>
      </c>
      <c r="Q9" s="691">
        <f t="shared" si="1"/>
        <v>81.164878227069309</v>
      </c>
      <c r="R9" s="691">
        <f t="shared" si="1"/>
        <v>78.234637153944306</v>
      </c>
    </row>
    <row r="10" spans="1:19">
      <c r="A10" s="675"/>
      <c r="B10" s="674" t="s">
        <v>634</v>
      </c>
      <c r="C10" s="686"/>
      <c r="D10" s="689">
        <f>'Cashflow '!F78/'Cashflow '!F77</f>
        <v>0</v>
      </c>
      <c r="E10" s="689">
        <f>'Cashflow '!G78/'Cashflow '!G77</f>
        <v>0</v>
      </c>
      <c r="F10" s="689">
        <f>'Cashflow '!H78/'Cashflow '!H77</f>
        <v>0.17238117800182157</v>
      </c>
      <c r="G10" s="689">
        <f>'Cashflow '!I78/'Cashflow '!I77</f>
        <v>0.30706019169632598</v>
      </c>
      <c r="H10" s="689">
        <f>'Cashflow '!J78/'Cashflow '!J77</f>
        <v>0.32654932576350171</v>
      </c>
      <c r="I10" s="689">
        <f>'Cashflow '!K78/'Cashflow '!K77</f>
        <v>0.34255383294210834</v>
      </c>
      <c r="J10" s="689">
        <f>'Cashflow '!L78/'Cashflow '!L77</f>
        <v>0.35577835093836774</v>
      </c>
      <c r="K10" s="689">
        <f>'Cashflow '!M78/'Cashflow '!M77</f>
        <v>0.3667059830469877</v>
      </c>
      <c r="L10" s="689">
        <f>'Cashflow '!N78/'Cashflow '!N77</f>
        <v>0.3758354156817309</v>
      </c>
      <c r="M10" s="689">
        <f>'Cashflow '!O78/'Cashflow '!O77</f>
        <v>0.38305906706485593</v>
      </c>
      <c r="N10" s="689">
        <f>'Cashflow '!P78/'Cashflow '!P77</f>
        <v>0.39100676035763643</v>
      </c>
      <c r="O10" s="689">
        <f>'Cashflow '!Q78/'Cashflow '!Q77</f>
        <v>0.39851867989500578</v>
      </c>
      <c r="P10" s="689">
        <f>'Cashflow '!R78/'Cashflow '!R77</f>
        <v>0.40552962617755445</v>
      </c>
      <c r="Q10" s="689">
        <f>'Cashflow '!S78/'Cashflow '!S77</f>
        <v>0.4122197981724538</v>
      </c>
      <c r="R10" s="689">
        <f>'Cashflow '!T78/'Cashflow '!T77</f>
        <v>0.41869589619282327</v>
      </c>
      <c r="S10" s="733">
        <f>+AVERAGE(D10:R10)</f>
        <v>0.3103929403954116</v>
      </c>
    </row>
    <row r="11" spans="1:19">
      <c r="A11" s="675">
        <v>7</v>
      </c>
      <c r="B11" s="674" t="s">
        <v>633</v>
      </c>
      <c r="C11" s="686"/>
      <c r="D11" s="682">
        <f t="shared" ref="D11:R11" si="2">+IF(D9&gt;0,D9*D10,0)</f>
        <v>0</v>
      </c>
      <c r="E11" s="682">
        <f t="shared" si="2"/>
        <v>0</v>
      </c>
      <c r="F11" s="682">
        <f t="shared" si="2"/>
        <v>20.085142492866552</v>
      </c>
      <c r="G11" s="682">
        <f t="shared" si="2"/>
        <v>34.688261913613488</v>
      </c>
      <c r="H11" s="682">
        <f t="shared" si="2"/>
        <v>35.902472097646132</v>
      </c>
      <c r="I11" s="682">
        <f t="shared" si="2"/>
        <v>36.520961162350993</v>
      </c>
      <c r="J11" s="682">
        <f t="shared" si="2"/>
        <v>36.75367683663184</v>
      </c>
      <c r="K11" s="682">
        <f t="shared" si="2"/>
        <v>36.620038571308477</v>
      </c>
      <c r="L11" s="682">
        <f t="shared" si="2"/>
        <v>36.090910313852746</v>
      </c>
      <c r="M11" s="682">
        <f t="shared" si="2"/>
        <v>35.70484664828026</v>
      </c>
      <c r="N11" s="682">
        <f t="shared" si="2"/>
        <v>35.257940466047074</v>
      </c>
      <c r="O11" s="682">
        <f t="shared" si="2"/>
        <v>34.682409853679445</v>
      </c>
      <c r="P11" s="682">
        <f t="shared" si="2"/>
        <v>34.100295815351757</v>
      </c>
      <c r="Q11" s="682">
        <f t="shared" si="2"/>
        <v>33.457769721454298</v>
      </c>
      <c r="R11" s="682">
        <f t="shared" si="2"/>
        <v>32.756521516491063</v>
      </c>
    </row>
    <row r="12" spans="1:19">
      <c r="A12" s="688">
        <v>8</v>
      </c>
      <c r="B12" s="687" t="s">
        <v>632</v>
      </c>
      <c r="C12" s="734"/>
      <c r="D12" s="735">
        <f>+-'Bal sheet'!E55</f>
        <v>-43.316811882446309</v>
      </c>
      <c r="E12" s="735">
        <f>+-'Bal sheet'!F55</f>
        <v>-56.18167990087435</v>
      </c>
      <c r="F12" s="735">
        <f>+-'Bal sheet'!G55</f>
        <v>-59.869812660390046</v>
      </c>
      <c r="G12" s="735">
        <f>+-'Bal sheet'!H55</f>
        <v>-60.416805531548782</v>
      </c>
      <c r="H12" s="735">
        <f>+-'Bal sheet'!I55</f>
        <v>-60.881941506299363</v>
      </c>
      <c r="I12" s="735">
        <f>+-'Bal sheet'!J55</f>
        <v>-61.395460020136532</v>
      </c>
      <c r="J12" s="735">
        <f>+-'Bal sheet'!K55</f>
        <v>-61.905355174034163</v>
      </c>
      <c r="K12" s="735">
        <f>+-'Bal sheet'!L55</f>
        <v>-62.436134803378998</v>
      </c>
      <c r="L12" s="735">
        <f>+-'Bal sheet'!M55</f>
        <v>-63.028003697587202</v>
      </c>
      <c r="M12" s="735">
        <f>+-'Bal sheet'!N55</f>
        <v>-63.46080372033196</v>
      </c>
      <c r="N12" s="735">
        <f>+-'Bal sheet'!O55</f>
        <v>-63.927761855044473</v>
      </c>
      <c r="O12" s="735">
        <f>+-'Bal sheet'!P55</f>
        <v>-64.411254032058508</v>
      </c>
      <c r="P12" s="735">
        <f>+-'Bal sheet'!Q55</f>
        <v>-64.862697186094508</v>
      </c>
      <c r="Q12" s="735">
        <f>+-'Bal sheet'!R55</f>
        <v>-65.311419484347994</v>
      </c>
      <c r="R12" s="735">
        <f>+-'Bal sheet'!S55</f>
        <v>-65.761087669813733</v>
      </c>
    </row>
    <row r="13" spans="1:19">
      <c r="A13" s="675">
        <v>9</v>
      </c>
      <c r="B13" s="674" t="s">
        <v>631</v>
      </c>
      <c r="C13" s="686"/>
      <c r="D13" s="683"/>
      <c r="E13" s="683"/>
      <c r="F13" s="683"/>
      <c r="G13" s="683"/>
      <c r="H13" s="683"/>
      <c r="I13" s="683"/>
      <c r="J13" s="683"/>
      <c r="K13" s="683"/>
      <c r="L13" s="683"/>
      <c r="M13" s="683"/>
      <c r="N13" s="683"/>
      <c r="O13" s="683"/>
      <c r="P13" s="683"/>
      <c r="Q13" s="683"/>
      <c r="R13" s="683"/>
    </row>
    <row r="14" spans="1:19">
      <c r="A14" s="675">
        <v>10</v>
      </c>
      <c r="B14" s="674" t="s">
        <v>626</v>
      </c>
      <c r="C14" s="686"/>
      <c r="D14" s="683">
        <f t="shared" ref="D14:Q14" si="3">+D7-D11+D12</f>
        <v>63.062577955354008</v>
      </c>
      <c r="E14" s="683">
        <f t="shared" si="3"/>
        <v>77.417726406171113</v>
      </c>
      <c r="F14" s="683">
        <f t="shared" si="3"/>
        <v>57.388011615779881</v>
      </c>
      <c r="G14" s="683">
        <f t="shared" si="3"/>
        <v>38.690963832835529</v>
      </c>
      <c r="H14" s="683">
        <f t="shared" si="3"/>
        <v>33.987705514065318</v>
      </c>
      <c r="I14" s="683">
        <f t="shared" si="3"/>
        <v>29.524464462904639</v>
      </c>
      <c r="J14" s="683">
        <f t="shared" si="3"/>
        <v>25.473051232917378</v>
      </c>
      <c r="K14" s="683">
        <f t="shared" si="3"/>
        <v>21.633050511861789</v>
      </c>
      <c r="L14" s="683">
        <f t="shared" si="3"/>
        <v>17.736682876020346</v>
      </c>
      <c r="M14" s="683">
        <f t="shared" si="3"/>
        <v>14.871216594572992</v>
      </c>
      <c r="N14" s="683">
        <f t="shared" si="3"/>
        <v>11.813598676361131</v>
      </c>
      <c r="O14" s="683">
        <f t="shared" si="3"/>
        <v>8.7617520208780775</v>
      </c>
      <c r="P14" s="683">
        <f t="shared" si="3"/>
        <v>5.9524036950736985</v>
      </c>
      <c r="Q14" s="683">
        <f t="shared" si="3"/>
        <v>3.2227883058945537</v>
      </c>
      <c r="R14" s="683">
        <f>+R7-R11+R12+R13</f>
        <v>0.54412725226704595</v>
      </c>
    </row>
    <row r="15" spans="1:19">
      <c r="A15" s="675">
        <v>11</v>
      </c>
      <c r="B15" s="685" t="s">
        <v>630</v>
      </c>
      <c r="C15" s="684">
        <f>-(Capex!B31-Capex!B30*0)</f>
        <v>-417.93782797061152</v>
      </c>
      <c r="D15" s="683"/>
      <c r="E15" s="683"/>
      <c r="F15" s="683"/>
      <c r="G15" s="683"/>
      <c r="H15" s="683"/>
      <c r="I15" s="683"/>
      <c r="J15" s="683"/>
      <c r="K15" s="683"/>
      <c r="L15" s="683"/>
      <c r="M15" s="683"/>
      <c r="N15" s="683"/>
      <c r="O15" s="683"/>
      <c r="P15" s="683"/>
      <c r="Q15" s="683"/>
      <c r="R15" s="683"/>
    </row>
    <row r="16" spans="1:19">
      <c r="A16" s="675">
        <v>12</v>
      </c>
      <c r="B16" s="674" t="s">
        <v>629</v>
      </c>
      <c r="C16" s="683">
        <f>C15</f>
        <v>-417.93782797061152</v>
      </c>
      <c r="D16" s="682">
        <f t="shared" ref="D16:R16" si="4">D14+D15</f>
        <v>63.062577955354008</v>
      </c>
      <c r="E16" s="682">
        <f t="shared" si="4"/>
        <v>77.417726406171113</v>
      </c>
      <c r="F16" s="682">
        <f t="shared" si="4"/>
        <v>57.388011615779881</v>
      </c>
      <c r="G16" s="682">
        <f t="shared" si="4"/>
        <v>38.690963832835529</v>
      </c>
      <c r="H16" s="682">
        <f t="shared" si="4"/>
        <v>33.987705514065318</v>
      </c>
      <c r="I16" s="682">
        <f t="shared" si="4"/>
        <v>29.524464462904639</v>
      </c>
      <c r="J16" s="682">
        <f t="shared" si="4"/>
        <v>25.473051232917378</v>
      </c>
      <c r="K16" s="682">
        <f t="shared" si="4"/>
        <v>21.633050511861789</v>
      </c>
      <c r="L16" s="682">
        <f t="shared" si="4"/>
        <v>17.736682876020346</v>
      </c>
      <c r="M16" s="682">
        <f t="shared" si="4"/>
        <v>14.871216594572992</v>
      </c>
      <c r="N16" s="682">
        <f t="shared" si="4"/>
        <v>11.813598676361131</v>
      </c>
      <c r="O16" s="682">
        <f t="shared" si="4"/>
        <v>8.7617520208780775</v>
      </c>
      <c r="P16" s="682">
        <f t="shared" si="4"/>
        <v>5.9524036950736985</v>
      </c>
      <c r="Q16" s="682">
        <f t="shared" si="4"/>
        <v>3.2227883058945537</v>
      </c>
      <c r="R16" s="682">
        <f t="shared" si="4"/>
        <v>0.54412725226704595</v>
      </c>
    </row>
    <row r="17" spans="1:18">
      <c r="A17" s="672"/>
      <c r="B17" s="672" t="s">
        <v>628</v>
      </c>
      <c r="C17" s="671">
        <f>IRR(C16:R16,0.1)</f>
        <v>-4.0321483624704557E-3</v>
      </c>
      <c r="D17" s="732"/>
      <c r="E17" s="732"/>
      <c r="F17" s="732"/>
      <c r="G17" s="732"/>
      <c r="H17" s="732"/>
      <c r="I17" s="732"/>
      <c r="J17" s="732"/>
      <c r="K17" s="732"/>
      <c r="L17" s="732"/>
      <c r="M17" s="732"/>
      <c r="N17" s="732"/>
      <c r="O17" s="732"/>
      <c r="P17" s="732"/>
      <c r="Q17" s="732"/>
      <c r="R17" s="732"/>
    </row>
    <row r="18" spans="1:18">
      <c r="A18" s="732"/>
      <c r="B18" s="681"/>
      <c r="C18" s="680"/>
      <c r="D18" s="680"/>
      <c r="E18" s="680"/>
      <c r="F18" s="680"/>
      <c r="G18" s="680"/>
      <c r="H18" s="680"/>
      <c r="I18" s="680"/>
      <c r="J18" s="680"/>
      <c r="K18" s="680"/>
      <c r="L18" s="680"/>
      <c r="M18" s="680"/>
      <c r="N18" s="680"/>
      <c r="O18" s="680"/>
      <c r="P18" s="680"/>
      <c r="Q18" s="680"/>
      <c r="R18" s="680"/>
    </row>
    <row r="19" spans="1:18">
      <c r="A19" s="732"/>
      <c r="B19" s="681"/>
      <c r="C19" s="680"/>
      <c r="D19" s="680"/>
      <c r="E19" s="680"/>
      <c r="F19" s="680"/>
      <c r="G19" s="680"/>
      <c r="H19" s="680"/>
      <c r="I19" s="680"/>
      <c r="J19" s="680"/>
      <c r="K19" s="680"/>
      <c r="L19" s="680"/>
      <c r="M19" s="680"/>
      <c r="N19" s="680"/>
      <c r="O19" s="680"/>
      <c r="P19" s="680"/>
      <c r="Q19" s="680"/>
      <c r="R19" s="680"/>
    </row>
    <row r="20" spans="1:18">
      <c r="A20" s="732"/>
      <c r="B20" s="670" t="s">
        <v>617</v>
      </c>
      <c r="C20" s="732"/>
      <c r="D20" s="732"/>
      <c r="E20" s="732"/>
      <c r="F20" s="732"/>
      <c r="G20" s="732"/>
      <c r="H20" s="732"/>
      <c r="I20" s="732"/>
      <c r="J20" s="732"/>
      <c r="K20" s="732"/>
      <c r="L20" s="732"/>
      <c r="M20" s="732"/>
      <c r="N20" s="732"/>
      <c r="O20" s="732"/>
      <c r="P20" s="732"/>
      <c r="Q20" s="732"/>
      <c r="R20" s="732"/>
    </row>
    <row r="21" spans="1:18">
      <c r="A21" s="679" t="s">
        <v>585</v>
      </c>
      <c r="B21" s="679" t="s">
        <v>464</v>
      </c>
      <c r="C21" s="679" t="s">
        <v>627</v>
      </c>
      <c r="D21" s="679">
        <v>1</v>
      </c>
      <c r="E21" s="679">
        <v>2</v>
      </c>
      <c r="F21" s="679">
        <v>3</v>
      </c>
      <c r="G21" s="679">
        <v>4</v>
      </c>
      <c r="H21" s="679">
        <v>5</v>
      </c>
      <c r="I21" s="679">
        <v>6</v>
      </c>
      <c r="J21" s="679">
        <v>7</v>
      </c>
      <c r="K21" s="679">
        <v>8</v>
      </c>
      <c r="L21" s="679">
        <v>9</v>
      </c>
      <c r="M21" s="679">
        <v>10</v>
      </c>
      <c r="N21" s="679">
        <v>11</v>
      </c>
      <c r="O21" s="679">
        <v>12</v>
      </c>
      <c r="P21" s="679">
        <v>13</v>
      </c>
      <c r="Q21" s="679">
        <v>14</v>
      </c>
      <c r="R21" s="679">
        <v>15</v>
      </c>
    </row>
    <row r="22" spans="1:18">
      <c r="A22" s="675">
        <v>1</v>
      </c>
      <c r="B22" s="674" t="s">
        <v>626</v>
      </c>
      <c r="C22" s="673">
        <v>0</v>
      </c>
      <c r="D22" s="673">
        <f t="shared" ref="D22:R22" si="5">D16</f>
        <v>63.062577955354008</v>
      </c>
      <c r="E22" s="673">
        <f t="shared" si="5"/>
        <v>77.417726406171113</v>
      </c>
      <c r="F22" s="673">
        <f t="shared" si="5"/>
        <v>57.388011615779881</v>
      </c>
      <c r="G22" s="673">
        <f t="shared" si="5"/>
        <v>38.690963832835529</v>
      </c>
      <c r="H22" s="673">
        <f t="shared" si="5"/>
        <v>33.987705514065318</v>
      </c>
      <c r="I22" s="673">
        <f t="shared" si="5"/>
        <v>29.524464462904639</v>
      </c>
      <c r="J22" s="673">
        <f t="shared" si="5"/>
        <v>25.473051232917378</v>
      </c>
      <c r="K22" s="673">
        <f t="shared" si="5"/>
        <v>21.633050511861789</v>
      </c>
      <c r="L22" s="673">
        <f t="shared" si="5"/>
        <v>17.736682876020346</v>
      </c>
      <c r="M22" s="673">
        <f t="shared" si="5"/>
        <v>14.871216594572992</v>
      </c>
      <c r="N22" s="673">
        <f t="shared" si="5"/>
        <v>11.813598676361131</v>
      </c>
      <c r="O22" s="673">
        <f t="shared" si="5"/>
        <v>8.7617520208780775</v>
      </c>
      <c r="P22" s="673">
        <f t="shared" si="5"/>
        <v>5.9524036950736985</v>
      </c>
      <c r="Q22" s="673">
        <f t="shared" si="5"/>
        <v>3.2227883058945537</v>
      </c>
      <c r="R22" s="673">
        <f t="shared" si="5"/>
        <v>0.54412725226704595</v>
      </c>
    </row>
    <row r="23" spans="1:18">
      <c r="A23" s="675">
        <v>2</v>
      </c>
      <c r="B23" s="674" t="s">
        <v>625</v>
      </c>
      <c r="C23" s="676"/>
      <c r="D23" s="673">
        <f>'Cashflow '!F75</f>
        <v>34.479870807575452</v>
      </c>
      <c r="E23" s="673">
        <f>'Cashflow '!G75</f>
        <v>37.324460149200419</v>
      </c>
      <c r="F23" s="673">
        <f>'Cashflow '!H75</f>
        <v>32.658902630550372</v>
      </c>
      <c r="G23" s="673">
        <f>'Cashflow '!I75</f>
        <v>27.993345111900318</v>
      </c>
      <c r="H23" s="673">
        <f>'Cashflow '!J75</f>
        <v>23.327787593250267</v>
      </c>
      <c r="I23" s="673">
        <f>'Cashflow '!K75</f>
        <v>18.662230074600213</v>
      </c>
      <c r="J23" s="673">
        <f>'Cashflow '!L75</f>
        <v>13.996672555950161</v>
      </c>
      <c r="K23" s="673">
        <f>'Cashflow '!M75</f>
        <v>9.3311150373001084</v>
      </c>
      <c r="L23" s="673">
        <f>'Cashflow '!N75</f>
        <v>4.665557518650056</v>
      </c>
      <c r="M23" s="673">
        <f>'Cashflow '!O75</f>
        <v>0</v>
      </c>
      <c r="N23" s="673">
        <f>'Cashflow '!P75</f>
        <v>0</v>
      </c>
      <c r="O23" s="673">
        <f>'Cashflow '!Q75</f>
        <v>0</v>
      </c>
      <c r="P23" s="673">
        <f>'Cashflow '!R75</f>
        <v>0</v>
      </c>
      <c r="Q23" s="673">
        <f>'Cashflow '!S75</f>
        <v>0</v>
      </c>
      <c r="R23" s="673">
        <f>'Cashflow '!T75</f>
        <v>0</v>
      </c>
    </row>
    <row r="24" spans="1:18">
      <c r="A24" s="675">
        <v>3</v>
      </c>
      <c r="B24" s="674" t="s">
        <v>624</v>
      </c>
      <c r="C24" s="676"/>
      <c r="D24" s="673">
        <f>'Cashflow '!E130</f>
        <v>42.414159260455023</v>
      </c>
      <c r="E24" s="673">
        <f>'Cashflow '!F130</f>
        <v>42.414159260455023</v>
      </c>
      <c r="F24" s="673">
        <f>'Cashflow '!G130</f>
        <v>42.414159260455023</v>
      </c>
      <c r="G24" s="673">
        <f>'Cashflow '!H130</f>
        <v>42.414159260455023</v>
      </c>
      <c r="H24" s="673">
        <f>'Cashflow '!I130</f>
        <v>42.414159260455023</v>
      </c>
      <c r="I24" s="673">
        <f>'Cashflow '!J130</f>
        <v>42.414159260455023</v>
      </c>
      <c r="J24" s="673">
        <f>'Cashflow '!K130</f>
        <v>42.414159260455023</v>
      </c>
      <c r="K24" s="673">
        <f>'Cashflow '!L130</f>
        <v>42.414159260455023</v>
      </c>
      <c r="L24" s="673">
        <f>'Cashflow '!M130</f>
        <v>0</v>
      </c>
      <c r="M24" s="673">
        <f>'Cashflow '!N130</f>
        <v>0</v>
      </c>
      <c r="N24" s="673">
        <f>'Cashflow '!O130</f>
        <v>0</v>
      </c>
      <c r="O24" s="673">
        <f>'Cashflow '!P130</f>
        <v>0</v>
      </c>
      <c r="P24" s="673">
        <f>'Cashflow '!Q130</f>
        <v>0</v>
      </c>
      <c r="Q24" s="673">
        <f>'Cashflow '!R130</f>
        <v>0</v>
      </c>
      <c r="R24" s="673">
        <f>'Cashflow '!S130</f>
        <v>0</v>
      </c>
    </row>
    <row r="25" spans="1:18">
      <c r="A25" s="675">
        <v>4</v>
      </c>
      <c r="B25" s="678" t="s">
        <v>623</v>
      </c>
      <c r="C25" s="676"/>
      <c r="D25" s="673">
        <f>'Cashflow '!F74</f>
        <v>0</v>
      </c>
      <c r="E25" s="673">
        <f>'Cashflow '!G74</f>
        <v>1.7044316953373124</v>
      </c>
      <c r="F25" s="673">
        <f>'Cashflow '!H74</f>
        <v>1.6468107415527553</v>
      </c>
      <c r="G25" s="673">
        <f>'Cashflow '!I74</f>
        <v>1.1591152320263052</v>
      </c>
      <c r="H25" s="673">
        <f>'Cashflow '!J74</f>
        <v>0.57608050256173648</v>
      </c>
      <c r="I25" s="673">
        <f>'Cashflow '!K74</f>
        <v>0</v>
      </c>
      <c r="J25" s="673">
        <f>'Cashflow '!L74</f>
        <v>0.26855597476158927</v>
      </c>
      <c r="K25" s="673">
        <f>'Cashflow '!M74</f>
        <v>1.6977309727885403</v>
      </c>
      <c r="L25" s="673">
        <f>'Cashflow '!N74</f>
        <v>3.3905551438500892</v>
      </c>
      <c r="M25" s="673">
        <f>'Cashflow '!O74</f>
        <v>1.562754564422445</v>
      </c>
      <c r="N25" s="673">
        <f>'Cashflow '!P74</f>
        <v>1.1213521408314121E-2</v>
      </c>
      <c r="O25" s="673">
        <f>'Cashflow '!Q74</f>
        <v>0</v>
      </c>
      <c r="P25" s="673">
        <f>'Cashflow '!R74</f>
        <v>0</v>
      </c>
      <c r="Q25" s="673">
        <f>'Cashflow '!S74</f>
        <v>0</v>
      </c>
      <c r="R25" s="673">
        <f>'Cashflow '!T74</f>
        <v>0</v>
      </c>
    </row>
    <row r="26" spans="1:18">
      <c r="A26" s="677">
        <v>5</v>
      </c>
      <c r="B26" s="674" t="s">
        <v>622</v>
      </c>
      <c r="C26" s="676"/>
      <c r="D26" s="673">
        <f t="shared" ref="D26:R26" si="6">D22-D23-D24-D25</f>
        <v>-13.831452112676466</v>
      </c>
      <c r="E26" s="673">
        <f t="shared" si="6"/>
        <v>-4.0253246988216418</v>
      </c>
      <c r="F26" s="673">
        <f t="shared" si="6"/>
        <v>-19.331861016778269</v>
      </c>
      <c r="G26" s="673">
        <f t="shared" si="6"/>
        <v>-32.875655771546114</v>
      </c>
      <c r="H26" s="673">
        <f t="shared" si="6"/>
        <v>-32.330321842201705</v>
      </c>
      <c r="I26" s="673">
        <f t="shared" si="6"/>
        <v>-31.551924872150597</v>
      </c>
      <c r="J26" s="673">
        <f t="shared" si="6"/>
        <v>-31.206336558249397</v>
      </c>
      <c r="K26" s="673">
        <f t="shared" si="6"/>
        <v>-31.809954758681883</v>
      </c>
      <c r="L26" s="673">
        <f t="shared" si="6"/>
        <v>9.6805702135202019</v>
      </c>
      <c r="M26" s="673">
        <f t="shared" si="6"/>
        <v>13.308462030150547</v>
      </c>
      <c r="N26" s="673">
        <f t="shared" si="6"/>
        <v>11.802385154952818</v>
      </c>
      <c r="O26" s="673">
        <f t="shared" si="6"/>
        <v>8.7617520208780775</v>
      </c>
      <c r="P26" s="673">
        <f t="shared" si="6"/>
        <v>5.9524036950736985</v>
      </c>
      <c r="Q26" s="673">
        <f t="shared" si="6"/>
        <v>3.2227883058945537</v>
      </c>
      <c r="R26" s="673">
        <f t="shared" si="6"/>
        <v>0.54412725226704595</v>
      </c>
    </row>
    <row r="27" spans="1:18">
      <c r="A27" s="677">
        <v>6</v>
      </c>
      <c r="B27" s="674" t="s">
        <v>621</v>
      </c>
      <c r="C27" s="676"/>
      <c r="D27" s="673">
        <f t="shared" ref="D27:R27" si="7">+D11</f>
        <v>0</v>
      </c>
      <c r="E27" s="673">
        <f t="shared" si="7"/>
        <v>0</v>
      </c>
      <c r="F27" s="673">
        <f t="shared" si="7"/>
        <v>20.085142492866552</v>
      </c>
      <c r="G27" s="673">
        <f t="shared" si="7"/>
        <v>34.688261913613488</v>
      </c>
      <c r="H27" s="673">
        <f t="shared" si="7"/>
        <v>35.902472097646132</v>
      </c>
      <c r="I27" s="673">
        <f t="shared" si="7"/>
        <v>36.520961162350993</v>
      </c>
      <c r="J27" s="673">
        <f t="shared" si="7"/>
        <v>36.75367683663184</v>
      </c>
      <c r="K27" s="673">
        <f t="shared" si="7"/>
        <v>36.620038571308477</v>
      </c>
      <c r="L27" s="673">
        <f t="shared" si="7"/>
        <v>36.090910313852746</v>
      </c>
      <c r="M27" s="673">
        <f t="shared" si="7"/>
        <v>35.70484664828026</v>
      </c>
      <c r="N27" s="673">
        <f t="shared" si="7"/>
        <v>35.257940466047074</v>
      </c>
      <c r="O27" s="673">
        <f t="shared" si="7"/>
        <v>34.682409853679445</v>
      </c>
      <c r="P27" s="673">
        <f t="shared" si="7"/>
        <v>34.100295815351757</v>
      </c>
      <c r="Q27" s="673">
        <f t="shared" si="7"/>
        <v>33.457769721454298</v>
      </c>
      <c r="R27" s="673">
        <f t="shared" si="7"/>
        <v>32.756521516491063</v>
      </c>
    </row>
    <row r="28" spans="1:18">
      <c r="A28" s="677">
        <v>7</v>
      </c>
      <c r="B28" s="674" t="s">
        <v>620</v>
      </c>
      <c r="C28" s="676"/>
      <c r="D28" s="673">
        <f>'Cashflow '!C151</f>
        <v>0</v>
      </c>
      <c r="E28" s="673">
        <f>'Cashflow '!D151</f>
        <v>0</v>
      </c>
      <c r="F28" s="673">
        <f>'Cashflow '!E151</f>
        <v>14.45536238516549</v>
      </c>
      <c r="G28" s="673">
        <f>'Cashflow '!F151</f>
        <v>26.092619997331965</v>
      </c>
      <c r="H28" s="673">
        <f>'Cashflow '!G151</f>
        <v>28.284798787516078</v>
      </c>
      <c r="I28" s="673">
        <f>'Cashflow '!H151</f>
        <v>30.128142719049194</v>
      </c>
      <c r="J28" s="673">
        <f>'Cashflow '!I151</f>
        <v>31.773963756051593</v>
      </c>
      <c r="K28" s="673">
        <f>'Cashflow '!J151</f>
        <v>33.198262858630812</v>
      </c>
      <c r="L28" s="673">
        <f>'Cashflow '!K151</f>
        <v>34.337428564443883</v>
      </c>
      <c r="M28" s="673">
        <f>'Cashflow '!L151</f>
        <v>35.704846648280267</v>
      </c>
      <c r="N28" s="673">
        <f>'Cashflow '!M151</f>
        <v>35.257940466047074</v>
      </c>
      <c r="O28" s="673">
        <f>'Cashflow '!N151</f>
        <v>34.682409853679445</v>
      </c>
      <c r="P28" s="673">
        <f>'Cashflow '!O151</f>
        <v>34.100295815351757</v>
      </c>
      <c r="Q28" s="673">
        <f>'Cashflow '!P151</f>
        <v>33.457769721454305</v>
      </c>
      <c r="R28" s="673">
        <f>'Cashflow '!Q151</f>
        <v>32.756521516491048</v>
      </c>
    </row>
    <row r="29" spans="1:18">
      <c r="A29" s="675">
        <v>8</v>
      </c>
      <c r="B29" s="674" t="s">
        <v>619</v>
      </c>
      <c r="C29" s="673">
        <f>-(Capex!B31-Capex!B30+Capex!B32-'Cashflow '!D54)</f>
        <v>-102.27522172393526</v>
      </c>
      <c r="D29" s="673"/>
      <c r="E29" s="673"/>
      <c r="F29" s="673"/>
      <c r="G29" s="673"/>
      <c r="H29" s="673"/>
      <c r="I29" s="673"/>
      <c r="J29" s="673"/>
      <c r="K29" s="673"/>
      <c r="L29" s="673"/>
      <c r="M29" s="673"/>
      <c r="N29" s="673"/>
      <c r="O29" s="673"/>
      <c r="P29" s="673"/>
      <c r="Q29" s="673"/>
      <c r="R29" s="673"/>
    </row>
    <row r="30" spans="1:18">
      <c r="A30" s="675">
        <v>9</v>
      </c>
      <c r="B30" s="674" t="s">
        <v>618</v>
      </c>
      <c r="C30" s="673">
        <f>C29</f>
        <v>-102.27522172393526</v>
      </c>
      <c r="D30" s="673">
        <f t="shared" ref="D30:R30" si="8">D26+D27-D28+D29</f>
        <v>-13.831452112676466</v>
      </c>
      <c r="E30" s="673">
        <f t="shared" si="8"/>
        <v>-4.0253246988216418</v>
      </c>
      <c r="F30" s="673">
        <f t="shared" si="8"/>
        <v>-13.702080909077207</v>
      </c>
      <c r="G30" s="673">
        <f t="shared" si="8"/>
        <v>-24.280013855264592</v>
      </c>
      <c r="H30" s="673">
        <f t="shared" si="8"/>
        <v>-24.71264853207165</v>
      </c>
      <c r="I30" s="673">
        <f t="shared" si="8"/>
        <v>-25.159106428848798</v>
      </c>
      <c r="J30" s="673">
        <f t="shared" si="8"/>
        <v>-26.22662347766915</v>
      </c>
      <c r="K30" s="673">
        <f t="shared" si="8"/>
        <v>-28.388179046004218</v>
      </c>
      <c r="L30" s="673">
        <f t="shared" si="8"/>
        <v>11.434051962929061</v>
      </c>
      <c r="M30" s="673">
        <f t="shared" si="8"/>
        <v>13.308462030150537</v>
      </c>
      <c r="N30" s="673">
        <f t="shared" si="8"/>
        <v>11.802385154952816</v>
      </c>
      <c r="O30" s="673">
        <f t="shared" si="8"/>
        <v>8.7617520208780775</v>
      </c>
      <c r="P30" s="673">
        <f t="shared" si="8"/>
        <v>5.9524036950736985</v>
      </c>
      <c r="Q30" s="673">
        <f t="shared" si="8"/>
        <v>3.2227883058945466</v>
      </c>
      <c r="R30" s="673">
        <f t="shared" si="8"/>
        <v>0.54412725226706016</v>
      </c>
    </row>
    <row r="31" spans="1:18">
      <c r="A31" s="672"/>
      <c r="B31" s="672" t="s">
        <v>617</v>
      </c>
      <c r="C31" s="671">
        <f>IRR(C30:R30,0.1)</f>
        <v>-0.20122685878636026</v>
      </c>
      <c r="D31" s="732"/>
      <c r="E31" s="732"/>
      <c r="F31" s="732"/>
      <c r="G31" s="732"/>
      <c r="H31" s="732"/>
      <c r="I31" s="732"/>
      <c r="J31" s="732"/>
      <c r="K31" s="732"/>
      <c r="L31" s="732"/>
      <c r="M31" s="732"/>
      <c r="N31" s="732"/>
      <c r="O31" s="732"/>
      <c r="P31" s="732"/>
      <c r="Q31" s="732"/>
      <c r="R31" s="732"/>
    </row>
    <row r="33" spans="2:18">
      <c r="B33" s="670"/>
      <c r="C33" s="736"/>
      <c r="D33" s="736"/>
      <c r="E33" s="736"/>
      <c r="F33" s="736"/>
      <c r="G33" s="736"/>
      <c r="H33" s="736"/>
      <c r="I33" s="736"/>
      <c r="J33" s="736"/>
      <c r="K33" s="736"/>
      <c r="L33" s="736"/>
    </row>
    <row r="34" spans="2:18">
      <c r="B34" s="1" t="s">
        <v>616</v>
      </c>
    </row>
    <row r="35" spans="2:18" hidden="1">
      <c r="B35" s="734" t="s">
        <v>615</v>
      </c>
      <c r="C35" s="734"/>
      <c r="D35" s="734"/>
      <c r="E35" s="734"/>
      <c r="F35" s="734"/>
      <c r="G35" s="734"/>
      <c r="H35" s="734"/>
      <c r="I35" s="734"/>
      <c r="J35" s="734"/>
      <c r="K35" s="734"/>
      <c r="L35" s="734"/>
      <c r="M35" s="734"/>
      <c r="N35" s="734"/>
      <c r="O35" s="734"/>
      <c r="P35" s="734"/>
      <c r="Q35" s="734"/>
      <c r="R35" s="734"/>
    </row>
    <row r="36" spans="2:18" hidden="1">
      <c r="B36" s="734" t="s">
        <v>614</v>
      </c>
      <c r="C36" s="737">
        <f>C16</f>
        <v>-417.93782797061152</v>
      </c>
      <c r="D36" s="738">
        <f>'[6]Nitric Acid'!C167+'[6]Nitric Acid'!C166</f>
        <v>2688.8627897812876</v>
      </c>
      <c r="E36" s="738">
        <f>'[6]Nitric Acid'!D167+'[6]Nitric Acid'!D166</f>
        <v>3743.3003890095601</v>
      </c>
      <c r="F36" s="738">
        <f>'[6]Nitric Acid'!E167+'[6]Nitric Acid'!E166</f>
        <v>5098.0554833684273</v>
      </c>
      <c r="G36" s="738">
        <f>'[6]Nitric Acid'!F167+'[6]Nitric Acid'!F166</f>
        <v>5500.3472264890779</v>
      </c>
      <c r="H36" s="738">
        <f>'[6]Nitric Acid'!G167+'[6]Nitric Acid'!G166</f>
        <v>5963.8470568367447</v>
      </c>
      <c r="I36" s="738">
        <f>'[6]Nitric Acid'!H167+'[6]Nitric Acid'!H166</f>
        <v>6459.375614345181</v>
      </c>
      <c r="J36" s="738">
        <f>'[6]Nitric Acid'!I167+'[6]Nitric Acid'!I166</f>
        <v>6989.212515848355</v>
      </c>
      <c r="K36" s="738">
        <f>'[6]Nitric Acid'!J167+'[6]Nitric Acid'!J166</f>
        <v>7525.8163190771829</v>
      </c>
      <c r="L36" s="738">
        <f>'[6]Nitric Acid'!K167+'[6]Nitric Acid'!K166</f>
        <v>7909.4045500775528</v>
      </c>
      <c r="M36" s="738">
        <f>'[6]Nitric Acid'!L167+'[6]Nitric Acid'!L166</f>
        <v>7835.738313936642</v>
      </c>
      <c r="N36" s="738">
        <f>'[6]Nitric Acid'!M167+'[6]Nitric Acid'!M166</f>
        <v>7759.1750739301415</v>
      </c>
      <c r="O36" s="738">
        <f>'[6]Nitric Acid'!N167+'[6]Nitric Acid'!N166</f>
        <v>7679.5935691030163</v>
      </c>
      <c r="P36" s="738">
        <f>'[6]Nitric Acid'!O167+'[6]Nitric Acid'!O166</f>
        <v>7596.8671831296224</v>
      </c>
      <c r="Q36" s="738">
        <f>'[6]Nitric Acid'!P167+'[6]Nitric Acid'!P166</f>
        <v>7510.8636977755077</v>
      </c>
      <c r="R36" s="738">
        <f>'[6]Nitric Acid'!Q167+'[6]Nitric Acid'!Q166</f>
        <v>7421.4450346691656</v>
      </c>
    </row>
    <row r="37" spans="2:18" hidden="1">
      <c r="B37" s="734" t="s">
        <v>19</v>
      </c>
      <c r="C37" s="739">
        <f>IRR(C36:R36,0.1)</f>
        <v>6.8120772223605064</v>
      </c>
      <c r="D37" s="734"/>
      <c r="E37" s="734"/>
      <c r="F37" s="734"/>
      <c r="G37" s="734"/>
      <c r="H37" s="734"/>
      <c r="I37" s="734"/>
      <c r="J37" s="734"/>
      <c r="K37" s="734"/>
      <c r="L37" s="734"/>
      <c r="M37" s="734"/>
      <c r="N37" s="734"/>
      <c r="O37" s="734"/>
      <c r="P37" s="734"/>
      <c r="Q37" s="734"/>
      <c r="R37" s="734"/>
    </row>
    <row r="38" spans="2:18" hidden="1">
      <c r="B38" s="734" t="s">
        <v>613</v>
      </c>
      <c r="C38" s="737">
        <f>C36</f>
        <v>-417.93782797061152</v>
      </c>
      <c r="D38" s="738">
        <f>'[6]Nitric Acid'!C169+'[6]Nitric Acid'!C166</f>
        <v>2596.8074005846629</v>
      </c>
      <c r="E38" s="738">
        <f>'[6]Nitric Acid'!D169+'[6]Nitric Acid'!D166</f>
        <v>3467.0136624757715</v>
      </c>
      <c r="F38" s="738">
        <f>'[6]Nitric Acid'!E169+'[6]Nitric Acid'!E166</f>
        <v>4585.0659467482574</v>
      </c>
      <c r="G38" s="738">
        <f>'[6]Nitric Acid'!F169+'[6]Nitric Acid'!F166</f>
        <v>4917.0692765108679</v>
      </c>
      <c r="H38" s="738">
        <f>'[6]Nitric Acid'!G169+'[6]Nitric Acid'!G166</f>
        <v>5299.5864165001904</v>
      </c>
      <c r="I38" s="738">
        <f>'[6]Nitric Acid'!H169+'[6]Nitric Acid'!H166</f>
        <v>5708.5362244407534</v>
      </c>
      <c r="J38" s="738">
        <f>'[6]Nitric Acid'!I169+'[6]Nitric Acid'!I166</f>
        <v>6145.8000225132928</v>
      </c>
      <c r="K38" s="738">
        <f>'[6]Nitric Acid'!J169+'[6]Nitric Acid'!J166</f>
        <v>6588.6484092419796</v>
      </c>
      <c r="L38" s="738">
        <f>'[6]Nitric Acid'!K169+'[6]Nitric Acid'!K166</f>
        <v>6905.2161045219646</v>
      </c>
      <c r="M38" s="738">
        <f>'[6]Nitric Acid'!L169+'[6]Nitric Acid'!L166</f>
        <v>6844.4208331595937</v>
      </c>
      <c r="N38" s="738">
        <f>'[6]Nitric Acid'!M169+'[6]Nitric Acid'!M166</f>
        <v>5517.1483596921034</v>
      </c>
      <c r="O38" s="738">
        <f>'[6]Nitric Acid'!N169+'[6]Nitric Acid'!N166</f>
        <v>5319.1091295302012</v>
      </c>
      <c r="P38" s="738">
        <f>'[6]Nitric Acid'!O169+'[6]Nitric Acid'!O166</f>
        <v>5218.3867350724922</v>
      </c>
      <c r="Q38" s="738">
        <f>'[6]Nitric Acid'!P169+'[6]Nitric Acid'!P166</f>
        <v>5122.412278983159</v>
      </c>
      <c r="R38" s="738">
        <f>'[6]Nitric Acid'!Q169+'[6]Nitric Acid'!Q166</f>
        <v>5030.0795197134412</v>
      </c>
    </row>
    <row r="39" spans="2:18" hidden="1">
      <c r="B39" s="734" t="s">
        <v>19</v>
      </c>
      <c r="C39" s="740">
        <f>IRR(C38:R38,0.1)</f>
        <v>6.5388253342696983</v>
      </c>
      <c r="D39" s="734"/>
      <c r="E39" s="734"/>
      <c r="F39" s="734"/>
      <c r="G39" s="734"/>
      <c r="H39" s="734"/>
      <c r="I39" s="734"/>
      <c r="J39" s="734"/>
      <c r="K39" s="734"/>
      <c r="L39" s="734"/>
      <c r="M39" s="734"/>
      <c r="N39" s="734"/>
      <c r="O39" s="734"/>
      <c r="P39" s="734"/>
      <c r="Q39" s="734"/>
      <c r="R39" s="734"/>
    </row>
    <row r="40" spans="2:18" hidden="1"/>
    <row r="41" spans="2:18">
      <c r="B41" s="741" t="s">
        <v>610</v>
      </c>
      <c r="C41" s="742">
        <f>Capex!B31+Capex!B32</f>
        <v>452.41769877818695</v>
      </c>
      <c r="D41" s="741"/>
      <c r="E41" s="741"/>
      <c r="F41" s="741"/>
      <c r="G41" s="741"/>
      <c r="H41" s="741"/>
      <c r="I41" s="741"/>
      <c r="J41" s="741"/>
      <c r="K41" s="741"/>
      <c r="L41" s="741"/>
      <c r="M41" s="741"/>
      <c r="N41" s="741"/>
      <c r="O41" s="741"/>
      <c r="P41" s="741"/>
      <c r="Q41" s="741"/>
      <c r="R41" s="741"/>
    </row>
    <row r="42" spans="2:18">
      <c r="B42" s="741"/>
      <c r="C42" s="741"/>
      <c r="D42" s="741"/>
      <c r="E42" s="741"/>
      <c r="F42" s="741"/>
      <c r="G42" s="741"/>
      <c r="H42" s="741"/>
      <c r="I42" s="741"/>
      <c r="J42" s="741"/>
      <c r="K42" s="741"/>
      <c r="L42" s="741"/>
      <c r="M42" s="741"/>
      <c r="N42" s="741"/>
      <c r="O42" s="741"/>
      <c r="P42" s="741"/>
      <c r="Q42" s="741"/>
      <c r="R42" s="741"/>
    </row>
    <row r="43" spans="2:18">
      <c r="B43" s="741" t="s">
        <v>296</v>
      </c>
      <c r="C43" s="743"/>
      <c r="D43" s="744">
        <f>'Cashflow '!F79</f>
        <v>51.07241974559733</v>
      </c>
      <c r="E43" s="744">
        <f>'Cashflow '!G79</f>
        <v>75.4478468732175</v>
      </c>
      <c r="F43" s="744">
        <f>'Cashflow '!H79</f>
        <v>69.401602468693085</v>
      </c>
      <c r="G43" s="744">
        <f>'Cashflow '!I79</f>
        <v>58.882966884137986</v>
      </c>
      <c r="H43" s="744">
        <f>'Cashflow '!J79</f>
        <v>58.332433452616925</v>
      </c>
      <c r="I43" s="744">
        <f>'Cashflow '!K79</f>
        <v>57.823413567115196</v>
      </c>
      <c r="J43" s="744">
        <f>'Cashflow '!L79</f>
        <v>57.53434764695411</v>
      </c>
      <c r="K43" s="744">
        <f>'Cashflow '!M79</f>
        <v>57.3327467059908</v>
      </c>
      <c r="L43" s="744">
        <f>'Cashflow '!N79</f>
        <v>57.025511519738828</v>
      </c>
      <c r="M43" s="744">
        <f>'Cashflow '!O79</f>
        <v>57.504921030277416</v>
      </c>
      <c r="N43" s="744">
        <f>'Cashflow '!P79</f>
        <v>54.914261246778068</v>
      </c>
      <c r="O43" s="744">
        <f>'Cashflow '!Q79</f>
        <v>52.34590676830905</v>
      </c>
      <c r="P43" s="744">
        <f>'Cashflow '!R79</f>
        <v>49.98800159654067</v>
      </c>
      <c r="Q43" s="744">
        <f>'Cashflow '!S79</f>
        <v>47.707108505615018</v>
      </c>
      <c r="R43" s="744">
        <f>'Cashflow '!T79</f>
        <v>45.478115637453229</v>
      </c>
    </row>
    <row r="44" spans="2:18">
      <c r="B44" s="741" t="s">
        <v>609</v>
      </c>
      <c r="C44" s="741"/>
      <c r="D44" s="744">
        <f t="shared" ref="D44:R44" si="9">+D8</f>
        <v>20.827099284627533</v>
      </c>
      <c r="E44" s="744">
        <f t="shared" si="9"/>
        <v>20.827099284627533</v>
      </c>
      <c r="F44" s="744">
        <f t="shared" si="9"/>
        <v>20.827099284627533</v>
      </c>
      <c r="G44" s="744">
        <f t="shared" si="9"/>
        <v>20.827099284627533</v>
      </c>
      <c r="H44" s="744">
        <f t="shared" si="9"/>
        <v>20.827099284627533</v>
      </c>
      <c r="I44" s="744">
        <f t="shared" si="9"/>
        <v>20.827099284627533</v>
      </c>
      <c r="J44" s="744">
        <f t="shared" si="9"/>
        <v>20.827099284627533</v>
      </c>
      <c r="K44" s="744">
        <f t="shared" si="9"/>
        <v>20.827099284627533</v>
      </c>
      <c r="L44" s="744">
        <f t="shared" si="9"/>
        <v>20.827099284627533</v>
      </c>
      <c r="M44" s="744">
        <f t="shared" si="9"/>
        <v>20.827099284627533</v>
      </c>
      <c r="N44" s="744">
        <f t="shared" si="9"/>
        <v>20.827099284627533</v>
      </c>
      <c r="O44" s="744">
        <f t="shared" si="9"/>
        <v>20.827099284627533</v>
      </c>
      <c r="P44" s="744">
        <f t="shared" si="9"/>
        <v>20.827099284627533</v>
      </c>
      <c r="Q44" s="744">
        <f t="shared" si="9"/>
        <v>20.827099284627533</v>
      </c>
      <c r="R44" s="744">
        <f t="shared" si="9"/>
        <v>20.827099284627533</v>
      </c>
    </row>
    <row r="45" spans="2:18">
      <c r="B45" s="745" t="s">
        <v>606</v>
      </c>
      <c r="C45" s="741"/>
      <c r="D45" s="744">
        <f t="shared" ref="D45:R45" si="10">D23*(1-D10)</f>
        <v>34.479870807575452</v>
      </c>
      <c r="E45" s="744">
        <f t="shared" si="10"/>
        <v>37.324460149200419</v>
      </c>
      <c r="F45" s="744">
        <f t="shared" si="10"/>
        <v>27.02912252284931</v>
      </c>
      <c r="G45" s="744">
        <f t="shared" si="10"/>
        <v>19.397703195618796</v>
      </c>
      <c r="H45" s="744">
        <f t="shared" si="10"/>
        <v>15.710114283120213</v>
      </c>
      <c r="I45" s="744">
        <f t="shared" si="10"/>
        <v>12.269411631298423</v>
      </c>
      <c r="J45" s="744">
        <f t="shared" si="10"/>
        <v>9.0169594753699034</v>
      </c>
      <c r="K45" s="744">
        <f t="shared" si="10"/>
        <v>5.9093393246224437</v>
      </c>
      <c r="L45" s="744">
        <f t="shared" si="10"/>
        <v>2.9120757692411869</v>
      </c>
      <c r="M45" s="744">
        <f t="shared" si="10"/>
        <v>0</v>
      </c>
      <c r="N45" s="744">
        <f t="shared" si="10"/>
        <v>0</v>
      </c>
      <c r="O45" s="744">
        <f t="shared" si="10"/>
        <v>0</v>
      </c>
      <c r="P45" s="744">
        <f t="shared" si="10"/>
        <v>0</v>
      </c>
      <c r="Q45" s="744">
        <f t="shared" si="10"/>
        <v>0</v>
      </c>
      <c r="R45" s="744">
        <f t="shared" si="10"/>
        <v>0</v>
      </c>
    </row>
    <row r="46" spans="2:18">
      <c r="B46" s="741" t="s">
        <v>605</v>
      </c>
      <c r="C46" s="741"/>
      <c r="D46" s="744">
        <f t="shared" ref="D46:R46" si="11">+D43+D44+D45</f>
        <v>106.37938983780032</v>
      </c>
      <c r="E46" s="744">
        <f t="shared" si="11"/>
        <v>133.59940630704546</v>
      </c>
      <c r="F46" s="744">
        <f t="shared" si="11"/>
        <v>117.25782427616993</v>
      </c>
      <c r="G46" s="744">
        <f t="shared" si="11"/>
        <v>99.107769364384325</v>
      </c>
      <c r="H46" s="744">
        <f t="shared" si="11"/>
        <v>94.869647020364681</v>
      </c>
      <c r="I46" s="744">
        <f t="shared" si="11"/>
        <v>90.919924483041157</v>
      </c>
      <c r="J46" s="744">
        <f t="shared" si="11"/>
        <v>87.378406406951541</v>
      </c>
      <c r="K46" s="744">
        <f t="shared" si="11"/>
        <v>84.069185315240787</v>
      </c>
      <c r="L46" s="744">
        <f t="shared" si="11"/>
        <v>80.764686573607548</v>
      </c>
      <c r="M46" s="744">
        <f t="shared" si="11"/>
        <v>78.332020314904952</v>
      </c>
      <c r="N46" s="744">
        <f t="shared" si="11"/>
        <v>75.741360531405604</v>
      </c>
      <c r="O46" s="744">
        <f t="shared" si="11"/>
        <v>73.173006052936586</v>
      </c>
      <c r="P46" s="744">
        <f t="shared" si="11"/>
        <v>70.815100881168206</v>
      </c>
      <c r="Q46" s="744">
        <f t="shared" si="11"/>
        <v>68.534207790242547</v>
      </c>
      <c r="R46" s="744">
        <f t="shared" si="11"/>
        <v>66.305214922080765</v>
      </c>
    </row>
    <row r="47" spans="2:18">
      <c r="B47" s="741" t="s">
        <v>604</v>
      </c>
      <c r="C47" s="741"/>
      <c r="D47" s="744">
        <f>C41-D46</f>
        <v>346.03830894038663</v>
      </c>
      <c r="E47" s="744">
        <f t="shared" ref="E47:R47" si="12">D47-E46</f>
        <v>212.43890263334117</v>
      </c>
      <c r="F47" s="744">
        <f t="shared" si="12"/>
        <v>95.181078357171245</v>
      </c>
      <c r="G47" s="744">
        <f t="shared" si="12"/>
        <v>-3.9266910072130798</v>
      </c>
      <c r="H47" s="744">
        <f t="shared" si="12"/>
        <v>-98.796338027577761</v>
      </c>
      <c r="I47" s="744">
        <f t="shared" si="12"/>
        <v>-189.71626251061892</v>
      </c>
      <c r="J47" s="744">
        <f t="shared" si="12"/>
        <v>-277.09466891757046</v>
      </c>
      <c r="K47" s="744">
        <f t="shared" si="12"/>
        <v>-361.16385423281122</v>
      </c>
      <c r="L47" s="744">
        <f t="shared" si="12"/>
        <v>-441.92854080641877</v>
      </c>
      <c r="M47" s="744">
        <f t="shared" si="12"/>
        <v>-520.26056112132369</v>
      </c>
      <c r="N47" s="744">
        <f t="shared" si="12"/>
        <v>-596.00192165272927</v>
      </c>
      <c r="O47" s="744">
        <f t="shared" si="12"/>
        <v>-669.17492770566582</v>
      </c>
      <c r="P47" s="744">
        <f t="shared" si="12"/>
        <v>-739.990028586834</v>
      </c>
      <c r="Q47" s="744">
        <f t="shared" si="12"/>
        <v>-808.52423637707659</v>
      </c>
      <c r="R47" s="744">
        <f t="shared" si="12"/>
        <v>-874.82945129915731</v>
      </c>
    </row>
    <row r="49" spans="2:18">
      <c r="B49" s="746" t="s">
        <v>603</v>
      </c>
      <c r="C49" s="747" t="s">
        <v>612</v>
      </c>
    </row>
    <row r="51" spans="2:18">
      <c r="B51" s="747" t="s">
        <v>611</v>
      </c>
    </row>
    <row r="52" spans="2:18">
      <c r="B52" s="741" t="s">
        <v>610</v>
      </c>
      <c r="C52" s="742">
        <f>+C41</f>
        <v>452.41769877818695</v>
      </c>
      <c r="D52" s="741"/>
      <c r="E52" s="741"/>
      <c r="F52" s="741"/>
      <c r="G52" s="741"/>
      <c r="H52" s="741"/>
      <c r="I52" s="741"/>
      <c r="J52" s="741"/>
      <c r="K52" s="741"/>
      <c r="L52" s="741"/>
      <c r="M52" s="741"/>
      <c r="N52" s="741"/>
      <c r="O52" s="741"/>
      <c r="P52" s="741"/>
      <c r="Q52" s="741"/>
      <c r="R52" s="741"/>
    </row>
    <row r="53" spans="2:18">
      <c r="B53" s="741"/>
      <c r="C53" s="741"/>
      <c r="D53" s="741"/>
      <c r="E53" s="741"/>
      <c r="F53" s="741"/>
      <c r="G53" s="741"/>
      <c r="H53" s="741"/>
      <c r="I53" s="741"/>
      <c r="J53" s="741"/>
      <c r="K53" s="741"/>
      <c r="L53" s="741"/>
      <c r="M53" s="741"/>
      <c r="N53" s="741"/>
      <c r="O53" s="741"/>
      <c r="P53" s="741"/>
      <c r="Q53" s="741"/>
      <c r="R53" s="741"/>
    </row>
    <row r="54" spans="2:18">
      <c r="B54" s="741" t="s">
        <v>296</v>
      </c>
      <c r="C54" s="743"/>
      <c r="D54" s="744">
        <f t="shared" ref="D54:R54" si="13">+D43</f>
        <v>51.07241974559733</v>
      </c>
      <c r="E54" s="744">
        <f t="shared" si="13"/>
        <v>75.4478468732175</v>
      </c>
      <c r="F54" s="744">
        <f t="shared" si="13"/>
        <v>69.401602468693085</v>
      </c>
      <c r="G54" s="744">
        <f t="shared" si="13"/>
        <v>58.882966884137986</v>
      </c>
      <c r="H54" s="744">
        <f t="shared" si="13"/>
        <v>58.332433452616925</v>
      </c>
      <c r="I54" s="744">
        <f t="shared" si="13"/>
        <v>57.823413567115196</v>
      </c>
      <c r="J54" s="744">
        <f t="shared" si="13"/>
        <v>57.53434764695411</v>
      </c>
      <c r="K54" s="744">
        <f t="shared" si="13"/>
        <v>57.3327467059908</v>
      </c>
      <c r="L54" s="744">
        <f t="shared" si="13"/>
        <v>57.025511519738828</v>
      </c>
      <c r="M54" s="744">
        <f t="shared" si="13"/>
        <v>57.504921030277416</v>
      </c>
      <c r="N54" s="744">
        <f t="shared" si="13"/>
        <v>54.914261246778068</v>
      </c>
      <c r="O54" s="744">
        <f t="shared" si="13"/>
        <v>52.34590676830905</v>
      </c>
      <c r="P54" s="744">
        <f t="shared" si="13"/>
        <v>49.98800159654067</v>
      </c>
      <c r="Q54" s="744">
        <f t="shared" si="13"/>
        <v>47.707108505615018</v>
      </c>
      <c r="R54" s="744">
        <f t="shared" si="13"/>
        <v>45.478115637453229</v>
      </c>
    </row>
    <row r="55" spans="2:18">
      <c r="B55" s="741" t="s">
        <v>609</v>
      </c>
      <c r="C55" s="741"/>
      <c r="D55" s="744">
        <f t="shared" ref="D55:R55" si="14">+D44</f>
        <v>20.827099284627533</v>
      </c>
      <c r="E55" s="744">
        <f t="shared" si="14"/>
        <v>20.827099284627533</v>
      </c>
      <c r="F55" s="744">
        <f t="shared" si="14"/>
        <v>20.827099284627533</v>
      </c>
      <c r="G55" s="744">
        <f t="shared" si="14"/>
        <v>20.827099284627533</v>
      </c>
      <c r="H55" s="744">
        <f t="shared" si="14"/>
        <v>20.827099284627533</v>
      </c>
      <c r="I55" s="744">
        <f t="shared" si="14"/>
        <v>20.827099284627533</v>
      </c>
      <c r="J55" s="744">
        <f t="shared" si="14"/>
        <v>20.827099284627533</v>
      </c>
      <c r="K55" s="744">
        <f t="shared" si="14"/>
        <v>20.827099284627533</v>
      </c>
      <c r="L55" s="744">
        <f t="shared" si="14"/>
        <v>20.827099284627533</v>
      </c>
      <c r="M55" s="744">
        <f t="shared" si="14"/>
        <v>20.827099284627533</v>
      </c>
      <c r="N55" s="744">
        <f t="shared" si="14"/>
        <v>20.827099284627533</v>
      </c>
      <c r="O55" s="744">
        <f t="shared" si="14"/>
        <v>20.827099284627533</v>
      </c>
      <c r="P55" s="744">
        <f t="shared" si="14"/>
        <v>20.827099284627533</v>
      </c>
      <c r="Q55" s="744">
        <f t="shared" si="14"/>
        <v>20.827099284627533</v>
      </c>
      <c r="R55" s="744">
        <f t="shared" si="14"/>
        <v>20.827099284627533</v>
      </c>
    </row>
    <row r="56" spans="2:18">
      <c r="B56" s="741" t="s">
        <v>608</v>
      </c>
      <c r="C56" s="741"/>
      <c r="D56" s="744">
        <f t="shared" ref="D56:R56" si="15">+D28</f>
        <v>0</v>
      </c>
      <c r="E56" s="744">
        <f t="shared" si="15"/>
        <v>0</v>
      </c>
      <c r="F56" s="744">
        <f t="shared" si="15"/>
        <v>14.45536238516549</v>
      </c>
      <c r="G56" s="744">
        <f t="shared" si="15"/>
        <v>26.092619997331965</v>
      </c>
      <c r="H56" s="744">
        <f t="shared" si="15"/>
        <v>28.284798787516078</v>
      </c>
      <c r="I56" s="744">
        <f t="shared" si="15"/>
        <v>30.128142719049194</v>
      </c>
      <c r="J56" s="744">
        <f t="shared" si="15"/>
        <v>31.773963756051593</v>
      </c>
      <c r="K56" s="744">
        <f t="shared" si="15"/>
        <v>33.198262858630812</v>
      </c>
      <c r="L56" s="744">
        <f t="shared" si="15"/>
        <v>34.337428564443883</v>
      </c>
      <c r="M56" s="744">
        <f t="shared" si="15"/>
        <v>35.704846648280267</v>
      </c>
      <c r="N56" s="744">
        <f t="shared" si="15"/>
        <v>35.257940466047074</v>
      </c>
      <c r="O56" s="744">
        <f t="shared" si="15"/>
        <v>34.682409853679445</v>
      </c>
      <c r="P56" s="744">
        <f t="shared" si="15"/>
        <v>34.100295815351757</v>
      </c>
      <c r="Q56" s="744">
        <f t="shared" si="15"/>
        <v>33.457769721454305</v>
      </c>
      <c r="R56" s="744">
        <f t="shared" si="15"/>
        <v>32.756521516491048</v>
      </c>
    </row>
    <row r="57" spans="2:18" ht="25.5">
      <c r="B57" s="748" t="s">
        <v>607</v>
      </c>
      <c r="C57" s="741"/>
      <c r="D57" s="744">
        <f>'Cashflow '!C143*'Cashflow '!$C$65</f>
        <v>-27.968631788524142</v>
      </c>
      <c r="E57" s="744">
        <f>'Cashflow '!D143*'Cashflow '!$C$65</f>
        <v>18.624665688019068</v>
      </c>
      <c r="F57" s="744">
        <f>'Cashflow '!E143*'Cashflow '!$C$65</f>
        <v>23.799328485670564</v>
      </c>
      <c r="G57" s="744">
        <f>'Cashflow '!F143*'Cashflow '!$C$65</f>
        <v>26.092619997331965</v>
      </c>
      <c r="H57" s="744">
        <f>'Cashflow '!G143*'Cashflow '!$C$65</f>
        <v>28.284798787516078</v>
      </c>
      <c r="I57" s="744">
        <f>'Cashflow '!H143*'Cashflow '!$C$65</f>
        <v>30.128142719049194</v>
      </c>
      <c r="J57" s="744">
        <f>'Cashflow '!I143*'Cashflow '!$C$65</f>
        <v>31.773963756051593</v>
      </c>
      <c r="K57" s="744">
        <f>'Cashflow '!J143*'Cashflow '!$C$65</f>
        <v>33.198262858630812</v>
      </c>
      <c r="L57" s="744">
        <f>'Cashflow '!K143*'Cashflow '!$C$65</f>
        <v>34.337428564443883</v>
      </c>
      <c r="M57" s="744">
        <f>'Cashflow '!L143*'Cashflow '!$C$65</f>
        <v>35.704846648280267</v>
      </c>
      <c r="N57" s="744">
        <f>'Cashflow '!M143*'Cashflow '!$C$65</f>
        <v>35.257940466047074</v>
      </c>
      <c r="O57" s="744">
        <f>'Cashflow '!N143*'Cashflow '!$C$65</f>
        <v>34.682409853679445</v>
      </c>
      <c r="P57" s="744">
        <f>'Cashflow '!O143*'Cashflow '!$C$65</f>
        <v>34.100295815351757</v>
      </c>
      <c r="Q57" s="744">
        <f>'Cashflow '!P143*'Cashflow '!$C$65</f>
        <v>33.457769721454305</v>
      </c>
      <c r="R57" s="744">
        <f>'Cashflow '!Q143*'Cashflow '!$C$65</f>
        <v>32.756521516491048</v>
      </c>
    </row>
    <row r="58" spans="2:18">
      <c r="B58" s="745" t="s">
        <v>606</v>
      </c>
      <c r="C58" s="741"/>
      <c r="D58" s="744">
        <f t="shared" ref="D58:R58" si="16">+D45</f>
        <v>34.479870807575452</v>
      </c>
      <c r="E58" s="744">
        <f t="shared" si="16"/>
        <v>37.324460149200419</v>
      </c>
      <c r="F58" s="744">
        <f t="shared" si="16"/>
        <v>27.02912252284931</v>
      </c>
      <c r="G58" s="744">
        <f t="shared" si="16"/>
        <v>19.397703195618796</v>
      </c>
      <c r="H58" s="744">
        <f t="shared" si="16"/>
        <v>15.710114283120213</v>
      </c>
      <c r="I58" s="744">
        <f t="shared" si="16"/>
        <v>12.269411631298423</v>
      </c>
      <c r="J58" s="744">
        <f t="shared" si="16"/>
        <v>9.0169594753699034</v>
      </c>
      <c r="K58" s="744">
        <f t="shared" si="16"/>
        <v>5.9093393246224437</v>
      </c>
      <c r="L58" s="744">
        <f t="shared" si="16"/>
        <v>2.9120757692411869</v>
      </c>
      <c r="M58" s="744">
        <f t="shared" si="16"/>
        <v>0</v>
      </c>
      <c r="N58" s="744">
        <f t="shared" si="16"/>
        <v>0</v>
      </c>
      <c r="O58" s="744">
        <f t="shared" si="16"/>
        <v>0</v>
      </c>
      <c r="P58" s="744">
        <f t="shared" si="16"/>
        <v>0</v>
      </c>
      <c r="Q58" s="744">
        <f t="shared" si="16"/>
        <v>0</v>
      </c>
      <c r="R58" s="744">
        <f t="shared" si="16"/>
        <v>0</v>
      </c>
    </row>
    <row r="59" spans="2:18">
      <c r="B59" s="741" t="s">
        <v>605</v>
      </c>
      <c r="C59" s="741"/>
      <c r="D59" s="744">
        <f t="shared" ref="D59:R59" si="17">+D54+D55+D58+D56-D57</f>
        <v>134.34802162632445</v>
      </c>
      <c r="E59" s="744">
        <f t="shared" si="17"/>
        <v>114.97474061902639</v>
      </c>
      <c r="F59" s="744">
        <f t="shared" si="17"/>
        <v>107.91385817566484</v>
      </c>
      <c r="G59" s="744">
        <f t="shared" si="17"/>
        <v>99.107769364384325</v>
      </c>
      <c r="H59" s="744">
        <f t="shared" si="17"/>
        <v>94.869647020364681</v>
      </c>
      <c r="I59" s="744">
        <f t="shared" si="17"/>
        <v>90.919924483041157</v>
      </c>
      <c r="J59" s="744">
        <f t="shared" si="17"/>
        <v>87.378406406951541</v>
      </c>
      <c r="K59" s="744">
        <f t="shared" si="17"/>
        <v>84.069185315240787</v>
      </c>
      <c r="L59" s="744">
        <f t="shared" si="17"/>
        <v>80.764686573607548</v>
      </c>
      <c r="M59" s="744">
        <f t="shared" si="17"/>
        <v>78.332020314904952</v>
      </c>
      <c r="N59" s="744">
        <f t="shared" si="17"/>
        <v>75.741360531405604</v>
      </c>
      <c r="O59" s="744">
        <f t="shared" si="17"/>
        <v>73.173006052936586</v>
      </c>
      <c r="P59" s="744">
        <f t="shared" si="17"/>
        <v>70.815100881168206</v>
      </c>
      <c r="Q59" s="744">
        <f t="shared" si="17"/>
        <v>68.534207790242561</v>
      </c>
      <c r="R59" s="744">
        <f t="shared" si="17"/>
        <v>66.305214922080765</v>
      </c>
    </row>
    <row r="60" spans="2:18">
      <c r="B60" s="741" t="s">
        <v>604</v>
      </c>
      <c r="C60" s="741"/>
      <c r="D60" s="744">
        <f>C52-D59</f>
        <v>318.06967715186249</v>
      </c>
      <c r="E60" s="744">
        <f t="shared" ref="E60:R60" si="18">D60-E59</f>
        <v>203.0949365328361</v>
      </c>
      <c r="F60" s="744">
        <f t="shared" si="18"/>
        <v>95.181078357171259</v>
      </c>
      <c r="G60" s="744">
        <f t="shared" si="18"/>
        <v>-3.9266910072130656</v>
      </c>
      <c r="H60" s="744">
        <f t="shared" si="18"/>
        <v>-98.796338027577747</v>
      </c>
      <c r="I60" s="744">
        <f t="shared" si="18"/>
        <v>-189.71626251061889</v>
      </c>
      <c r="J60" s="744">
        <f t="shared" si="18"/>
        <v>-277.0946689175704</v>
      </c>
      <c r="K60" s="744">
        <f t="shared" si="18"/>
        <v>-361.16385423281122</v>
      </c>
      <c r="L60" s="744">
        <f t="shared" si="18"/>
        <v>-441.92854080641877</v>
      </c>
      <c r="M60" s="744">
        <f t="shared" si="18"/>
        <v>-520.26056112132369</v>
      </c>
      <c r="N60" s="744">
        <f t="shared" si="18"/>
        <v>-596.00192165272927</v>
      </c>
      <c r="O60" s="744">
        <f t="shared" si="18"/>
        <v>-669.17492770566582</v>
      </c>
      <c r="P60" s="744">
        <f t="shared" si="18"/>
        <v>-739.990028586834</v>
      </c>
      <c r="Q60" s="744">
        <f t="shared" si="18"/>
        <v>-808.52423637707659</v>
      </c>
      <c r="R60" s="744">
        <f t="shared" si="18"/>
        <v>-874.82945129915731</v>
      </c>
    </row>
    <row r="62" spans="2:18">
      <c r="B62" s="747" t="s">
        <v>603</v>
      </c>
      <c r="C62" s="747" t="s">
        <v>602</v>
      </c>
    </row>
  </sheetData>
  <pageMargins left="0" right="0" top="0.74803149606299213" bottom="0.74803149606299213" header="0.31496062992125984" footer="0.31496062992125984"/>
  <pageSetup scale="70"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89BB-F902-4D0D-902E-AEBD4E3788A3}">
  <dimension ref="A1:AP92"/>
  <sheetViews>
    <sheetView showGridLines="0" zoomScale="85" zoomScaleNormal="85" workbookViewId="0">
      <selection activeCell="B89" sqref="B89"/>
    </sheetView>
  </sheetViews>
  <sheetFormatPr defaultColWidth="9.140625" defaultRowHeight="12.75"/>
  <cols>
    <col min="1" max="1" width="34.85546875" style="320" bestFit="1" customWidth="1"/>
    <col min="2" max="2" width="70" style="320" customWidth="1"/>
    <col min="3" max="3" width="40.7109375" style="320" customWidth="1"/>
    <col min="4" max="4" width="25" style="320" bestFit="1" customWidth="1"/>
    <col min="5" max="5" width="20" style="320" bestFit="1" customWidth="1"/>
    <col min="6" max="6" width="25.7109375" style="320" customWidth="1"/>
    <col min="7" max="7" width="11.140625" style="320" bestFit="1" customWidth="1"/>
    <col min="8" max="8" width="26.5703125" style="320" bestFit="1" customWidth="1"/>
    <col min="9" max="9" width="20.5703125" style="320" customWidth="1"/>
    <col min="10" max="10" width="30.7109375" style="321" bestFit="1" customWidth="1"/>
    <col min="11" max="19" width="9.140625" style="321"/>
    <col min="20" max="23" width="9.140625" style="372"/>
    <col min="24" max="16384" width="9.140625" style="321"/>
  </cols>
  <sheetData>
    <row r="1" spans="1:41">
      <c r="A1" s="811" t="s">
        <v>252</v>
      </c>
      <c r="B1" s="811"/>
      <c r="C1" s="811"/>
      <c r="D1" s="811"/>
      <c r="E1" s="811"/>
      <c r="F1" s="321"/>
      <c r="G1" s="321"/>
      <c r="H1" s="321"/>
      <c r="I1" s="321"/>
    </row>
    <row r="2" spans="1:41" ht="38.25" customHeight="1">
      <c r="A2" s="241" t="s">
        <v>261</v>
      </c>
      <c r="B2" s="155" t="s">
        <v>259</v>
      </c>
      <c r="C2" s="155" t="s">
        <v>253</v>
      </c>
      <c r="D2" s="155" t="s">
        <v>262</v>
      </c>
      <c r="E2" s="242" t="s">
        <v>71</v>
      </c>
      <c r="F2" s="321"/>
      <c r="G2" s="321"/>
      <c r="H2" s="321"/>
      <c r="I2" s="321"/>
    </row>
    <row r="3" spans="1:41" ht="38.25" customHeight="1">
      <c r="A3" s="823" t="s">
        <v>188</v>
      </c>
      <c r="B3" s="822">
        <v>82500</v>
      </c>
      <c r="C3" s="258" t="s">
        <v>190</v>
      </c>
      <c r="D3" s="258">
        <f>Norms!$D$3*100000</f>
        <v>28749.999999999996</v>
      </c>
      <c r="E3" s="243" t="s">
        <v>72</v>
      </c>
      <c r="F3" s="321"/>
      <c r="G3" s="321"/>
      <c r="H3" s="321"/>
      <c r="I3" s="321"/>
    </row>
    <row r="4" spans="1:41" ht="38.25" customHeight="1">
      <c r="A4" s="823"/>
      <c r="B4" s="822"/>
      <c r="C4" s="258" t="s">
        <v>260</v>
      </c>
      <c r="D4" s="258">
        <f>Norms!$D$4*100000</f>
        <v>27.999999999999996</v>
      </c>
      <c r="E4" s="243" t="s">
        <v>254</v>
      </c>
      <c r="F4" s="321"/>
      <c r="G4" s="321"/>
      <c r="H4" s="321"/>
      <c r="I4" s="321"/>
    </row>
    <row r="5" spans="1:41" ht="38.25" customHeight="1">
      <c r="A5" s="823" t="s">
        <v>232</v>
      </c>
      <c r="B5" s="822">
        <v>100000</v>
      </c>
      <c r="C5" s="258" t="s">
        <v>242</v>
      </c>
      <c r="D5" s="258">
        <f>Norms!$D$5*100000</f>
        <v>74700</v>
      </c>
      <c r="E5" s="243" t="s">
        <v>72</v>
      </c>
      <c r="F5" s="321"/>
      <c r="G5" s="321"/>
      <c r="H5" s="321"/>
      <c r="I5" s="321"/>
    </row>
    <row r="6" spans="1:41" ht="38.25" customHeight="1">
      <c r="A6" s="824"/>
      <c r="B6" s="825"/>
      <c r="C6" s="260" t="s">
        <v>190</v>
      </c>
      <c r="D6" s="260">
        <f>Norms!$D$6*100000</f>
        <v>21300</v>
      </c>
      <c r="E6" s="244" t="s">
        <v>72</v>
      </c>
      <c r="F6" s="321"/>
      <c r="G6" s="321"/>
      <c r="H6" s="321"/>
      <c r="I6" s="321"/>
    </row>
    <row r="7" spans="1:41">
      <c r="A7" s="829" t="s">
        <v>281</v>
      </c>
      <c r="B7" s="829"/>
      <c r="C7" s="829"/>
      <c r="D7" s="321"/>
      <c r="E7" s="321"/>
      <c r="F7" s="321"/>
      <c r="G7" s="321"/>
      <c r="H7" s="321"/>
      <c r="I7" s="321"/>
    </row>
    <row r="8" spans="1:41" s="323" customFormat="1">
      <c r="A8" s="271" t="s">
        <v>133</v>
      </c>
      <c r="B8" s="272" t="s">
        <v>1</v>
      </c>
      <c r="C8" s="345" t="s">
        <v>276</v>
      </c>
      <c r="D8" s="385" t="s">
        <v>333</v>
      </c>
      <c r="E8" s="321"/>
      <c r="F8" s="321"/>
      <c r="G8" s="321"/>
      <c r="H8" s="321"/>
      <c r="I8" s="321"/>
      <c r="J8" s="321"/>
      <c r="K8" s="322"/>
      <c r="L8" s="322"/>
      <c r="M8" s="322"/>
      <c r="N8" s="322"/>
      <c r="O8" s="322"/>
      <c r="P8" s="322"/>
      <c r="Q8" s="322"/>
      <c r="R8" s="322"/>
      <c r="S8" s="322"/>
      <c r="T8" s="373"/>
      <c r="U8" s="373"/>
      <c r="V8" s="373"/>
      <c r="W8" s="373"/>
      <c r="X8" s="322"/>
      <c r="Y8" s="322"/>
      <c r="Z8" s="322"/>
      <c r="AA8" s="322"/>
      <c r="AB8" s="322"/>
      <c r="AC8" s="322"/>
      <c r="AD8" s="322"/>
      <c r="AE8" s="322"/>
      <c r="AF8" s="322"/>
      <c r="AG8" s="322"/>
      <c r="AH8" s="322"/>
      <c r="AI8" s="322"/>
      <c r="AJ8" s="322"/>
      <c r="AK8" s="322"/>
      <c r="AL8" s="322"/>
      <c r="AM8" s="322"/>
      <c r="AN8" s="322"/>
      <c r="AO8" s="322"/>
    </row>
    <row r="9" spans="1:41" s="323" customFormat="1" ht="12.75" hidden="1" customHeight="1">
      <c r="A9" s="830" t="s">
        <v>136</v>
      </c>
      <c r="B9" s="28" t="s">
        <v>0</v>
      </c>
      <c r="C9" s="277" t="e">
        <v>#DIV/0!</v>
      </c>
      <c r="D9" s="321"/>
      <c r="E9" s="321"/>
      <c r="F9" s="321"/>
      <c r="G9" s="321"/>
      <c r="H9" s="321"/>
      <c r="I9" s="321"/>
      <c r="J9" s="321"/>
      <c r="K9" s="322"/>
      <c r="L9" s="322"/>
      <c r="M9" s="322"/>
      <c r="N9" s="322"/>
      <c r="O9" s="322"/>
      <c r="P9" s="322"/>
      <c r="Q9" s="322"/>
      <c r="R9" s="322"/>
      <c r="S9" s="322"/>
      <c r="T9" s="373"/>
      <c r="U9" s="373"/>
      <c r="V9" s="373"/>
      <c r="W9" s="373"/>
      <c r="X9" s="322"/>
      <c r="Y9" s="322"/>
      <c r="Z9" s="322"/>
      <c r="AA9" s="322"/>
      <c r="AB9" s="322"/>
      <c r="AC9" s="322"/>
      <c r="AD9" s="322"/>
      <c r="AE9" s="322"/>
      <c r="AF9" s="322"/>
      <c r="AG9" s="322"/>
      <c r="AH9" s="322"/>
      <c r="AI9" s="322"/>
      <c r="AJ9" s="322"/>
      <c r="AK9" s="322"/>
      <c r="AL9" s="322"/>
      <c r="AM9" s="322"/>
      <c r="AN9" s="322"/>
      <c r="AO9" s="322"/>
    </row>
    <row r="10" spans="1:41" s="323" customFormat="1" ht="12.75" hidden="1" customHeight="1">
      <c r="A10" s="823"/>
      <c r="B10" s="279" t="s">
        <v>189</v>
      </c>
      <c r="C10" s="277" t="e">
        <v>#DIV/0!</v>
      </c>
      <c r="D10" s="321"/>
      <c r="E10" s="321"/>
      <c r="F10" s="321"/>
      <c r="G10" s="321"/>
      <c r="H10" s="321"/>
      <c r="I10" s="321"/>
      <c r="J10" s="321"/>
      <c r="K10" s="322"/>
      <c r="L10" s="322"/>
      <c r="M10" s="322"/>
      <c r="N10" s="322"/>
      <c r="O10" s="322"/>
      <c r="P10" s="322"/>
      <c r="Q10" s="322"/>
      <c r="R10" s="322"/>
      <c r="S10" s="322"/>
      <c r="T10" s="373"/>
      <c r="U10" s="373"/>
      <c r="V10" s="373"/>
      <c r="W10" s="373"/>
      <c r="X10" s="322"/>
      <c r="Y10" s="322"/>
      <c r="Z10" s="322"/>
      <c r="AA10" s="322"/>
      <c r="AB10" s="322"/>
      <c r="AC10" s="322"/>
      <c r="AD10" s="322"/>
      <c r="AE10" s="322"/>
      <c r="AF10" s="322"/>
      <c r="AG10" s="322"/>
      <c r="AH10" s="322"/>
      <c r="AI10" s="322"/>
      <c r="AJ10" s="322"/>
      <c r="AK10" s="322"/>
      <c r="AL10" s="322"/>
      <c r="AM10" s="322"/>
      <c r="AN10" s="322"/>
      <c r="AO10" s="322"/>
    </row>
    <row r="11" spans="1:41" s="323" customFormat="1">
      <c r="A11" s="830" t="s">
        <v>140</v>
      </c>
      <c r="B11" s="283" t="s">
        <v>301</v>
      </c>
      <c r="C11" s="277">
        <v>26536.75</v>
      </c>
      <c r="D11" s="321"/>
      <c r="E11" s="321"/>
      <c r="F11" s="321"/>
      <c r="G11" s="321"/>
      <c r="H11" s="321"/>
      <c r="I11" s="321"/>
      <c r="J11" s="321"/>
      <c r="K11" s="322"/>
      <c r="L11" s="322"/>
      <c r="M11" s="322"/>
      <c r="N11" s="322"/>
      <c r="O11" s="322"/>
      <c r="P11" s="322"/>
      <c r="Q11" s="322"/>
      <c r="R11" s="322"/>
      <c r="S11" s="322"/>
      <c r="T11" s="373"/>
      <c r="U11" s="373"/>
      <c r="V11" s="373"/>
      <c r="W11" s="373"/>
      <c r="X11" s="322"/>
      <c r="Y11" s="322"/>
      <c r="Z11" s="322"/>
      <c r="AA11" s="322"/>
      <c r="AB11" s="322"/>
      <c r="AC11" s="322"/>
      <c r="AD11" s="322"/>
      <c r="AE11" s="322"/>
      <c r="AF11" s="322"/>
      <c r="AG11" s="322"/>
      <c r="AH11" s="322"/>
      <c r="AI11" s="322"/>
      <c r="AJ11" s="322"/>
      <c r="AK11" s="322"/>
      <c r="AL11" s="322"/>
      <c r="AM11" s="322"/>
      <c r="AN11" s="322"/>
      <c r="AO11" s="322"/>
    </row>
    <row r="12" spans="1:41" s="323" customFormat="1">
      <c r="A12" s="823"/>
      <c r="B12" s="286" t="s">
        <v>302</v>
      </c>
      <c r="C12" s="287">
        <v>10335.608065151127</v>
      </c>
      <c r="D12" s="321"/>
      <c r="E12" s="321"/>
      <c r="F12" s="321"/>
      <c r="G12" s="321"/>
      <c r="H12" s="321"/>
      <c r="I12" s="321"/>
      <c r="J12" s="321"/>
      <c r="K12" s="322"/>
      <c r="L12" s="322"/>
      <c r="M12" s="322"/>
      <c r="N12" s="322"/>
      <c r="O12" s="322"/>
      <c r="P12" s="322"/>
      <c r="Q12" s="322"/>
      <c r="R12" s="322"/>
      <c r="S12" s="322"/>
      <c r="T12" s="373"/>
      <c r="U12" s="373"/>
      <c r="V12" s="373"/>
      <c r="W12" s="373"/>
      <c r="X12" s="322"/>
      <c r="Y12" s="322"/>
      <c r="Z12" s="322"/>
      <c r="AA12" s="322"/>
      <c r="AB12" s="322"/>
      <c r="AC12" s="322"/>
      <c r="AD12" s="322"/>
      <c r="AE12" s="322"/>
      <c r="AF12" s="322"/>
      <c r="AG12" s="322"/>
      <c r="AH12" s="322"/>
      <c r="AI12" s="322"/>
      <c r="AJ12" s="322"/>
      <c r="AK12" s="322"/>
      <c r="AL12" s="322"/>
      <c r="AM12" s="322"/>
      <c r="AN12" s="322"/>
      <c r="AO12" s="322"/>
    </row>
    <row r="13" spans="1:41" s="323" customFormat="1">
      <c r="A13" s="824"/>
      <c r="B13" s="289" t="s">
        <v>301</v>
      </c>
      <c r="C13" s="291">
        <v>29242.25</v>
      </c>
      <c r="D13" s="321"/>
      <c r="E13" s="321"/>
      <c r="F13" s="321"/>
      <c r="G13" s="321"/>
      <c r="H13" s="321"/>
      <c r="I13" s="321"/>
      <c r="J13" s="321"/>
      <c r="K13" s="322"/>
      <c r="L13" s="322"/>
      <c r="M13" s="322"/>
      <c r="N13" s="322"/>
      <c r="O13" s="322"/>
      <c r="P13" s="322"/>
      <c r="Q13" s="322"/>
      <c r="R13" s="322"/>
      <c r="S13" s="322"/>
      <c r="T13" s="373"/>
      <c r="U13" s="373"/>
      <c r="V13" s="373"/>
      <c r="W13" s="373"/>
      <c r="X13" s="322"/>
      <c r="Y13" s="322"/>
      <c r="Z13" s="322"/>
      <c r="AA13" s="322"/>
      <c r="AB13" s="322"/>
      <c r="AC13" s="322"/>
      <c r="AD13" s="322"/>
      <c r="AE13" s="322"/>
      <c r="AF13" s="322"/>
      <c r="AG13" s="322"/>
      <c r="AH13" s="322"/>
      <c r="AI13" s="322"/>
      <c r="AJ13" s="322"/>
      <c r="AK13" s="322"/>
      <c r="AL13" s="322"/>
      <c r="AM13" s="322"/>
      <c r="AN13" s="322"/>
      <c r="AO13" s="322"/>
    </row>
    <row r="14" spans="1:41" s="323" customFormat="1">
      <c r="A14" s="364" t="s">
        <v>191</v>
      </c>
      <c r="B14" s="365" t="s">
        <v>303</v>
      </c>
      <c r="C14" s="366">
        <v>100000</v>
      </c>
      <c r="D14" s="369" t="s">
        <v>329</v>
      </c>
      <c r="E14" s="321"/>
      <c r="F14" s="321"/>
      <c r="G14" s="321"/>
      <c r="H14" s="321"/>
      <c r="I14" s="321"/>
      <c r="J14" s="321"/>
      <c r="K14" s="322"/>
      <c r="L14" s="322"/>
      <c r="M14" s="322"/>
      <c r="N14" s="322"/>
      <c r="O14" s="322"/>
      <c r="P14" s="322"/>
      <c r="Q14" s="322"/>
      <c r="R14" s="322"/>
      <c r="S14" s="322"/>
      <c r="T14" s="373"/>
      <c r="U14" s="373"/>
      <c r="V14" s="373"/>
      <c r="W14" s="373"/>
      <c r="X14" s="322"/>
      <c r="Y14" s="322"/>
      <c r="Z14" s="322"/>
      <c r="AA14" s="322"/>
      <c r="AB14" s="322"/>
      <c r="AC14" s="322"/>
      <c r="AD14" s="322"/>
      <c r="AE14" s="322"/>
      <c r="AF14" s="322"/>
      <c r="AG14" s="322"/>
      <c r="AH14" s="322"/>
      <c r="AI14" s="322"/>
      <c r="AJ14" s="322"/>
      <c r="AK14" s="322"/>
      <c r="AL14" s="322"/>
      <c r="AM14" s="322"/>
      <c r="AN14" s="322"/>
      <c r="AO14" s="322"/>
    </row>
    <row r="15" spans="1:41" s="323" customFormat="1" ht="15" customHeight="1">
      <c r="A15" s="831" t="s">
        <v>195</v>
      </c>
      <c r="B15" s="295" t="s">
        <v>68</v>
      </c>
      <c r="C15" s="370">
        <v>1928.3693750000002</v>
      </c>
      <c r="D15" s="369" t="s">
        <v>329</v>
      </c>
      <c r="E15" s="321"/>
      <c r="F15" s="321"/>
      <c r="G15" s="321"/>
      <c r="H15" s="321"/>
      <c r="I15" s="321"/>
      <c r="J15" s="321"/>
      <c r="T15" s="374"/>
      <c r="U15" s="374"/>
      <c r="V15" s="374"/>
      <c r="W15" s="374"/>
    </row>
    <row r="16" spans="1:41" s="323" customFormat="1">
      <c r="A16" s="832"/>
      <c r="B16" s="299" t="s">
        <v>66</v>
      </c>
      <c r="C16" s="371">
        <v>5387255.0749999993</v>
      </c>
      <c r="D16" s="369" t="s">
        <v>329</v>
      </c>
      <c r="E16" s="321"/>
      <c r="F16" s="321"/>
      <c r="G16" s="321"/>
      <c r="H16" s="321"/>
      <c r="I16" s="321"/>
      <c r="J16" s="321"/>
      <c r="T16" s="374"/>
      <c r="U16" s="374"/>
      <c r="V16" s="374"/>
      <c r="W16" s="374"/>
    </row>
    <row r="17" spans="1:42" s="323" customFormat="1">
      <c r="A17" s="832"/>
      <c r="B17" s="299"/>
      <c r="C17" s="287"/>
      <c r="D17" s="369" t="s">
        <v>329</v>
      </c>
      <c r="E17" s="321"/>
      <c r="F17" s="321"/>
      <c r="G17" s="321"/>
      <c r="H17" s="321"/>
      <c r="I17" s="321"/>
      <c r="J17" s="321"/>
      <c r="T17" s="374"/>
      <c r="U17" s="374"/>
      <c r="V17" s="374"/>
      <c r="W17" s="374"/>
    </row>
    <row r="18" spans="1:42" s="323" customFormat="1" ht="24.75" customHeight="1">
      <c r="A18" s="832"/>
      <c r="B18" s="299" t="s">
        <v>65</v>
      </c>
      <c r="C18" s="287">
        <v>338.58106500000002</v>
      </c>
      <c r="D18" s="369" t="s">
        <v>329</v>
      </c>
      <c r="E18" s="321"/>
      <c r="F18" s="321"/>
      <c r="G18" s="321"/>
      <c r="H18" s="321"/>
      <c r="I18" s="321"/>
      <c r="J18" s="321"/>
      <c r="T18" s="374"/>
      <c r="U18" s="374"/>
      <c r="V18" s="374"/>
      <c r="W18" s="374"/>
    </row>
    <row r="19" spans="1:42" s="323" customFormat="1">
      <c r="A19" s="832"/>
      <c r="B19" s="299"/>
      <c r="C19" s="287"/>
      <c r="D19" s="369" t="s">
        <v>329</v>
      </c>
      <c r="E19" s="321"/>
      <c r="F19" s="321"/>
      <c r="G19" s="321"/>
      <c r="H19" s="321"/>
      <c r="I19" s="321"/>
      <c r="J19" s="321"/>
      <c r="T19" s="374"/>
      <c r="U19" s="374"/>
      <c r="V19" s="374"/>
      <c r="W19" s="374"/>
    </row>
    <row r="20" spans="1:42" s="323" customFormat="1" ht="12" customHeight="1">
      <c r="A20" s="832"/>
      <c r="B20" s="299" t="s">
        <v>204</v>
      </c>
      <c r="C20" s="287" t="e">
        <v>#DIV/0!</v>
      </c>
      <c r="D20" s="369" t="s">
        <v>329</v>
      </c>
      <c r="E20" s="321"/>
      <c r="F20" s="321"/>
      <c r="G20" s="321"/>
      <c r="H20" s="321"/>
      <c r="I20" s="321"/>
      <c r="J20" s="321"/>
      <c r="T20" s="374"/>
      <c r="U20" s="374"/>
      <c r="V20" s="374"/>
      <c r="W20" s="374"/>
    </row>
    <row r="21" spans="1:42" s="323" customFormat="1">
      <c r="A21" s="832"/>
      <c r="B21" s="307" t="s">
        <v>148</v>
      </c>
      <c r="C21" s="287">
        <v>43439.057500000003</v>
      </c>
      <c r="D21" s="369" t="s">
        <v>329</v>
      </c>
      <c r="E21" s="321"/>
      <c r="F21" s="321"/>
      <c r="G21" s="321"/>
      <c r="H21" s="321"/>
      <c r="I21" s="321"/>
      <c r="J21" s="321"/>
      <c r="T21" s="374"/>
      <c r="U21" s="374"/>
      <c r="V21" s="374"/>
      <c r="W21" s="374"/>
    </row>
    <row r="22" spans="1:42" s="323" customFormat="1">
      <c r="A22" s="835"/>
      <c r="B22" s="308" t="s">
        <v>150</v>
      </c>
      <c r="C22" s="291">
        <v>53394802.015112996</v>
      </c>
      <c r="D22" s="369" t="s">
        <v>329</v>
      </c>
      <c r="E22" s="321"/>
      <c r="F22" s="321"/>
      <c r="G22" s="321"/>
      <c r="H22" s="321"/>
      <c r="I22" s="321"/>
      <c r="J22" s="321"/>
      <c r="T22" s="374"/>
      <c r="U22" s="374"/>
      <c r="V22" s="374"/>
      <c r="W22" s="374"/>
    </row>
    <row r="23" spans="1:42" s="323" customFormat="1">
      <c r="A23" s="831" t="s">
        <v>290</v>
      </c>
      <c r="B23" s="295" t="s">
        <v>68</v>
      </c>
      <c r="C23" s="277">
        <v>267.46053949335783</v>
      </c>
      <c r="D23" s="369" t="s">
        <v>329</v>
      </c>
      <c r="E23" s="321"/>
      <c r="F23" s="321"/>
      <c r="G23" s="321"/>
      <c r="H23" s="321"/>
      <c r="I23" s="321"/>
      <c r="J23" s="321"/>
      <c r="T23" s="374"/>
      <c r="U23" s="374"/>
      <c r="V23" s="374"/>
      <c r="W23" s="374"/>
    </row>
    <row r="24" spans="1:42" s="323" customFormat="1">
      <c r="A24" s="832"/>
      <c r="B24" s="299" t="s">
        <v>66</v>
      </c>
      <c r="C24" s="287">
        <v>200595.40462001838</v>
      </c>
      <c r="D24" s="369" t="s">
        <v>329</v>
      </c>
      <c r="E24" s="321"/>
      <c r="F24" s="321"/>
      <c r="G24" s="321"/>
      <c r="H24" s="321"/>
      <c r="I24" s="321"/>
      <c r="J24" s="321"/>
      <c r="T24" s="374"/>
      <c r="U24" s="374"/>
      <c r="V24" s="374"/>
      <c r="W24" s="374"/>
    </row>
    <row r="25" spans="1:42" s="323" customFormat="1">
      <c r="A25" s="832"/>
      <c r="B25" s="299"/>
      <c r="C25" s="287"/>
      <c r="D25" s="369" t="s">
        <v>329</v>
      </c>
      <c r="E25" s="321"/>
      <c r="F25" s="321"/>
      <c r="G25" s="321"/>
      <c r="H25" s="321"/>
      <c r="I25" s="321"/>
      <c r="J25" s="321"/>
      <c r="T25" s="374"/>
      <c r="U25" s="374"/>
      <c r="V25" s="374"/>
      <c r="W25" s="374"/>
    </row>
    <row r="26" spans="1:42" s="323" customFormat="1">
      <c r="A26" s="832"/>
      <c r="B26" s="299" t="s">
        <v>65</v>
      </c>
      <c r="C26" s="287">
        <v>80.238161848007351</v>
      </c>
      <c r="D26" s="369" t="s">
        <v>329</v>
      </c>
      <c r="E26" s="321"/>
      <c r="F26" s="321"/>
      <c r="G26" s="321"/>
      <c r="H26" s="321"/>
      <c r="I26" s="321"/>
      <c r="J26" s="321"/>
      <c r="T26" s="374"/>
      <c r="U26" s="374"/>
      <c r="V26" s="374"/>
      <c r="W26" s="374"/>
    </row>
    <row r="27" spans="1:42" s="323" customFormat="1">
      <c r="A27" s="832"/>
      <c r="B27" s="299" t="s">
        <v>309</v>
      </c>
      <c r="C27" s="287">
        <v>3797.9396608056813</v>
      </c>
      <c r="D27" s="369" t="s">
        <v>329</v>
      </c>
      <c r="E27" s="321"/>
      <c r="F27" s="321"/>
      <c r="G27" s="321"/>
      <c r="H27" s="321"/>
      <c r="I27" s="321"/>
      <c r="J27" s="321"/>
      <c r="T27" s="374"/>
      <c r="U27" s="374"/>
      <c r="V27" s="374"/>
      <c r="W27" s="374"/>
    </row>
    <row r="28" spans="1:42" s="323" customFormat="1">
      <c r="A28" s="832"/>
      <c r="B28" s="299" t="s">
        <v>204</v>
      </c>
      <c r="C28" s="287" t="e">
        <v>#DIV/0!</v>
      </c>
      <c r="D28" s="369" t="s">
        <v>329</v>
      </c>
      <c r="E28" s="321"/>
      <c r="F28" s="321"/>
      <c r="G28" s="321"/>
      <c r="H28" s="321"/>
      <c r="I28" s="321"/>
      <c r="J28" s="321"/>
      <c r="T28" s="374"/>
      <c r="U28" s="374"/>
      <c r="V28" s="374"/>
      <c r="W28" s="374"/>
    </row>
    <row r="29" spans="1:42">
      <c r="A29" s="832"/>
      <c r="B29" s="307"/>
      <c r="C29" s="287"/>
      <c r="D29" s="369" t="s">
        <v>329</v>
      </c>
      <c r="E29" s="321"/>
      <c r="F29" s="321"/>
      <c r="G29" s="321"/>
      <c r="H29" s="321"/>
      <c r="I29" s="321"/>
    </row>
    <row r="30" spans="1:42" s="323" customFormat="1">
      <c r="A30" s="835"/>
      <c r="B30" s="313" t="s">
        <v>150</v>
      </c>
      <c r="C30" s="291">
        <v>1450642.784714049</v>
      </c>
      <c r="D30" s="369" t="s">
        <v>329</v>
      </c>
      <c r="E30" s="321"/>
      <c r="F30" s="321"/>
      <c r="G30" s="321"/>
      <c r="H30" s="321"/>
      <c r="I30" s="321"/>
      <c r="J30" s="321"/>
      <c r="T30" s="374"/>
      <c r="U30" s="374"/>
      <c r="V30" s="374"/>
      <c r="W30" s="374"/>
    </row>
    <row r="31" spans="1:42" s="323" customFormat="1" ht="32.25" customHeight="1">
      <c r="A31" s="264" t="s">
        <v>151</v>
      </c>
      <c r="B31" s="279" t="s">
        <v>299</v>
      </c>
      <c r="C31" s="358">
        <v>18860000</v>
      </c>
      <c r="D31" s="369" t="s">
        <v>329</v>
      </c>
      <c r="E31" s="321"/>
      <c r="F31" s="321"/>
      <c r="G31" s="321"/>
      <c r="H31" s="321"/>
      <c r="I31" s="321"/>
      <c r="J31" s="321"/>
      <c r="K31" s="322"/>
      <c r="L31" s="322"/>
      <c r="M31" s="322"/>
      <c r="N31" s="322"/>
      <c r="O31" s="322"/>
      <c r="P31" s="322"/>
      <c r="Q31" s="322"/>
      <c r="R31" s="322"/>
      <c r="S31" s="322"/>
      <c r="T31" s="373"/>
      <c r="U31" s="373"/>
      <c r="V31" s="373"/>
      <c r="W31" s="373"/>
      <c r="X31" s="322"/>
      <c r="Y31" s="322"/>
      <c r="Z31" s="322"/>
      <c r="AA31" s="322"/>
      <c r="AB31" s="322"/>
      <c r="AC31" s="322"/>
      <c r="AD31" s="322"/>
      <c r="AE31" s="322"/>
      <c r="AF31" s="322"/>
      <c r="AG31" s="322"/>
      <c r="AH31" s="322"/>
      <c r="AI31" s="322"/>
      <c r="AJ31" s="322"/>
      <c r="AK31" s="322"/>
      <c r="AL31" s="322"/>
      <c r="AM31" s="322"/>
      <c r="AN31" s="322"/>
      <c r="AO31" s="322"/>
      <c r="AP31" s="324"/>
    </row>
    <row r="32" spans="1:42" s="323" customFormat="1" ht="24" customHeight="1">
      <c r="A32" s="264" t="s">
        <v>13</v>
      </c>
      <c r="B32" s="315" t="s">
        <v>298</v>
      </c>
      <c r="C32" s="358">
        <v>564200000</v>
      </c>
      <c r="D32" s="321"/>
      <c r="E32" s="321"/>
      <c r="F32" s="321"/>
      <c r="G32" s="321"/>
      <c r="H32" s="321"/>
      <c r="I32" s="321"/>
      <c r="J32" s="321"/>
      <c r="K32" s="322"/>
      <c r="L32" s="322"/>
      <c r="M32" s="322"/>
      <c r="N32" s="322"/>
      <c r="O32" s="322"/>
      <c r="P32" s="322"/>
      <c r="Q32" s="322"/>
      <c r="R32" s="322"/>
      <c r="S32" s="322"/>
      <c r="T32" s="373"/>
      <c r="U32" s="373"/>
      <c r="V32" s="373"/>
      <c r="W32" s="373"/>
      <c r="X32" s="322"/>
      <c r="Y32" s="322"/>
      <c r="Z32" s="322"/>
      <c r="AA32" s="322"/>
      <c r="AB32" s="322"/>
      <c r="AC32" s="322"/>
      <c r="AD32" s="322"/>
      <c r="AE32" s="322"/>
      <c r="AF32" s="322"/>
      <c r="AG32" s="322"/>
      <c r="AH32" s="322"/>
      <c r="AI32" s="322"/>
      <c r="AJ32" s="322"/>
      <c r="AK32" s="322"/>
      <c r="AL32" s="322"/>
      <c r="AM32" s="322"/>
      <c r="AN32" s="322"/>
      <c r="AO32" s="322"/>
    </row>
    <row r="33" spans="1:41" s="326" customFormat="1" ht="27" customHeight="1">
      <c r="A33" s="264" t="s">
        <v>87</v>
      </c>
      <c r="B33" s="315" t="s">
        <v>298</v>
      </c>
      <c r="C33" s="358">
        <v>221967608.67077586</v>
      </c>
      <c r="D33" s="321"/>
      <c r="E33" s="320"/>
      <c r="F33" s="320"/>
      <c r="G33" s="321"/>
      <c r="H33" s="321"/>
      <c r="I33" s="321"/>
      <c r="J33" s="321"/>
      <c r="K33" s="325"/>
      <c r="L33" s="325"/>
      <c r="M33" s="325"/>
      <c r="N33" s="325"/>
      <c r="O33" s="325"/>
      <c r="P33" s="325"/>
      <c r="Q33" s="325"/>
      <c r="R33" s="325"/>
      <c r="S33" s="325"/>
      <c r="T33" s="375"/>
      <c r="U33" s="375"/>
      <c r="V33" s="375"/>
      <c r="W33" s="375"/>
      <c r="X33" s="325"/>
      <c r="Y33" s="325"/>
      <c r="Z33" s="325"/>
      <c r="AA33" s="325"/>
      <c r="AB33" s="325"/>
      <c r="AC33" s="325"/>
      <c r="AD33" s="325"/>
      <c r="AE33" s="325"/>
      <c r="AF33" s="325"/>
      <c r="AG33" s="325"/>
      <c r="AH33" s="325"/>
      <c r="AI33" s="325"/>
      <c r="AJ33" s="325"/>
      <c r="AK33" s="325"/>
      <c r="AL33" s="325"/>
      <c r="AM33" s="325"/>
      <c r="AN33" s="325"/>
      <c r="AO33" s="325"/>
    </row>
    <row r="34" spans="1:41" s="323" customFormat="1">
      <c r="A34" s="321"/>
      <c r="B34" s="321"/>
      <c r="C34" s="321"/>
      <c r="D34" s="321"/>
      <c r="E34" s="321"/>
      <c r="F34" s="321"/>
      <c r="G34" s="321"/>
      <c r="H34" s="321"/>
      <c r="I34" s="321"/>
      <c r="J34" s="321"/>
      <c r="T34" s="374"/>
      <c r="U34" s="374"/>
      <c r="V34" s="374"/>
      <c r="W34" s="374"/>
    </row>
    <row r="35" spans="1:41" s="323" customFormat="1">
      <c r="A35" s="321"/>
      <c r="B35" s="321"/>
      <c r="C35" s="321"/>
      <c r="D35" s="321"/>
      <c r="E35" s="321"/>
      <c r="F35" s="321"/>
      <c r="G35" s="321"/>
      <c r="H35" s="321"/>
      <c r="I35" s="321"/>
      <c r="T35" s="374"/>
      <c r="U35" s="374"/>
      <c r="V35" s="374"/>
      <c r="W35" s="374"/>
    </row>
    <row r="36" spans="1:41" s="323" customFormat="1">
      <c r="A36" s="811" t="s">
        <v>282</v>
      </c>
      <c r="B36" s="811"/>
      <c r="C36" s="811"/>
      <c r="D36" s="811"/>
      <c r="E36" s="811"/>
      <c r="F36" s="811"/>
      <c r="G36" s="811"/>
      <c r="H36" s="811"/>
      <c r="I36" s="811"/>
      <c r="K36" s="322"/>
      <c r="T36" s="374"/>
      <c r="U36" s="374"/>
      <c r="V36" s="374"/>
      <c r="W36" s="374"/>
    </row>
    <row r="37" spans="1:41">
      <c r="A37" s="809"/>
      <c r="B37" s="810"/>
      <c r="C37" s="810"/>
      <c r="D37" s="810"/>
      <c r="E37" s="263">
        <v>1</v>
      </c>
      <c r="F37" s="263">
        <v>2</v>
      </c>
      <c r="G37" s="263">
        <v>3</v>
      </c>
      <c r="H37" s="263">
        <v>4</v>
      </c>
      <c r="I37" s="263">
        <v>5</v>
      </c>
      <c r="J37" s="263">
        <v>6</v>
      </c>
      <c r="K37" s="186">
        <v>7</v>
      </c>
      <c r="L37" s="263">
        <v>8</v>
      </c>
      <c r="M37" s="186">
        <v>9</v>
      </c>
      <c r="N37" s="263">
        <v>10</v>
      </c>
      <c r="O37" s="263">
        <v>11</v>
      </c>
      <c r="P37" s="263">
        <v>12</v>
      </c>
      <c r="Q37" s="263">
        <v>13</v>
      </c>
      <c r="R37" s="186">
        <v>14</v>
      </c>
      <c r="S37" s="263">
        <v>15</v>
      </c>
      <c r="T37" s="376">
        <v>16</v>
      </c>
      <c r="U37" s="376">
        <v>17</v>
      </c>
      <c r="V37" s="376">
        <v>18</v>
      </c>
      <c r="W37" s="377">
        <v>19</v>
      </c>
    </row>
    <row r="38" spans="1:41">
      <c r="A38" s="17" t="s">
        <v>20</v>
      </c>
      <c r="B38" s="258"/>
      <c r="C38" s="13"/>
      <c r="D38" s="316"/>
      <c r="E38" s="258"/>
      <c r="F38" s="258"/>
      <c r="G38" s="258"/>
      <c r="H38" s="258"/>
      <c r="I38" s="258"/>
      <c r="J38" s="258"/>
      <c r="K38" s="258"/>
      <c r="L38" s="258"/>
      <c r="M38" s="258"/>
      <c r="N38" s="258"/>
      <c r="O38" s="316"/>
      <c r="P38" s="316"/>
      <c r="Q38" s="316"/>
      <c r="R38" s="258"/>
      <c r="S38" s="258"/>
      <c r="T38" s="378"/>
      <c r="U38" s="378"/>
      <c r="V38" s="378"/>
      <c r="W38" s="379"/>
    </row>
    <row r="39" spans="1:41">
      <c r="A39" s="129"/>
      <c r="B39" s="13" t="s">
        <v>21</v>
      </c>
      <c r="C39" s="258" t="s">
        <v>22</v>
      </c>
      <c r="D39" s="316"/>
      <c r="E39" s="187">
        <v>30</v>
      </c>
      <c r="F39" s="187">
        <v>30</v>
      </c>
      <c r="G39" s="187">
        <v>30</v>
      </c>
      <c r="H39" s="187">
        <v>30</v>
      </c>
      <c r="I39" s="187">
        <v>30</v>
      </c>
      <c r="J39" s="187">
        <v>30</v>
      </c>
      <c r="K39" s="187">
        <v>30</v>
      </c>
      <c r="L39" s="187">
        <v>30</v>
      </c>
      <c r="M39" s="187">
        <v>30</v>
      </c>
      <c r="N39" s="187">
        <v>30</v>
      </c>
      <c r="O39" s="187">
        <v>30</v>
      </c>
      <c r="P39" s="187">
        <v>30</v>
      </c>
      <c r="Q39" s="187">
        <v>30</v>
      </c>
      <c r="R39" s="187">
        <v>30</v>
      </c>
      <c r="S39" s="187">
        <v>30</v>
      </c>
      <c r="T39" s="380">
        <v>30</v>
      </c>
      <c r="U39" s="380">
        <v>30</v>
      </c>
      <c r="V39" s="380">
        <v>30</v>
      </c>
      <c r="W39" s="380">
        <v>30</v>
      </c>
    </row>
    <row r="40" spans="1:41">
      <c r="A40" s="129"/>
      <c r="B40" s="13" t="s">
        <v>23</v>
      </c>
      <c r="C40" s="258"/>
      <c r="D40" s="316"/>
      <c r="E40" s="14">
        <f>'Cashflow '!F10</f>
        <v>279.536992</v>
      </c>
      <c r="F40" s="14">
        <f>'Cashflow '!G10</f>
        <v>359.40470400000004</v>
      </c>
      <c r="G40" s="14">
        <f>'Cashflow '!H10</f>
        <v>379.37163200000003</v>
      </c>
      <c r="H40" s="14">
        <f>'Cashflow '!I10</f>
        <v>379.37163200000003</v>
      </c>
      <c r="I40" s="14">
        <f>'Cashflow '!J10</f>
        <v>379.37163200000003</v>
      </c>
      <c r="J40" s="14">
        <f>'Cashflow '!K10</f>
        <v>379.37163200000003</v>
      </c>
      <c r="K40" s="14">
        <f>'Cashflow '!L10</f>
        <v>379.37163200000003</v>
      </c>
      <c r="L40" s="14">
        <f>'Cashflow '!M10</f>
        <v>379.37163200000003</v>
      </c>
      <c r="M40" s="14">
        <f>'Cashflow '!N10</f>
        <v>379.37163200000003</v>
      </c>
      <c r="N40" s="14">
        <f>'Cashflow '!O10</f>
        <v>379.37163200000003</v>
      </c>
      <c r="O40" s="14">
        <f>'Cashflow '!P10</f>
        <v>379.37163200000003</v>
      </c>
      <c r="P40" s="14">
        <f>'Cashflow '!Q10</f>
        <v>379.37163200000003</v>
      </c>
      <c r="Q40" s="14">
        <f>'Cashflow '!R10</f>
        <v>379.37163200000003</v>
      </c>
      <c r="R40" s="14" t="e">
        <f>'Cashflow '!#REF!</f>
        <v>#REF!</v>
      </c>
      <c r="S40" s="14" t="e">
        <f>'Cashflow '!#REF!</f>
        <v>#REF!</v>
      </c>
      <c r="T40" s="381" t="e">
        <f>'Cashflow '!#REF!</f>
        <v>#REF!</v>
      </c>
      <c r="U40" s="381" t="e">
        <f>'Cashflow '!#REF!</f>
        <v>#REF!</v>
      </c>
      <c r="V40" s="381" t="e">
        <f>'Cashflow '!#REF!</f>
        <v>#REF!</v>
      </c>
      <c r="W40" s="381" t="e">
        <f>'Cashflow '!#REF!</f>
        <v>#REF!</v>
      </c>
    </row>
    <row r="41" spans="1:41">
      <c r="A41" s="129"/>
      <c r="B41" s="13" t="s">
        <v>24</v>
      </c>
      <c r="C41" s="258"/>
      <c r="D41" s="316"/>
      <c r="E41" s="14">
        <f>+E40/365*E39</f>
        <v>22.975643178082191</v>
      </c>
      <c r="F41" s="14">
        <f t="shared" ref="F41:W41" si="0">+F40/365*F39</f>
        <v>29.540112657534248</v>
      </c>
      <c r="G41" s="14">
        <f t="shared" si="0"/>
        <v>31.181230027397259</v>
      </c>
      <c r="H41" s="14">
        <f t="shared" si="0"/>
        <v>31.181230027397259</v>
      </c>
      <c r="I41" s="14">
        <f t="shared" si="0"/>
        <v>31.181230027397259</v>
      </c>
      <c r="J41" s="14">
        <f t="shared" si="0"/>
        <v>31.181230027397259</v>
      </c>
      <c r="K41" s="14">
        <f t="shared" si="0"/>
        <v>31.181230027397259</v>
      </c>
      <c r="L41" s="14">
        <f t="shared" si="0"/>
        <v>31.181230027397259</v>
      </c>
      <c r="M41" s="14">
        <f t="shared" si="0"/>
        <v>31.181230027397259</v>
      </c>
      <c r="N41" s="14">
        <f t="shared" si="0"/>
        <v>31.181230027397259</v>
      </c>
      <c r="O41" s="14">
        <f t="shared" si="0"/>
        <v>31.181230027397259</v>
      </c>
      <c r="P41" s="14">
        <f t="shared" si="0"/>
        <v>31.181230027397259</v>
      </c>
      <c r="Q41" s="14">
        <f t="shared" si="0"/>
        <v>31.181230027397259</v>
      </c>
      <c r="R41" s="14" t="e">
        <f t="shared" si="0"/>
        <v>#REF!</v>
      </c>
      <c r="S41" s="14" t="e">
        <f t="shared" si="0"/>
        <v>#REF!</v>
      </c>
      <c r="T41" s="381" t="e">
        <f t="shared" si="0"/>
        <v>#REF!</v>
      </c>
      <c r="U41" s="381" t="e">
        <f t="shared" si="0"/>
        <v>#REF!</v>
      </c>
      <c r="V41" s="381" t="e">
        <f t="shared" si="0"/>
        <v>#REF!</v>
      </c>
      <c r="W41" s="381" t="e">
        <f t="shared" si="0"/>
        <v>#REF!</v>
      </c>
    </row>
    <row r="42" spans="1:41">
      <c r="A42" s="129"/>
      <c r="B42" s="258"/>
      <c r="C42" s="258"/>
      <c r="D42" s="316"/>
      <c r="E42" s="258"/>
      <c r="F42" s="258"/>
      <c r="G42" s="258"/>
      <c r="H42" s="258"/>
      <c r="I42" s="258"/>
      <c r="J42" s="258"/>
      <c r="K42" s="258"/>
      <c r="L42" s="258"/>
      <c r="M42" s="258"/>
      <c r="N42" s="258"/>
      <c r="O42" s="258"/>
      <c r="P42" s="258"/>
      <c r="Q42" s="258"/>
      <c r="R42" s="258"/>
      <c r="S42" s="258"/>
      <c r="T42" s="379"/>
      <c r="U42" s="379"/>
      <c r="V42" s="379"/>
      <c r="W42" s="379"/>
    </row>
    <row r="43" spans="1:41">
      <c r="A43" s="17" t="s">
        <v>25</v>
      </c>
      <c r="B43" s="258"/>
      <c r="C43" s="13"/>
      <c r="D43" s="316"/>
      <c r="E43" s="258"/>
      <c r="F43" s="258"/>
      <c r="G43" s="258"/>
      <c r="H43" s="258"/>
      <c r="I43" s="258"/>
      <c r="J43" s="258"/>
      <c r="K43" s="258"/>
      <c r="L43" s="258"/>
      <c r="M43" s="258"/>
      <c r="N43" s="258"/>
      <c r="O43" s="258"/>
      <c r="P43" s="258"/>
      <c r="Q43" s="258"/>
      <c r="R43" s="258"/>
      <c r="S43" s="258"/>
      <c r="T43" s="379"/>
      <c r="U43" s="379"/>
      <c r="V43" s="379"/>
      <c r="W43" s="379"/>
    </row>
    <row r="44" spans="1:41">
      <c r="A44" s="129"/>
      <c r="B44" s="13" t="s">
        <v>26</v>
      </c>
      <c r="C44" s="258" t="s">
        <v>22</v>
      </c>
      <c r="D44" s="316"/>
      <c r="E44" s="187">
        <v>20</v>
      </c>
      <c r="F44" s="187">
        <v>20</v>
      </c>
      <c r="G44" s="187">
        <v>20</v>
      </c>
      <c r="H44" s="187">
        <v>20</v>
      </c>
      <c r="I44" s="187">
        <v>20</v>
      </c>
      <c r="J44" s="187">
        <v>20</v>
      </c>
      <c r="K44" s="187">
        <v>20</v>
      </c>
      <c r="L44" s="187">
        <v>20</v>
      </c>
      <c r="M44" s="187">
        <v>20</v>
      </c>
      <c r="N44" s="187">
        <v>20</v>
      </c>
      <c r="O44" s="187">
        <v>20</v>
      </c>
      <c r="P44" s="187">
        <v>20</v>
      </c>
      <c r="Q44" s="187">
        <v>20</v>
      </c>
      <c r="R44" s="187">
        <v>20</v>
      </c>
      <c r="S44" s="187">
        <v>20</v>
      </c>
      <c r="T44" s="380">
        <v>20</v>
      </c>
      <c r="U44" s="380">
        <v>20</v>
      </c>
      <c r="V44" s="380">
        <v>20</v>
      </c>
      <c r="W44" s="380">
        <v>20</v>
      </c>
    </row>
    <row r="45" spans="1:41">
      <c r="A45" s="129"/>
      <c r="B45" s="13" t="s">
        <v>27</v>
      </c>
      <c r="C45" s="258"/>
      <c r="D45" s="316"/>
      <c r="E45" s="14">
        <f>'Cashflow '!F21</f>
        <v>173.15760216219968</v>
      </c>
      <c r="F45" s="14">
        <f>'Cashflow '!G21</f>
        <v>225.80529769295458</v>
      </c>
      <c r="G45" s="14">
        <f>'Cashflow '!H21</f>
        <v>242.02866523096355</v>
      </c>
      <c r="H45" s="14">
        <f>'Cashflow '!I21</f>
        <v>245.57560072200224</v>
      </c>
      <c r="I45" s="14">
        <f>'Cashflow '!J21</f>
        <v>248.59951288198923</v>
      </c>
      <c r="J45" s="14">
        <f>'Cashflow '!K21</f>
        <v>251.93074635460789</v>
      </c>
      <c r="K45" s="14">
        <f>'Cashflow '!L21</f>
        <v>255.23954875641664</v>
      </c>
      <c r="L45" s="14">
        <f>'Cashflow '!M21</f>
        <v>258.68240811345078</v>
      </c>
      <c r="M45" s="14">
        <f>'Cashflow '!N21</f>
        <v>262.51603511253973</v>
      </c>
      <c r="N45" s="14">
        <f>'Cashflow '!O21</f>
        <v>265.33476503681482</v>
      </c>
      <c r="O45" s="14">
        <f>'Cashflow '!P21</f>
        <v>268.37233100254736</v>
      </c>
      <c r="P45" s="14">
        <f>'Cashflow '!Q21</f>
        <v>271.516216093384</v>
      </c>
      <c r="Q45" s="14">
        <f>'Cashflow '!R21</f>
        <v>274.45623530348007</v>
      </c>
      <c r="R45" s="14" t="e">
        <f>'Cashflow '!#REF!</f>
        <v>#REF!</v>
      </c>
      <c r="S45" s="14" t="e">
        <f>'Cashflow '!#REF!</f>
        <v>#REF!</v>
      </c>
      <c r="T45" s="381" t="e">
        <f>'Cashflow '!#REF!</f>
        <v>#REF!</v>
      </c>
      <c r="U45" s="381" t="e">
        <f>'Cashflow '!#REF!</f>
        <v>#REF!</v>
      </c>
      <c r="V45" s="381" t="e">
        <f>'Cashflow '!#REF!</f>
        <v>#REF!</v>
      </c>
      <c r="W45" s="381" t="e">
        <f>'Cashflow '!#REF!</f>
        <v>#REF!</v>
      </c>
    </row>
    <row r="46" spans="1:41">
      <c r="A46" s="129"/>
      <c r="B46" s="13" t="s">
        <v>28</v>
      </c>
      <c r="C46" s="258"/>
      <c r="D46" s="316"/>
      <c r="E46" s="14">
        <f>+E45/365*E44</f>
        <v>9.4880877897095708</v>
      </c>
      <c r="F46" s="14">
        <f t="shared" ref="F46:W46" si="1">+F45/365*F44</f>
        <v>12.372893024271484</v>
      </c>
      <c r="G46" s="14">
        <f t="shared" si="1"/>
        <v>13.261844670189785</v>
      </c>
      <c r="H46" s="14">
        <f t="shared" si="1"/>
        <v>13.45619729983574</v>
      </c>
      <c r="I46" s="14">
        <f t="shared" si="1"/>
        <v>13.621891116821327</v>
      </c>
      <c r="J46" s="14">
        <f t="shared" si="1"/>
        <v>13.804424457786734</v>
      </c>
      <c r="K46" s="14">
        <f t="shared" si="1"/>
        <v>13.985728698981735</v>
      </c>
      <c r="L46" s="14">
        <f t="shared" si="1"/>
        <v>14.174378526764427</v>
      </c>
      <c r="M46" s="14">
        <f t="shared" si="1"/>
        <v>14.384440280139163</v>
      </c>
      <c r="N46" s="14">
        <f t="shared" si="1"/>
        <v>14.538891234893963</v>
      </c>
      <c r="O46" s="14">
        <f t="shared" si="1"/>
        <v>14.705333205619034</v>
      </c>
      <c r="P46" s="14">
        <f t="shared" si="1"/>
        <v>14.87760088182926</v>
      </c>
      <c r="Q46" s="14">
        <f t="shared" si="1"/>
        <v>15.038697824848224</v>
      </c>
      <c r="R46" s="14" t="e">
        <f t="shared" si="1"/>
        <v>#REF!</v>
      </c>
      <c r="S46" s="14" t="e">
        <f t="shared" si="1"/>
        <v>#REF!</v>
      </c>
      <c r="T46" s="381" t="e">
        <f t="shared" si="1"/>
        <v>#REF!</v>
      </c>
      <c r="U46" s="381" t="e">
        <f t="shared" si="1"/>
        <v>#REF!</v>
      </c>
      <c r="V46" s="381" t="e">
        <f t="shared" si="1"/>
        <v>#REF!</v>
      </c>
      <c r="W46" s="381" t="e">
        <f t="shared" si="1"/>
        <v>#REF!</v>
      </c>
    </row>
    <row r="47" spans="1:41">
      <c r="A47" s="129"/>
      <c r="B47" s="258"/>
      <c r="C47" s="258"/>
      <c r="D47" s="316"/>
      <c r="E47" s="258"/>
      <c r="F47" s="258"/>
      <c r="G47" s="258"/>
      <c r="H47" s="258"/>
      <c r="I47" s="258"/>
      <c r="J47" s="258"/>
      <c r="K47" s="258"/>
      <c r="L47" s="258"/>
      <c r="M47" s="258"/>
      <c r="N47" s="258"/>
      <c r="O47" s="316"/>
      <c r="P47" s="316"/>
      <c r="Q47" s="316"/>
      <c r="R47" s="258"/>
      <c r="S47" s="258"/>
      <c r="T47" s="378"/>
      <c r="U47" s="378"/>
      <c r="V47" s="378"/>
      <c r="W47" s="379"/>
    </row>
    <row r="48" spans="1:41">
      <c r="A48" s="17" t="s">
        <v>29</v>
      </c>
      <c r="B48" s="258"/>
      <c r="C48" s="13"/>
      <c r="D48" s="316"/>
      <c r="E48" s="258"/>
      <c r="F48" s="258"/>
      <c r="G48" s="258"/>
      <c r="H48" s="258"/>
      <c r="I48" s="258"/>
      <c r="J48" s="258"/>
      <c r="K48" s="258"/>
      <c r="L48" s="258"/>
      <c r="M48" s="258"/>
      <c r="N48" s="258"/>
      <c r="O48" s="316"/>
      <c r="P48" s="316"/>
      <c r="Q48" s="316"/>
      <c r="R48" s="258"/>
      <c r="S48" s="258"/>
      <c r="T48" s="378"/>
      <c r="U48" s="378"/>
      <c r="V48" s="378"/>
      <c r="W48" s="379"/>
    </row>
    <row r="49" spans="1:23">
      <c r="A49" s="129"/>
      <c r="B49" s="13" t="s">
        <v>30</v>
      </c>
      <c r="C49" s="258" t="s">
        <v>22</v>
      </c>
      <c r="D49" s="316"/>
      <c r="E49" s="187">
        <v>10</v>
      </c>
      <c r="F49" s="187">
        <v>10</v>
      </c>
      <c r="G49" s="187">
        <v>10</v>
      </c>
      <c r="H49" s="187">
        <v>10</v>
      </c>
      <c r="I49" s="187">
        <v>10</v>
      </c>
      <c r="J49" s="187">
        <v>10</v>
      </c>
      <c r="K49" s="187">
        <v>10</v>
      </c>
      <c r="L49" s="187">
        <v>10</v>
      </c>
      <c r="M49" s="187">
        <v>10</v>
      </c>
      <c r="N49" s="187">
        <v>10</v>
      </c>
      <c r="O49" s="187">
        <v>10</v>
      </c>
      <c r="P49" s="187">
        <v>10</v>
      </c>
      <c r="Q49" s="187">
        <v>10</v>
      </c>
      <c r="R49" s="187">
        <v>10</v>
      </c>
      <c r="S49" s="187">
        <v>10</v>
      </c>
      <c r="T49" s="380">
        <v>10</v>
      </c>
      <c r="U49" s="380">
        <v>10</v>
      </c>
      <c r="V49" s="380">
        <v>10</v>
      </c>
      <c r="W49" s="380">
        <v>10</v>
      </c>
    </row>
    <row r="50" spans="1:23">
      <c r="A50" s="129"/>
      <c r="B50" s="13" t="s">
        <v>31</v>
      </c>
      <c r="C50" s="258"/>
      <c r="D50" s="316"/>
      <c r="E50" s="14">
        <f>-E45</f>
        <v>-173.15760216219968</v>
      </c>
      <c r="F50" s="14">
        <f t="shared" ref="F50:W50" si="2">-F45</f>
        <v>-225.80529769295458</v>
      </c>
      <c r="G50" s="14">
        <f t="shared" si="2"/>
        <v>-242.02866523096355</v>
      </c>
      <c r="H50" s="14">
        <f t="shared" si="2"/>
        <v>-245.57560072200224</v>
      </c>
      <c r="I50" s="14">
        <f t="shared" si="2"/>
        <v>-248.59951288198923</v>
      </c>
      <c r="J50" s="14">
        <f t="shared" si="2"/>
        <v>-251.93074635460789</v>
      </c>
      <c r="K50" s="14">
        <f t="shared" si="2"/>
        <v>-255.23954875641664</v>
      </c>
      <c r="L50" s="14">
        <f t="shared" si="2"/>
        <v>-258.68240811345078</v>
      </c>
      <c r="M50" s="14">
        <f>-M45</f>
        <v>-262.51603511253973</v>
      </c>
      <c r="N50" s="14">
        <f t="shared" si="2"/>
        <v>-265.33476503681482</v>
      </c>
      <c r="O50" s="14">
        <f t="shared" si="2"/>
        <v>-268.37233100254736</v>
      </c>
      <c r="P50" s="14">
        <f t="shared" si="2"/>
        <v>-271.516216093384</v>
      </c>
      <c r="Q50" s="14">
        <f t="shared" si="2"/>
        <v>-274.45623530348007</v>
      </c>
      <c r="R50" s="14" t="e">
        <f t="shared" si="2"/>
        <v>#REF!</v>
      </c>
      <c r="S50" s="14" t="e">
        <f t="shared" si="2"/>
        <v>#REF!</v>
      </c>
      <c r="T50" s="381" t="e">
        <f t="shared" si="2"/>
        <v>#REF!</v>
      </c>
      <c r="U50" s="381" t="e">
        <f t="shared" si="2"/>
        <v>#REF!</v>
      </c>
      <c r="V50" s="381" t="e">
        <f t="shared" si="2"/>
        <v>#REF!</v>
      </c>
      <c r="W50" s="381" t="e">
        <f t="shared" si="2"/>
        <v>#REF!</v>
      </c>
    </row>
    <row r="51" spans="1:23">
      <c r="A51" s="124"/>
      <c r="B51" s="18" t="s">
        <v>31</v>
      </c>
      <c r="C51" s="260"/>
      <c r="D51" s="317"/>
      <c r="E51" s="19">
        <f>+E50/365*E49</f>
        <v>-4.7440438948547854</v>
      </c>
      <c r="F51" s="19">
        <f t="shared" ref="F51:W51" si="3">+F50/365*F49</f>
        <v>-6.1864465121357419</v>
      </c>
      <c r="G51" s="19">
        <f t="shared" si="3"/>
        <v>-6.6309223350948923</v>
      </c>
      <c r="H51" s="19">
        <f t="shared" si="3"/>
        <v>-6.7280986499178699</v>
      </c>
      <c r="I51" s="19">
        <f t="shared" si="3"/>
        <v>-6.8109455584106637</v>
      </c>
      <c r="J51" s="19">
        <f t="shared" si="3"/>
        <v>-6.9022122288933669</v>
      </c>
      <c r="K51" s="19">
        <f t="shared" si="3"/>
        <v>-6.9928643494908673</v>
      </c>
      <c r="L51" s="19">
        <f t="shared" si="3"/>
        <v>-7.0871892633822133</v>
      </c>
      <c r="M51" s="19">
        <f t="shared" si="3"/>
        <v>-7.1922201400695815</v>
      </c>
      <c r="N51" s="19">
        <f t="shared" si="3"/>
        <v>-7.2694456174469817</v>
      </c>
      <c r="O51" s="19">
        <f t="shared" si="3"/>
        <v>-7.3526666028095171</v>
      </c>
      <c r="P51" s="19">
        <f t="shared" si="3"/>
        <v>-7.4388004409146298</v>
      </c>
      <c r="Q51" s="19">
        <f t="shared" si="3"/>
        <v>-7.5193489124241122</v>
      </c>
      <c r="R51" s="19" t="e">
        <f t="shared" si="3"/>
        <v>#REF!</v>
      </c>
      <c r="S51" s="19" t="e">
        <f t="shared" si="3"/>
        <v>#REF!</v>
      </c>
      <c r="T51" s="382" t="e">
        <f t="shared" si="3"/>
        <v>#REF!</v>
      </c>
      <c r="U51" s="382" t="e">
        <f t="shared" si="3"/>
        <v>#REF!</v>
      </c>
      <c r="V51" s="382" t="e">
        <f t="shared" si="3"/>
        <v>#REF!</v>
      </c>
      <c r="W51" s="382" t="e">
        <f t="shared" si="3"/>
        <v>#REF!</v>
      </c>
    </row>
    <row r="52" spans="1:23">
      <c r="A52" s="260"/>
      <c r="B52" s="18"/>
      <c r="C52" s="260"/>
      <c r="F52" s="327"/>
      <c r="G52" s="327"/>
      <c r="H52" s="327"/>
      <c r="I52" s="327"/>
      <c r="J52" s="327"/>
      <c r="K52" s="327"/>
    </row>
    <row r="53" spans="1:23" ht="22.5" customHeight="1">
      <c r="A53" s="867" t="s">
        <v>283</v>
      </c>
      <c r="B53" s="867"/>
      <c r="C53" s="867"/>
    </row>
    <row r="54" spans="1:23">
      <c r="A54" s="848" t="s">
        <v>269</v>
      </c>
      <c r="B54" s="849"/>
      <c r="C54" s="868"/>
    </row>
    <row r="55" spans="1:23">
      <c r="A55" s="257" t="s">
        <v>63</v>
      </c>
      <c r="B55" s="257" t="s">
        <v>80</v>
      </c>
      <c r="C55" s="257" t="s">
        <v>79</v>
      </c>
    </row>
    <row r="56" spans="1:23">
      <c r="A56" s="22">
        <v>1</v>
      </c>
      <c r="B56" s="97" t="s">
        <v>194</v>
      </c>
      <c r="C56" s="98">
        <f>(Norms!C39*Norms!D39)/10^7</f>
        <v>16.108560000000001</v>
      </c>
    </row>
    <row r="57" spans="1:23">
      <c r="A57" s="189"/>
      <c r="B57" s="262" t="s">
        <v>76</v>
      </c>
      <c r="C57" s="191">
        <f>SUM(C56:C56)</f>
        <v>16.108560000000001</v>
      </c>
    </row>
    <row r="58" spans="1:23">
      <c r="A58" s="848" t="s">
        <v>269</v>
      </c>
      <c r="B58" s="849"/>
      <c r="C58" s="868"/>
    </row>
    <row r="59" spans="1:23">
      <c r="A59" s="257" t="s">
        <v>63</v>
      </c>
      <c r="B59" s="257" t="s">
        <v>80</v>
      </c>
      <c r="C59" s="257" t="s">
        <v>79</v>
      </c>
    </row>
    <row r="60" spans="1:23">
      <c r="A60" s="22">
        <v>1</v>
      </c>
      <c r="B60" s="97" t="s">
        <v>285</v>
      </c>
      <c r="C60" s="98">
        <f>(Norms!C43*Norms!D43)/10^7</f>
        <v>383.23</v>
      </c>
    </row>
    <row r="61" spans="1:23">
      <c r="A61" s="189"/>
      <c r="B61" s="262" t="s">
        <v>76</v>
      </c>
      <c r="C61" s="191">
        <f>SUM(C60:C60)</f>
        <v>383.23</v>
      </c>
    </row>
    <row r="62" spans="1:23" ht="18" customHeight="1">
      <c r="A62" s="246"/>
      <c r="B62" s="246"/>
      <c r="C62" s="246"/>
    </row>
    <row r="63" spans="1:23">
      <c r="A63" s="811" t="s">
        <v>284</v>
      </c>
      <c r="B63" s="811"/>
    </row>
    <row r="64" spans="1:23">
      <c r="A64" s="179" t="s">
        <v>51</v>
      </c>
      <c r="B64" s="181" t="s">
        <v>53</v>
      </c>
    </row>
    <row r="65" spans="1:10">
      <c r="A65" s="20" t="s">
        <v>54</v>
      </c>
      <c r="B65" s="92">
        <f>Norms!B47*Norms!C47</f>
        <v>35</v>
      </c>
    </row>
    <row r="66" spans="1:10">
      <c r="A66" s="20" t="s">
        <v>55</v>
      </c>
      <c r="B66" s="92">
        <f>Norms!B48*Norms!C48</f>
        <v>50</v>
      </c>
    </row>
    <row r="67" spans="1:10">
      <c r="A67" s="20" t="s">
        <v>56</v>
      </c>
      <c r="B67" s="92">
        <f>Norms!B49*Norms!C49</f>
        <v>60</v>
      </c>
    </row>
    <row r="68" spans="1:10">
      <c r="A68" s="20" t="s">
        <v>57</v>
      </c>
      <c r="B68" s="92">
        <f>Norms!B50*Norms!C50</f>
        <v>40</v>
      </c>
    </row>
    <row r="69" spans="1:10">
      <c r="A69" s="363" t="s">
        <v>58</v>
      </c>
      <c r="B69" s="92">
        <f>Norms!B51*Norms!C51</f>
        <v>60</v>
      </c>
    </row>
    <row r="70" spans="1:10">
      <c r="A70" s="20" t="s">
        <v>59</v>
      </c>
      <c r="B70" s="92">
        <f>Norms!B52*Norms!C52</f>
        <v>105</v>
      </c>
    </row>
    <row r="71" spans="1:10">
      <c r="A71" s="182" t="s">
        <v>62</v>
      </c>
      <c r="B71" s="184">
        <f>SUM(B65:B70)/100</f>
        <v>3.5</v>
      </c>
    </row>
    <row r="72" spans="1:10">
      <c r="A72" s="318"/>
      <c r="B72" s="318"/>
    </row>
    <row r="73" spans="1:10">
      <c r="A73" s="869" t="s">
        <v>280</v>
      </c>
      <c r="B73" s="869"/>
    </row>
    <row r="74" spans="1:10">
      <c r="A74" s="870" t="s">
        <v>286</v>
      </c>
      <c r="B74" s="871"/>
    </row>
    <row r="75" spans="1:10">
      <c r="A75" s="236" t="s">
        <v>119</v>
      </c>
      <c r="B75" s="238" t="s">
        <v>121</v>
      </c>
    </row>
    <row r="76" spans="1:10">
      <c r="A76" s="239" t="s">
        <v>122</v>
      </c>
      <c r="B76" s="383">
        <f>$B$78*Norms!B58</f>
        <v>141.13749999999999</v>
      </c>
    </row>
    <row r="77" spans="1:10">
      <c r="A77" s="239" t="s">
        <v>123</v>
      </c>
      <c r="B77" s="383">
        <f>$B$78*Norms!B59</f>
        <v>423.41249999999997</v>
      </c>
    </row>
    <row r="78" spans="1:10">
      <c r="A78" s="103" t="s">
        <v>73</v>
      </c>
      <c r="B78" s="346">
        <f>Capex!E15</f>
        <v>564.54999999999995</v>
      </c>
    </row>
    <row r="79" spans="1:10">
      <c r="A79" s="101"/>
      <c r="B79" s="247"/>
    </row>
    <row r="80" spans="1:10">
      <c r="A80" s="812" t="s">
        <v>280</v>
      </c>
      <c r="B80" s="813"/>
      <c r="C80" s="813"/>
      <c r="D80" s="813"/>
      <c r="E80" s="813"/>
      <c r="F80" s="813"/>
      <c r="G80" s="813"/>
      <c r="H80" s="813"/>
      <c r="I80" s="813"/>
      <c r="J80" s="814"/>
    </row>
    <row r="81" spans="1:10">
      <c r="A81" s="815" t="s">
        <v>287</v>
      </c>
      <c r="B81" s="816"/>
      <c r="C81" s="816"/>
      <c r="D81" s="816"/>
      <c r="E81" s="816"/>
      <c r="F81" s="816"/>
      <c r="G81" s="816"/>
      <c r="H81" s="816"/>
      <c r="I81" s="816"/>
      <c r="J81" s="817"/>
    </row>
    <row r="82" spans="1:10">
      <c r="A82" s="248" t="s">
        <v>124</v>
      </c>
      <c r="B82" s="347">
        <v>0.1</v>
      </c>
      <c r="C82" s="249"/>
      <c r="D82" s="249"/>
      <c r="E82" s="249"/>
      <c r="F82" s="249"/>
      <c r="G82" s="249"/>
      <c r="H82" s="249"/>
      <c r="I82" s="249"/>
      <c r="J82" s="250"/>
    </row>
    <row r="83" spans="1:10">
      <c r="A83" s="239" t="s">
        <v>125</v>
      </c>
      <c r="B83" s="249"/>
      <c r="C83" s="249"/>
      <c r="D83" s="249"/>
      <c r="E83" s="249"/>
      <c r="F83" s="249"/>
      <c r="G83" s="249"/>
      <c r="H83" s="249"/>
      <c r="I83" s="249"/>
      <c r="J83" s="250"/>
    </row>
    <row r="84" spans="1:10">
      <c r="A84" s="99" t="s">
        <v>126</v>
      </c>
      <c r="B84" s="101" t="s">
        <v>96</v>
      </c>
      <c r="C84" s="101" t="s">
        <v>97</v>
      </c>
      <c r="D84" s="101" t="s">
        <v>98</v>
      </c>
      <c r="E84" s="101" t="s">
        <v>99</v>
      </c>
      <c r="F84" s="101" t="s">
        <v>100</v>
      </c>
      <c r="G84" s="101" t="s">
        <v>101</v>
      </c>
      <c r="H84" s="101" t="s">
        <v>102</v>
      </c>
      <c r="I84" s="101" t="s">
        <v>103</v>
      </c>
      <c r="J84" s="102" t="s">
        <v>104</v>
      </c>
    </row>
    <row r="85" spans="1:10">
      <c r="A85" s="261" t="s">
        <v>127</v>
      </c>
      <c r="B85" s="120">
        <f>B77</f>
        <v>423.41249999999997</v>
      </c>
      <c r="C85" s="120">
        <f>B85-B87</f>
        <v>423.41249999999997</v>
      </c>
      <c r="D85" s="120">
        <f t="shared" ref="D85:J85" si="4">+C86-C88</f>
        <v>366.95749999999992</v>
      </c>
      <c r="E85" s="120">
        <f t="shared" si="4"/>
        <v>310.50249999999988</v>
      </c>
      <c r="F85" s="120">
        <f t="shared" si="4"/>
        <v>254.04749999999987</v>
      </c>
      <c r="G85" s="120">
        <f t="shared" si="4"/>
        <v>197.59249999999989</v>
      </c>
      <c r="H85" s="120">
        <f t="shared" si="4"/>
        <v>141.1374999999999</v>
      </c>
      <c r="I85" s="120">
        <f t="shared" si="4"/>
        <v>84.682499999999919</v>
      </c>
      <c r="J85" s="121">
        <f t="shared" si="4"/>
        <v>28.227499999999921</v>
      </c>
    </row>
    <row r="86" spans="1:10">
      <c r="A86" s="251"/>
      <c r="B86" s="120"/>
      <c r="C86" s="120">
        <f t="shared" ref="C86:J86" si="5">+C85-C87</f>
        <v>395.18499999999995</v>
      </c>
      <c r="D86" s="120">
        <f t="shared" si="5"/>
        <v>338.7299999999999</v>
      </c>
      <c r="E86" s="120">
        <f t="shared" si="5"/>
        <v>282.27499999999986</v>
      </c>
      <c r="F86" s="120">
        <f t="shared" si="5"/>
        <v>225.81999999999988</v>
      </c>
      <c r="G86" s="120">
        <f t="shared" si="5"/>
        <v>169.3649999999999</v>
      </c>
      <c r="H86" s="120">
        <f t="shared" si="5"/>
        <v>112.90999999999991</v>
      </c>
      <c r="I86" s="120">
        <f t="shared" si="5"/>
        <v>56.45499999999992</v>
      </c>
      <c r="J86" s="121">
        <f t="shared" si="5"/>
        <v>-7.815970093361102E-14</v>
      </c>
    </row>
    <row r="87" spans="1:10">
      <c r="A87" s="808" t="s">
        <v>128</v>
      </c>
      <c r="B87" s="120">
        <v>0</v>
      </c>
      <c r="C87" s="120">
        <f>+$B$85/15</f>
        <v>28.227499999999999</v>
      </c>
      <c r="D87" s="120">
        <f t="shared" ref="D87:J88" si="6">+$B$85/15</f>
        <v>28.227499999999999</v>
      </c>
      <c r="E87" s="120">
        <f t="shared" si="6"/>
        <v>28.227499999999999</v>
      </c>
      <c r="F87" s="120">
        <f t="shared" si="6"/>
        <v>28.227499999999999</v>
      </c>
      <c r="G87" s="120">
        <f t="shared" si="6"/>
        <v>28.227499999999999</v>
      </c>
      <c r="H87" s="120">
        <f t="shared" si="6"/>
        <v>28.227499999999999</v>
      </c>
      <c r="I87" s="120">
        <f t="shared" si="6"/>
        <v>28.227499999999999</v>
      </c>
      <c r="J87" s="121">
        <f t="shared" si="6"/>
        <v>28.227499999999999</v>
      </c>
    </row>
    <row r="88" spans="1:10">
      <c r="A88" s="808"/>
      <c r="B88" s="120">
        <v>0</v>
      </c>
      <c r="C88" s="120">
        <f>+$B$85/15</f>
        <v>28.227499999999999</v>
      </c>
      <c r="D88" s="120">
        <f t="shared" si="6"/>
        <v>28.227499999999999</v>
      </c>
      <c r="E88" s="120">
        <f t="shared" si="6"/>
        <v>28.227499999999999</v>
      </c>
      <c r="F88" s="120">
        <f t="shared" si="6"/>
        <v>28.227499999999999</v>
      </c>
      <c r="G88" s="120">
        <f t="shared" si="6"/>
        <v>28.227499999999999</v>
      </c>
      <c r="H88" s="120">
        <f t="shared" si="6"/>
        <v>28.227499999999999</v>
      </c>
      <c r="I88" s="120">
        <f t="shared" si="6"/>
        <v>28.227499999999999</v>
      </c>
      <c r="J88" s="121">
        <f t="shared" si="6"/>
        <v>28.227499999999999</v>
      </c>
    </row>
    <row r="89" spans="1:10">
      <c r="A89" s="261" t="s">
        <v>129</v>
      </c>
      <c r="B89" s="120">
        <f t="shared" ref="B89:J89" si="7">SUM(B87:B88)</f>
        <v>0</v>
      </c>
      <c r="C89" s="120">
        <f t="shared" si="7"/>
        <v>56.454999999999998</v>
      </c>
      <c r="D89" s="120">
        <f t="shared" si="7"/>
        <v>56.454999999999998</v>
      </c>
      <c r="E89" s="120">
        <f t="shared" si="7"/>
        <v>56.454999999999998</v>
      </c>
      <c r="F89" s="120">
        <f t="shared" si="7"/>
        <v>56.454999999999998</v>
      </c>
      <c r="G89" s="120">
        <f t="shared" si="7"/>
        <v>56.454999999999998</v>
      </c>
      <c r="H89" s="120">
        <f t="shared" si="7"/>
        <v>56.454999999999998</v>
      </c>
      <c r="I89" s="120">
        <f t="shared" si="7"/>
        <v>56.454999999999998</v>
      </c>
      <c r="J89" s="121">
        <f t="shared" si="7"/>
        <v>56.454999999999998</v>
      </c>
    </row>
    <row r="90" spans="1:10">
      <c r="A90" s="808" t="s">
        <v>130</v>
      </c>
      <c r="B90" s="120">
        <f>+B85*$B$82/2</f>
        <v>21.170625000000001</v>
      </c>
      <c r="C90" s="120">
        <f t="shared" ref="C90:J91" si="8">+C85*$B$82/2</f>
        <v>21.170625000000001</v>
      </c>
      <c r="D90" s="120">
        <f t="shared" si="8"/>
        <v>18.347874999999998</v>
      </c>
      <c r="E90" s="120">
        <f t="shared" si="8"/>
        <v>15.525124999999996</v>
      </c>
      <c r="F90" s="120">
        <f t="shared" si="8"/>
        <v>12.702374999999995</v>
      </c>
      <c r="G90" s="120">
        <f t="shared" si="8"/>
        <v>9.8796249999999954</v>
      </c>
      <c r="H90" s="120">
        <f t="shared" si="8"/>
        <v>7.0568749999999953</v>
      </c>
      <c r="I90" s="120">
        <f t="shared" si="8"/>
        <v>4.2341249999999961</v>
      </c>
      <c r="J90" s="121">
        <f t="shared" si="8"/>
        <v>1.411374999999996</v>
      </c>
    </row>
    <row r="91" spans="1:10">
      <c r="A91" s="808"/>
      <c r="B91" s="120">
        <f>+B90</f>
        <v>21.170625000000001</v>
      </c>
      <c r="C91" s="120">
        <f>+C86*$B$82/2</f>
        <v>19.759249999999998</v>
      </c>
      <c r="D91" s="120">
        <f t="shared" si="8"/>
        <v>16.936499999999995</v>
      </c>
      <c r="E91" s="120">
        <f t="shared" si="8"/>
        <v>14.113749999999994</v>
      </c>
      <c r="F91" s="120">
        <f t="shared" si="8"/>
        <v>11.290999999999995</v>
      </c>
      <c r="G91" s="120">
        <f t="shared" si="8"/>
        <v>8.4682499999999958</v>
      </c>
      <c r="H91" s="120">
        <f t="shared" si="8"/>
        <v>5.6454999999999957</v>
      </c>
      <c r="I91" s="120">
        <f t="shared" si="8"/>
        <v>2.8227499999999961</v>
      </c>
      <c r="J91" s="121">
        <f t="shared" si="8"/>
        <v>-3.9079850466805513E-15</v>
      </c>
    </row>
    <row r="92" spans="1:10">
      <c r="A92" s="252" t="s">
        <v>131</v>
      </c>
      <c r="B92" s="253">
        <f>+B90+B91</f>
        <v>42.341250000000002</v>
      </c>
      <c r="C92" s="253">
        <f>+C90+C91</f>
        <v>40.929874999999996</v>
      </c>
      <c r="D92" s="253">
        <f>+D90+D91</f>
        <v>35.284374999999997</v>
      </c>
      <c r="E92" s="253">
        <f>+E90+E91</f>
        <v>29.638874999999992</v>
      </c>
      <c r="F92" s="253">
        <f>+F90+F91</f>
        <v>23.99337499999999</v>
      </c>
      <c r="G92" s="253">
        <f>+G90+12</f>
        <v>21.879624999999997</v>
      </c>
      <c r="H92" s="253">
        <f>+H90+12</f>
        <v>19.056874999999994</v>
      </c>
      <c r="I92" s="253">
        <f>+I90+12</f>
        <v>16.234124999999995</v>
      </c>
      <c r="J92" s="240">
        <f>+J90+12</f>
        <v>13.411374999999996</v>
      </c>
    </row>
  </sheetData>
  <mergeCells count="22">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 ref="A87:A88"/>
    <mergeCell ref="A90:A91"/>
    <mergeCell ref="A53:C53"/>
    <mergeCell ref="A54:C54"/>
    <mergeCell ref="A58:C58"/>
    <mergeCell ref="A81:J8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2FA5B-7CB7-4A1B-8777-719D1ED33B33}">
  <dimension ref="A2:S13"/>
  <sheetViews>
    <sheetView showGridLines="0" workbookViewId="0">
      <selection activeCell="J12" sqref="J12"/>
    </sheetView>
  </sheetViews>
  <sheetFormatPr defaultRowHeight="15"/>
  <cols>
    <col min="2" max="2" width="18.140625" bestFit="1" customWidth="1"/>
    <col min="3" max="3" width="19" bestFit="1" customWidth="1"/>
  </cols>
  <sheetData>
    <row r="2" spans="1:19">
      <c r="A2" s="445" t="s">
        <v>371</v>
      </c>
      <c r="B2" s="446"/>
      <c r="C2" s="447"/>
      <c r="D2" s="447"/>
      <c r="E2" s="447"/>
      <c r="F2" s="447"/>
      <c r="G2" s="447"/>
      <c r="H2" s="447"/>
      <c r="I2" s="447"/>
      <c r="J2" s="447"/>
      <c r="K2" s="447"/>
      <c r="L2" s="447"/>
      <c r="M2" s="447"/>
      <c r="N2" s="447"/>
      <c r="O2" s="447"/>
      <c r="P2" s="447"/>
      <c r="Q2" s="447"/>
      <c r="R2" s="447"/>
      <c r="S2" s="3"/>
    </row>
    <row r="3" spans="1:19">
      <c r="A3" s="448"/>
      <c r="B3" s="449"/>
      <c r="C3" s="447"/>
      <c r="D3" s="447"/>
      <c r="E3" s="447"/>
      <c r="F3" s="447"/>
      <c r="G3" s="447"/>
      <c r="H3" s="447"/>
      <c r="I3" s="447"/>
      <c r="J3" s="447"/>
      <c r="K3" s="447"/>
      <c r="L3" s="447"/>
      <c r="M3" s="447"/>
      <c r="N3" s="447"/>
      <c r="O3" s="447"/>
      <c r="P3" s="447"/>
      <c r="Q3" s="447"/>
      <c r="R3" s="447"/>
      <c r="S3" s="3"/>
    </row>
    <row r="4" spans="1:19">
      <c r="A4" s="447"/>
      <c r="B4" s="450" t="s">
        <v>372</v>
      </c>
      <c r="C4" s="451">
        <v>1</v>
      </c>
      <c r="D4" s="447"/>
      <c r="E4" s="447"/>
      <c r="F4" s="447"/>
      <c r="G4" s="447"/>
      <c r="H4" s="447">
        <f>31*42</f>
        <v>1302</v>
      </c>
      <c r="I4" s="447"/>
      <c r="J4" s="447"/>
      <c r="K4" s="447"/>
      <c r="L4" s="447"/>
      <c r="M4" s="447"/>
      <c r="N4" s="447"/>
      <c r="O4" s="447"/>
      <c r="P4" s="447"/>
      <c r="Q4" s="447"/>
      <c r="R4" s="447"/>
      <c r="S4" s="3"/>
    </row>
    <row r="5" spans="1:19">
      <c r="A5" s="447"/>
      <c r="B5" s="452" t="s">
        <v>373</v>
      </c>
      <c r="C5" s="453">
        <v>8</v>
      </c>
      <c r="D5" s="447"/>
      <c r="E5" s="447"/>
      <c r="F5" s="447"/>
      <c r="G5" s="447"/>
      <c r="H5" s="447"/>
      <c r="I5" s="447"/>
      <c r="J5" s="447"/>
      <c r="K5" s="447"/>
      <c r="L5" s="447"/>
      <c r="M5" s="447"/>
      <c r="N5" s="447"/>
      <c r="O5" s="447"/>
      <c r="P5" s="447"/>
      <c r="Q5" s="447"/>
      <c r="R5" s="447"/>
      <c r="S5" s="3"/>
    </row>
    <row r="6" spans="1:19">
      <c r="A6" s="447"/>
      <c r="B6" s="452" t="s">
        <v>363</v>
      </c>
      <c r="C6" s="454">
        <v>0.11</v>
      </c>
      <c r="D6" s="447"/>
      <c r="E6" s="447"/>
      <c r="F6" s="447"/>
      <c r="G6" s="447"/>
      <c r="H6" s="447"/>
      <c r="I6" s="447"/>
      <c r="J6" s="447"/>
      <c r="K6" s="447"/>
      <c r="L6" s="447"/>
      <c r="M6" s="447"/>
      <c r="N6" s="447"/>
      <c r="O6" s="447"/>
      <c r="P6" s="447"/>
      <c r="Q6" s="447"/>
      <c r="R6" s="447"/>
      <c r="S6" s="3"/>
    </row>
    <row r="7" spans="1:19">
      <c r="A7" s="447"/>
      <c r="B7" s="452" t="s">
        <v>374</v>
      </c>
      <c r="C7" s="455">
        <f>Norms!B84</f>
        <v>423.41249999999997</v>
      </c>
      <c r="D7" s="456"/>
      <c r="E7" s="447"/>
      <c r="F7" s="447"/>
      <c r="G7" s="447"/>
      <c r="H7" s="447"/>
      <c r="I7" s="447"/>
      <c r="J7" s="447"/>
      <c r="K7" s="447"/>
      <c r="L7" s="447"/>
      <c r="M7" s="447"/>
      <c r="N7" s="447"/>
      <c r="O7" s="447"/>
      <c r="P7" s="447"/>
      <c r="Q7" s="447"/>
      <c r="R7" s="447"/>
      <c r="S7" s="3"/>
    </row>
    <row r="8" spans="1:19">
      <c r="A8" s="447"/>
      <c r="B8" s="452" t="s">
        <v>375</v>
      </c>
      <c r="C8" s="455">
        <f>C7/C5</f>
        <v>52.926562499999996</v>
      </c>
      <c r="D8" s="447"/>
      <c r="E8" s="447"/>
      <c r="F8" s="447"/>
      <c r="G8" s="447"/>
      <c r="H8" s="447"/>
      <c r="I8" s="447"/>
      <c r="J8" s="447"/>
      <c r="K8" s="447"/>
      <c r="L8" s="447"/>
      <c r="M8" s="447"/>
      <c r="N8" s="447"/>
      <c r="O8" s="447"/>
      <c r="P8" s="447"/>
      <c r="Q8" s="447"/>
      <c r="R8" s="447"/>
      <c r="S8" s="3"/>
    </row>
    <row r="9" spans="1:19">
      <c r="A9" s="447"/>
      <c r="B9" s="447"/>
      <c r="C9" s="447"/>
      <c r="D9" s="447"/>
      <c r="E9" s="447"/>
      <c r="F9" s="447"/>
      <c r="G9" s="447"/>
      <c r="H9" s="447"/>
      <c r="I9" s="447"/>
      <c r="J9" s="447"/>
      <c r="K9" s="447"/>
      <c r="L9" s="447"/>
      <c r="M9" s="447"/>
      <c r="N9" s="447"/>
      <c r="O9" s="447"/>
      <c r="P9" s="447"/>
      <c r="Q9" s="447"/>
      <c r="R9" s="447"/>
      <c r="S9" s="3"/>
    </row>
    <row r="10" spans="1:19">
      <c r="A10" s="457"/>
      <c r="B10" s="457"/>
      <c r="C10" s="458" t="s">
        <v>376</v>
      </c>
      <c r="D10" s="459">
        <v>-1</v>
      </c>
      <c r="E10" s="459">
        <v>1</v>
      </c>
      <c r="F10" s="459">
        <v>2</v>
      </c>
      <c r="G10" s="459">
        <v>3</v>
      </c>
      <c r="H10" s="459">
        <v>4</v>
      </c>
      <c r="I10" s="459">
        <v>5</v>
      </c>
      <c r="J10" s="459">
        <v>6</v>
      </c>
      <c r="K10" s="459">
        <v>7</v>
      </c>
      <c r="L10" s="459">
        <v>8</v>
      </c>
      <c r="M10" s="459">
        <v>9</v>
      </c>
      <c r="N10" s="459">
        <v>10</v>
      </c>
      <c r="O10" s="459">
        <v>11</v>
      </c>
      <c r="P10" s="459">
        <v>12</v>
      </c>
      <c r="Q10" s="459">
        <v>13</v>
      </c>
      <c r="R10" s="459">
        <v>14</v>
      </c>
      <c r="S10" s="459">
        <v>15</v>
      </c>
    </row>
    <row r="11" spans="1:19">
      <c r="A11" s="452"/>
      <c r="B11" s="452" t="s">
        <v>377</v>
      </c>
      <c r="C11" s="451"/>
      <c r="D11" s="451"/>
      <c r="E11" s="453">
        <f>IF(E10&lt;=$C$5,$C$8,0)</f>
        <v>52.926562499999996</v>
      </c>
      <c r="F11" s="453">
        <f t="shared" ref="F11:S11" si="0">IF(F10&lt;=$C$5,$C$8,0)</f>
        <v>52.926562499999996</v>
      </c>
      <c r="G11" s="453">
        <f t="shared" si="0"/>
        <v>52.926562499999996</v>
      </c>
      <c r="H11" s="453">
        <f t="shared" si="0"/>
        <v>52.926562499999996</v>
      </c>
      <c r="I11" s="453">
        <f t="shared" si="0"/>
        <v>52.926562499999996</v>
      </c>
      <c r="J11" s="453">
        <f t="shared" si="0"/>
        <v>52.926562499999996</v>
      </c>
      <c r="K11" s="453">
        <f t="shared" si="0"/>
        <v>52.926562499999996</v>
      </c>
      <c r="L11" s="453">
        <f t="shared" si="0"/>
        <v>52.926562499999996</v>
      </c>
      <c r="M11" s="453">
        <f t="shared" si="0"/>
        <v>0</v>
      </c>
      <c r="N11" s="453">
        <f t="shared" si="0"/>
        <v>0</v>
      </c>
      <c r="O11" s="453">
        <f t="shared" si="0"/>
        <v>0</v>
      </c>
      <c r="P11" s="453">
        <f t="shared" si="0"/>
        <v>0</v>
      </c>
      <c r="Q11" s="453">
        <f t="shared" si="0"/>
        <v>0</v>
      </c>
      <c r="R11" s="453">
        <f t="shared" si="0"/>
        <v>0</v>
      </c>
      <c r="S11" s="453">
        <f t="shared" si="0"/>
        <v>0</v>
      </c>
    </row>
    <row r="12" spans="1:19">
      <c r="A12" s="452"/>
      <c r="B12" s="452" t="s">
        <v>378</v>
      </c>
      <c r="C12" s="455">
        <v>0</v>
      </c>
      <c r="D12" s="455">
        <f>Norms!C59</f>
        <v>423.41249999999997</v>
      </c>
      <c r="E12" s="455">
        <f>C7</f>
        <v>423.41249999999997</v>
      </c>
      <c r="F12" s="455">
        <f>E12-E11</f>
        <v>370.48593749999998</v>
      </c>
      <c r="G12" s="455">
        <f t="shared" ref="G12:S12" si="1">F12-F11</f>
        <v>317.55937499999999</v>
      </c>
      <c r="H12" s="455">
        <f t="shared" si="1"/>
        <v>264.6328125</v>
      </c>
      <c r="I12" s="455">
        <f>H12-H11</f>
        <v>211.70625000000001</v>
      </c>
      <c r="J12" s="455">
        <f t="shared" si="1"/>
        <v>158.77968750000002</v>
      </c>
      <c r="K12" s="455">
        <f>J12-J11</f>
        <v>105.85312500000003</v>
      </c>
      <c r="L12" s="455">
        <f t="shared" si="1"/>
        <v>52.926562500000038</v>
      </c>
      <c r="M12" s="455">
        <f t="shared" si="1"/>
        <v>0</v>
      </c>
      <c r="N12" s="455">
        <f t="shared" si="1"/>
        <v>0</v>
      </c>
      <c r="O12" s="455">
        <f t="shared" si="1"/>
        <v>0</v>
      </c>
      <c r="P12" s="455">
        <f t="shared" si="1"/>
        <v>0</v>
      </c>
      <c r="Q12" s="455">
        <f t="shared" si="1"/>
        <v>0</v>
      </c>
      <c r="R12" s="455">
        <f t="shared" si="1"/>
        <v>0</v>
      </c>
      <c r="S12" s="455">
        <f t="shared" si="1"/>
        <v>0</v>
      </c>
    </row>
    <row r="13" spans="1:19">
      <c r="A13" s="452"/>
      <c r="B13" s="452" t="s">
        <v>363</v>
      </c>
      <c r="C13" s="453">
        <v>0</v>
      </c>
      <c r="D13" s="453">
        <f>D12*$C$6</f>
        <v>46.575374999999994</v>
      </c>
      <c r="E13" s="453">
        <f t="shared" ref="E13:S13" si="2">E12*$C$6</f>
        <v>46.575374999999994</v>
      </c>
      <c r="F13" s="453">
        <f t="shared" si="2"/>
        <v>40.753453125</v>
      </c>
      <c r="G13" s="453">
        <f t="shared" si="2"/>
        <v>34.931531249999999</v>
      </c>
      <c r="H13" s="453">
        <f t="shared" si="2"/>
        <v>29.109609375000002</v>
      </c>
      <c r="I13" s="453">
        <f t="shared" si="2"/>
        <v>23.287687500000001</v>
      </c>
      <c r="J13" s="453">
        <f t="shared" si="2"/>
        <v>17.465765625000003</v>
      </c>
      <c r="K13" s="453">
        <f t="shared" si="2"/>
        <v>11.643843750000004</v>
      </c>
      <c r="L13" s="453">
        <f t="shared" si="2"/>
        <v>5.8219218750000046</v>
      </c>
      <c r="M13" s="453">
        <f t="shared" si="2"/>
        <v>0</v>
      </c>
      <c r="N13" s="453">
        <f t="shared" si="2"/>
        <v>0</v>
      </c>
      <c r="O13" s="453">
        <f t="shared" si="2"/>
        <v>0</v>
      </c>
      <c r="P13" s="453">
        <f t="shared" si="2"/>
        <v>0</v>
      </c>
      <c r="Q13" s="453">
        <f t="shared" si="2"/>
        <v>0</v>
      </c>
      <c r="R13" s="453">
        <f t="shared" si="2"/>
        <v>0</v>
      </c>
      <c r="S13" s="453">
        <f t="shared" si="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Raw Materials Requirement </vt:lpstr>
      <vt:lpstr>Basis</vt:lpstr>
      <vt:lpstr>Norms</vt:lpstr>
      <vt:lpstr>Capex</vt:lpstr>
      <vt:lpstr>Opex</vt:lpstr>
      <vt:lpstr>Cashflow </vt:lpstr>
      <vt:lpstr>IRR</vt:lpstr>
      <vt:lpstr>Reference Values</vt:lpstr>
      <vt:lpstr>Interest Cal.</vt:lpstr>
      <vt:lpstr>Bal sheet</vt:lpstr>
      <vt:lpstr>Depreciation</vt:lpstr>
      <vt:lpstr>Profitability</vt:lpstr>
      <vt:lpstr> Breakeven Point</vt:lpstr>
      <vt:lpstr>DSCR</vt:lpstr>
      <vt:lpstr>' Breakeven Point'!Print_Area</vt:lpstr>
      <vt:lpstr>DSCR!Print_Area</vt:lpstr>
      <vt:lpstr>IRR!Print_Area</vt:lpstr>
      <vt:lpstr>Profitability!Print_Area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2022-10-26T05:26:20Z</dcterms:modified>
</cp:coreProperties>
</file>